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5295" windowWidth="19230" windowHeight="5955" tabRatio="898" activeTab="2"/>
  </bookViews>
  <sheets>
    <sheet name="Benchmarking Ratio's Comparison" sheetId="14" r:id="rId1"/>
    <sheet name="2014-15 CFR" sheetId="33" state="hidden" r:id="rId2"/>
    <sheet name="All Schools Data view only" sheetId="3" r:id="rId3"/>
    <sheet name="14-15 InYrChgs" sheetId="32" state="hidden" r:id="rId4"/>
    <sheet name="Oct13Census" sheetId="31" state="hidden" r:id="rId5"/>
    <sheet name="2014-15 PPFSM" sheetId="38" state="hidden" r:id="rId6"/>
    <sheet name="OCT14Census" sheetId="34" state="hidden" r:id="rId7"/>
    <sheet name="PPFSMAdjDec13" sheetId="30" state="hidden" r:id="rId8"/>
    <sheet name="2013-14 CFR" sheetId="28" state="hidden" r:id="rId9"/>
    <sheet name="2012-13 CFR" sheetId="22" state="hidden" r:id="rId10"/>
    <sheet name="13-14 Budget Share" sheetId="29" state="hidden" r:id="rId11"/>
    <sheet name="12-13 Data" sheetId="25" state="hidden" r:id="rId12"/>
    <sheet name="12-13 Pupil Data" sheetId="26" state="hidden" r:id="rId13"/>
    <sheet name="12-13 All Schls data" sheetId="27" state="hidden" r:id="rId14"/>
    <sheet name="OCT 15 CENSUS" sheetId="39" state="hidden" r:id="rId15"/>
    <sheet name="Sheet2" sheetId="40" r:id="rId16"/>
  </sheets>
  <externalReferences>
    <externalReference r:id="rId17"/>
    <externalReference r:id="rId18"/>
    <externalReference r:id="rId19"/>
    <externalReference r:id="rId20"/>
  </externalReferences>
  <definedNames>
    <definedName name="_xlnm._FilterDatabase" localSheetId="12" hidden="1">'12-13 Pupil Data'!$C$3:$DI$3</definedName>
    <definedName name="_xlnm._FilterDatabase" localSheetId="3" hidden="1">'14-15 InYrChgs'!$A$14:$CW$14</definedName>
    <definedName name="_xlnm._FilterDatabase" localSheetId="5" hidden="1">'2014-15 PPFSM'!$A$3:$Z$125</definedName>
    <definedName name="_xlnm._FilterDatabase" localSheetId="7" hidden="1">PPFSMAdjDec13!$A$1:$IU$120</definedName>
    <definedName name="_Order1" hidden="1">255</definedName>
    <definedName name="_Order2" hidden="1">0</definedName>
    <definedName name="_Sort" localSheetId="3" hidden="1">'[1]OPT D 2008-9'!#REF!</definedName>
    <definedName name="_Sort" localSheetId="4" hidden="1">'[1]OPT D 2008-9'!#REF!</definedName>
    <definedName name="_Sort" localSheetId="6" hidden="1">'[1]OPT D 2008-9'!#REF!</definedName>
    <definedName name="_Sort" hidden="1">#REF!</definedName>
    <definedName name="Access_Button" hidden="1">"BeneOUTb_database_List"</definedName>
    <definedName name="AccessDatabase" hidden="1">"N:\USERS\BENCHMARKING\Benefits Admin\BeneOUTb.mdb"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</definedNames>
  <calcPr calcId="145621"/>
</workbook>
</file>

<file path=xl/calcChain.xml><?xml version="1.0" encoding="utf-8"?>
<calcChain xmlns="http://schemas.openxmlformats.org/spreadsheetml/2006/main">
  <c r="BF103" i="3" l="1"/>
  <c r="CC103" i="3" s="1"/>
  <c r="BF102" i="3"/>
  <c r="BK102" i="3" s="1"/>
  <c r="BF98" i="3"/>
  <c r="BO98" i="3" s="1"/>
  <c r="BF99" i="3"/>
  <c r="BF100" i="3"/>
  <c r="BF97" i="3"/>
  <c r="CS97" i="3" s="1"/>
  <c r="BF90" i="3"/>
  <c r="DN90" i="3" s="1"/>
  <c r="BF91" i="3"/>
  <c r="BF92" i="3"/>
  <c r="BF93" i="3"/>
  <c r="BM93" i="3" s="1"/>
  <c r="BF94" i="3"/>
  <c r="DA94" i="3" s="1"/>
  <c r="BF95" i="3"/>
  <c r="BF89" i="3"/>
  <c r="BW89" i="3" s="1"/>
  <c r="BF10" i="3"/>
  <c r="DG10" i="3" s="1"/>
  <c r="BF11" i="3"/>
  <c r="BF12" i="3"/>
  <c r="BF13" i="3"/>
  <c r="CS13" i="3" s="1"/>
  <c r="BF14" i="3"/>
  <c r="DQ14" i="3" s="1"/>
  <c r="BF15" i="3"/>
  <c r="BF16" i="3"/>
  <c r="BF17" i="3"/>
  <c r="BF18" i="3"/>
  <c r="BF19" i="3"/>
  <c r="BF20" i="3"/>
  <c r="BF21" i="3"/>
  <c r="DC21" i="3" s="1"/>
  <c r="BF22" i="3"/>
  <c r="BF23" i="3"/>
  <c r="BF24" i="3"/>
  <c r="BF25" i="3"/>
  <c r="DW25" i="3" s="1"/>
  <c r="BF26" i="3"/>
  <c r="CC26" i="3" s="1"/>
  <c r="BF27" i="3"/>
  <c r="BF28" i="3"/>
  <c r="BF29" i="3"/>
  <c r="BQ29" i="3" s="1"/>
  <c r="BF30" i="3"/>
  <c r="BF31" i="3"/>
  <c r="BF32" i="3"/>
  <c r="BF33" i="3"/>
  <c r="DC33" i="3" s="1"/>
  <c r="BF34" i="3"/>
  <c r="DS34" i="3" s="1"/>
  <c r="BF35" i="3"/>
  <c r="BF36" i="3"/>
  <c r="BF37" i="3"/>
  <c r="BU37" i="3" s="1"/>
  <c r="BF38" i="3"/>
  <c r="DG38" i="3" s="1"/>
  <c r="BF39" i="3"/>
  <c r="BF40" i="3"/>
  <c r="BF41" i="3"/>
  <c r="BO41" i="3" s="1"/>
  <c r="BF42" i="3"/>
  <c r="BU42" i="3" s="1"/>
  <c r="BF43" i="3"/>
  <c r="BF44" i="3"/>
  <c r="BF45" i="3"/>
  <c r="CG45" i="3" s="1"/>
  <c r="BF46" i="3"/>
  <c r="BS46" i="3" s="1"/>
  <c r="BF47" i="3"/>
  <c r="BF48" i="3"/>
  <c r="BF49" i="3"/>
  <c r="CK49" i="3" s="1"/>
  <c r="BF50" i="3"/>
  <c r="BS50" i="3" s="1"/>
  <c r="BF51" i="3"/>
  <c r="BF52" i="3"/>
  <c r="BF53" i="3"/>
  <c r="DC53" i="3" s="1"/>
  <c r="BF54" i="3"/>
  <c r="BF55" i="3"/>
  <c r="BF56" i="3"/>
  <c r="BF57" i="3"/>
  <c r="CC57" i="3" s="1"/>
  <c r="BF58" i="3"/>
  <c r="BF59" i="3"/>
  <c r="BF60" i="3"/>
  <c r="BF61" i="3"/>
  <c r="CO61" i="3" s="1"/>
  <c r="BF62" i="3"/>
  <c r="DQ62" i="3" s="1"/>
  <c r="BF63" i="3"/>
  <c r="BF64" i="3"/>
  <c r="BF65" i="3"/>
  <c r="DC65" i="3" s="1"/>
  <c r="BF66" i="3"/>
  <c r="BF67" i="3"/>
  <c r="BF68" i="3"/>
  <c r="BF69" i="3"/>
  <c r="BY69" i="3" s="1"/>
  <c r="BF70" i="3"/>
  <c r="BU70" i="3" s="1"/>
  <c r="BF71" i="3"/>
  <c r="BF72" i="3"/>
  <c r="BF73" i="3"/>
  <c r="BM73" i="3" s="1"/>
  <c r="BF74" i="3"/>
  <c r="BF75" i="3"/>
  <c r="BF76" i="3"/>
  <c r="BF77" i="3"/>
  <c r="DQ77" i="3" s="1"/>
  <c r="BF78" i="3"/>
  <c r="CA78" i="3" s="1"/>
  <c r="BF79" i="3"/>
  <c r="BF80" i="3"/>
  <c r="BF81" i="3"/>
  <c r="DS81" i="3" s="1"/>
  <c r="BF82" i="3"/>
  <c r="CO82" i="3" s="1"/>
  <c r="BF83" i="3"/>
  <c r="BF84" i="3"/>
  <c r="BF85" i="3"/>
  <c r="CC85" i="3" s="1"/>
  <c r="BF86" i="3"/>
  <c r="BW86" i="3" s="1"/>
  <c r="BF87" i="3"/>
  <c r="BF9" i="3"/>
  <c r="DW9" i="3" s="1"/>
  <c r="DW88" i="3" s="1"/>
  <c r="DW107" i="3" s="1"/>
  <c r="BF5" i="3"/>
  <c r="CW5" i="3" s="1"/>
  <c r="BF6" i="3"/>
  <c r="BF7" i="3"/>
  <c r="BF4" i="3"/>
  <c r="DA4" i="3" s="1"/>
  <c r="BQ10" i="3"/>
  <c r="BQ17" i="3"/>
  <c r="CA21" i="3"/>
  <c r="CA33" i="3"/>
  <c r="CW34" i="3"/>
  <c r="BS41" i="3"/>
  <c r="BU45" i="3"/>
  <c r="CA53" i="3"/>
  <c r="BK65" i="3"/>
  <c r="DW73" i="3"/>
  <c r="DG77" i="3"/>
  <c r="CW85" i="3"/>
  <c r="CO86" i="3"/>
  <c r="DS9" i="3"/>
  <c r="DQ5" i="3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H137" i="39"/>
  <c r="G137" i="39"/>
  <c r="F137" i="39"/>
  <c r="E137" i="39"/>
  <c r="D137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AA132" i="39"/>
  <c r="Y132" i="39"/>
  <c r="X132" i="39"/>
  <c r="W132" i="39"/>
  <c r="V132" i="39"/>
  <c r="U132" i="39"/>
  <c r="AA131" i="39"/>
  <c r="Y131" i="39"/>
  <c r="X131" i="39"/>
  <c r="W131" i="39"/>
  <c r="V131" i="39"/>
  <c r="U131" i="39"/>
  <c r="AA130" i="39"/>
  <c r="Y130" i="39"/>
  <c r="X130" i="39"/>
  <c r="W130" i="39"/>
  <c r="V130" i="39"/>
  <c r="U130" i="39"/>
  <c r="AA129" i="39"/>
  <c r="Y129" i="39"/>
  <c r="X129" i="39"/>
  <c r="W129" i="39"/>
  <c r="V129" i="39"/>
  <c r="U129" i="39"/>
  <c r="Z128" i="39"/>
  <c r="Y128" i="39"/>
  <c r="X128" i="39"/>
  <c r="W128" i="39"/>
  <c r="V128" i="39"/>
  <c r="U128" i="39"/>
  <c r="Y127" i="39"/>
  <c r="X127" i="39"/>
  <c r="Z127" i="39" s="1"/>
  <c r="W127" i="39"/>
  <c r="V127" i="39"/>
  <c r="U127" i="39"/>
  <c r="Z126" i="39"/>
  <c r="Y126" i="39"/>
  <c r="X126" i="39"/>
  <c r="W126" i="39"/>
  <c r="V126" i="39"/>
  <c r="U126" i="39"/>
  <c r="Y125" i="39"/>
  <c r="X125" i="39"/>
  <c r="Z125" i="39" s="1"/>
  <c r="W125" i="39"/>
  <c r="V125" i="39"/>
  <c r="U125" i="39"/>
  <c r="Z124" i="39"/>
  <c r="Y124" i="39"/>
  <c r="X124" i="39"/>
  <c r="W124" i="39"/>
  <c r="V124" i="39"/>
  <c r="U124" i="39"/>
  <c r="Y123" i="39"/>
  <c r="X123" i="39"/>
  <c r="Z123" i="39" s="1"/>
  <c r="W123" i="39"/>
  <c r="V123" i="39"/>
  <c r="U123" i="39"/>
  <c r="Z122" i="39"/>
  <c r="Y122" i="39"/>
  <c r="X122" i="39"/>
  <c r="W122" i="39"/>
  <c r="V122" i="39"/>
  <c r="U122" i="39"/>
  <c r="Y121" i="39"/>
  <c r="X121" i="39"/>
  <c r="Z121" i="39" s="1"/>
  <c r="W121" i="39"/>
  <c r="V121" i="39"/>
  <c r="U121" i="39"/>
  <c r="Z120" i="39"/>
  <c r="Y120" i="39"/>
  <c r="X120" i="39"/>
  <c r="W120" i="39"/>
  <c r="V120" i="39"/>
  <c r="U120" i="39"/>
  <c r="Y119" i="39"/>
  <c r="X119" i="39"/>
  <c r="Z119" i="39" s="1"/>
  <c r="W119" i="39"/>
  <c r="V119" i="39"/>
  <c r="U119" i="39"/>
  <c r="Z118" i="39"/>
  <c r="Y118" i="39"/>
  <c r="X118" i="39"/>
  <c r="W118" i="39"/>
  <c r="V118" i="39"/>
  <c r="U118" i="39"/>
  <c r="Y117" i="39"/>
  <c r="X117" i="39"/>
  <c r="Z117" i="39" s="1"/>
  <c r="W117" i="39"/>
  <c r="V117" i="39"/>
  <c r="U117" i="39"/>
  <c r="Z116" i="39"/>
  <c r="Y116" i="39"/>
  <c r="X116" i="39"/>
  <c r="W116" i="39"/>
  <c r="V116" i="39"/>
  <c r="U116" i="39"/>
  <c r="Y115" i="39"/>
  <c r="X115" i="39"/>
  <c r="Z115" i="39" s="1"/>
  <c r="W115" i="39"/>
  <c r="V115" i="39"/>
  <c r="U115" i="39"/>
  <c r="Z114" i="39"/>
  <c r="Y114" i="39"/>
  <c r="X114" i="39"/>
  <c r="W114" i="39"/>
  <c r="V114" i="39"/>
  <c r="U114" i="39"/>
  <c r="Y113" i="39"/>
  <c r="X113" i="39"/>
  <c r="Z113" i="39" s="1"/>
  <c r="W113" i="39"/>
  <c r="V113" i="39"/>
  <c r="U113" i="39"/>
  <c r="Z112" i="39"/>
  <c r="Y112" i="39"/>
  <c r="X112" i="39"/>
  <c r="W112" i="39"/>
  <c r="V112" i="39"/>
  <c r="U112" i="39"/>
  <c r="Y111" i="39"/>
  <c r="X111" i="39"/>
  <c r="Z111" i="39" s="1"/>
  <c r="W111" i="39"/>
  <c r="V111" i="39"/>
  <c r="U111" i="39"/>
  <c r="Z110" i="39"/>
  <c r="Y110" i="39"/>
  <c r="X110" i="39"/>
  <c r="W110" i="39"/>
  <c r="V110" i="39"/>
  <c r="U110" i="39"/>
  <c r="Y109" i="39"/>
  <c r="X109" i="39"/>
  <c r="Z109" i="39" s="1"/>
  <c r="W109" i="39"/>
  <c r="V109" i="39"/>
  <c r="U109" i="39"/>
  <c r="Z108" i="39"/>
  <c r="Y108" i="39"/>
  <c r="X108" i="39"/>
  <c r="W108" i="39"/>
  <c r="V108" i="39"/>
  <c r="U108" i="39"/>
  <c r="Y107" i="39"/>
  <c r="X107" i="39"/>
  <c r="Z107" i="39" s="1"/>
  <c r="W107" i="39"/>
  <c r="V107" i="39"/>
  <c r="U107" i="39"/>
  <c r="Z106" i="39"/>
  <c r="Y106" i="39"/>
  <c r="X106" i="39"/>
  <c r="W106" i="39"/>
  <c r="V106" i="39"/>
  <c r="U106" i="39"/>
  <c r="AA105" i="39"/>
  <c r="Y105" i="39"/>
  <c r="X105" i="39"/>
  <c r="W105" i="39"/>
  <c r="Z105" i="39" s="1"/>
  <c r="V105" i="39"/>
  <c r="U105" i="39"/>
  <c r="AA104" i="39"/>
  <c r="Y104" i="39"/>
  <c r="X104" i="39"/>
  <c r="Z104" i="39" s="1"/>
  <c r="W104" i="39"/>
  <c r="V104" i="39"/>
  <c r="U104" i="39"/>
  <c r="AA103" i="39"/>
  <c r="Y103" i="39"/>
  <c r="X103" i="39"/>
  <c r="W103" i="39"/>
  <c r="Z103" i="39" s="1"/>
  <c r="V103" i="39"/>
  <c r="U103" i="39"/>
  <c r="AA102" i="39"/>
  <c r="Z102" i="39"/>
  <c r="Y102" i="39"/>
  <c r="X102" i="39"/>
  <c r="W102" i="39"/>
  <c r="V102" i="39"/>
  <c r="U102" i="39"/>
  <c r="AA101" i="39"/>
  <c r="Y101" i="39"/>
  <c r="X101" i="39"/>
  <c r="W101" i="39"/>
  <c r="Z101" i="39" s="1"/>
  <c r="V101" i="39"/>
  <c r="U101" i="39"/>
  <c r="Y100" i="39"/>
  <c r="X100" i="39"/>
  <c r="W100" i="39"/>
  <c r="Z100" i="39" s="1"/>
  <c r="V100" i="39"/>
  <c r="U100" i="39"/>
  <c r="Y99" i="39"/>
  <c r="X99" i="39"/>
  <c r="W99" i="39"/>
  <c r="Z99" i="39" s="1"/>
  <c r="V99" i="39"/>
  <c r="U99" i="39"/>
  <c r="Y98" i="39"/>
  <c r="X98" i="39"/>
  <c r="W98" i="39"/>
  <c r="Z98" i="39" s="1"/>
  <c r="V98" i="39"/>
  <c r="U98" i="39"/>
  <c r="Y97" i="39"/>
  <c r="X97" i="39"/>
  <c r="W97" i="39"/>
  <c r="Z97" i="39" s="1"/>
  <c r="V97" i="39"/>
  <c r="U97" i="39"/>
  <c r="Y96" i="39"/>
  <c r="X96" i="39"/>
  <c r="W96" i="39"/>
  <c r="Z96" i="39" s="1"/>
  <c r="V96" i="39"/>
  <c r="U96" i="39"/>
  <c r="Y95" i="39"/>
  <c r="X95" i="39"/>
  <c r="W95" i="39"/>
  <c r="Z95" i="39" s="1"/>
  <c r="V95" i="39"/>
  <c r="U95" i="39"/>
  <c r="Y94" i="39"/>
  <c r="X94" i="39"/>
  <c r="W94" i="39"/>
  <c r="Z94" i="39" s="1"/>
  <c r="V94" i="39"/>
  <c r="U94" i="39"/>
  <c r="Y93" i="39"/>
  <c r="X93" i="39"/>
  <c r="W93" i="39"/>
  <c r="Z93" i="39" s="1"/>
  <c r="V93" i="39"/>
  <c r="U93" i="39"/>
  <c r="Y92" i="39"/>
  <c r="X92" i="39"/>
  <c r="W92" i="39"/>
  <c r="Z92" i="39" s="1"/>
  <c r="V92" i="39"/>
  <c r="U92" i="39"/>
  <c r="Y91" i="39"/>
  <c r="X91" i="39"/>
  <c r="W91" i="39"/>
  <c r="Z91" i="39" s="1"/>
  <c r="V91" i="39"/>
  <c r="U91" i="39"/>
  <c r="Y90" i="39"/>
  <c r="X90" i="39"/>
  <c r="W90" i="39"/>
  <c r="Z90" i="39" s="1"/>
  <c r="V90" i="39"/>
  <c r="U90" i="39"/>
  <c r="Y89" i="39"/>
  <c r="X89" i="39"/>
  <c r="W89" i="39"/>
  <c r="Z89" i="39" s="1"/>
  <c r="V89" i="39"/>
  <c r="U89" i="39"/>
  <c r="Y88" i="39"/>
  <c r="X88" i="39"/>
  <c r="W88" i="39"/>
  <c r="Z88" i="39" s="1"/>
  <c r="V88" i="39"/>
  <c r="U88" i="39"/>
  <c r="Y87" i="39"/>
  <c r="X87" i="39"/>
  <c r="W87" i="39"/>
  <c r="Z87" i="39" s="1"/>
  <c r="V87" i="39"/>
  <c r="U87" i="39"/>
  <c r="Y86" i="39"/>
  <c r="X86" i="39"/>
  <c r="W86" i="39"/>
  <c r="Z86" i="39" s="1"/>
  <c r="V86" i="39"/>
  <c r="U86" i="39"/>
  <c r="Y85" i="39"/>
  <c r="X85" i="39"/>
  <c r="W85" i="39"/>
  <c r="Z85" i="39" s="1"/>
  <c r="V85" i="39"/>
  <c r="U85" i="39"/>
  <c r="Y84" i="39"/>
  <c r="X84" i="39"/>
  <c r="W84" i="39"/>
  <c r="Z84" i="39" s="1"/>
  <c r="V84" i="39"/>
  <c r="U84" i="39"/>
  <c r="Y83" i="39"/>
  <c r="X83" i="39"/>
  <c r="W83" i="39"/>
  <c r="Z83" i="39" s="1"/>
  <c r="V83" i="39"/>
  <c r="U83" i="39"/>
  <c r="Y82" i="39"/>
  <c r="X82" i="39"/>
  <c r="W82" i="39"/>
  <c r="Z82" i="39" s="1"/>
  <c r="V82" i="39"/>
  <c r="U82" i="39"/>
  <c r="Y81" i="39"/>
  <c r="X81" i="39"/>
  <c r="W81" i="39"/>
  <c r="Z81" i="39" s="1"/>
  <c r="V81" i="39"/>
  <c r="U81" i="39"/>
  <c r="Y80" i="39"/>
  <c r="X80" i="39"/>
  <c r="W80" i="39"/>
  <c r="Z80" i="39" s="1"/>
  <c r="V80" i="39"/>
  <c r="U80" i="39"/>
  <c r="Y79" i="39"/>
  <c r="X79" i="39"/>
  <c r="W79" i="39"/>
  <c r="Z79" i="39" s="1"/>
  <c r="V79" i="39"/>
  <c r="U79" i="39"/>
  <c r="Y78" i="39"/>
  <c r="X78" i="39"/>
  <c r="W78" i="39"/>
  <c r="Z78" i="39" s="1"/>
  <c r="V78" i="39"/>
  <c r="U78" i="39"/>
  <c r="Y77" i="39"/>
  <c r="X77" i="39"/>
  <c r="W77" i="39"/>
  <c r="Z77" i="39" s="1"/>
  <c r="V77" i="39"/>
  <c r="U77" i="39"/>
  <c r="Y76" i="39"/>
  <c r="X76" i="39"/>
  <c r="W76" i="39"/>
  <c r="Z76" i="39" s="1"/>
  <c r="V76" i="39"/>
  <c r="U76" i="39"/>
  <c r="Y75" i="39"/>
  <c r="X75" i="39"/>
  <c r="W75" i="39"/>
  <c r="Z75" i="39" s="1"/>
  <c r="V75" i="39"/>
  <c r="U75" i="39"/>
  <c r="Y74" i="39"/>
  <c r="X74" i="39"/>
  <c r="W74" i="39"/>
  <c r="Z74" i="39" s="1"/>
  <c r="V74" i="39"/>
  <c r="U74" i="39"/>
  <c r="Y73" i="39"/>
  <c r="X73" i="39"/>
  <c r="W73" i="39"/>
  <c r="Z73" i="39" s="1"/>
  <c r="V73" i="39"/>
  <c r="U73" i="39"/>
  <c r="Y72" i="39"/>
  <c r="X72" i="39"/>
  <c r="W72" i="39"/>
  <c r="Z72" i="39" s="1"/>
  <c r="V72" i="39"/>
  <c r="U72" i="39"/>
  <c r="Y71" i="39"/>
  <c r="X71" i="39"/>
  <c r="W71" i="39"/>
  <c r="Z71" i="39" s="1"/>
  <c r="V71" i="39"/>
  <c r="U71" i="39"/>
  <c r="Y70" i="39"/>
  <c r="X70" i="39"/>
  <c r="W70" i="39"/>
  <c r="Z70" i="39" s="1"/>
  <c r="V70" i="39"/>
  <c r="U70" i="39"/>
  <c r="Y69" i="39"/>
  <c r="X69" i="39"/>
  <c r="W69" i="39"/>
  <c r="Z69" i="39" s="1"/>
  <c r="V69" i="39"/>
  <c r="U69" i="39"/>
  <c r="Y68" i="39"/>
  <c r="X68" i="39"/>
  <c r="W68" i="39"/>
  <c r="Z68" i="39" s="1"/>
  <c r="V68" i="39"/>
  <c r="U68" i="39"/>
  <c r="Y67" i="39"/>
  <c r="X67" i="39"/>
  <c r="W67" i="39"/>
  <c r="Z67" i="39" s="1"/>
  <c r="V67" i="39"/>
  <c r="U67" i="39"/>
  <c r="Y66" i="39"/>
  <c r="X66" i="39"/>
  <c r="W66" i="39"/>
  <c r="Z66" i="39" s="1"/>
  <c r="V66" i="39"/>
  <c r="U66" i="39"/>
  <c r="Y65" i="39"/>
  <c r="X65" i="39"/>
  <c r="W65" i="39"/>
  <c r="Z65" i="39" s="1"/>
  <c r="V65" i="39"/>
  <c r="U65" i="39"/>
  <c r="Y64" i="39"/>
  <c r="X64" i="39"/>
  <c r="W64" i="39"/>
  <c r="Z64" i="39" s="1"/>
  <c r="V64" i="39"/>
  <c r="U64" i="39"/>
  <c r="Y63" i="39"/>
  <c r="X63" i="39"/>
  <c r="W63" i="39"/>
  <c r="Z63" i="39" s="1"/>
  <c r="V63" i="39"/>
  <c r="U63" i="39"/>
  <c r="Y62" i="39"/>
  <c r="X62" i="39"/>
  <c r="W62" i="39"/>
  <c r="Z62" i="39" s="1"/>
  <c r="V62" i="39"/>
  <c r="U62" i="39"/>
  <c r="Y61" i="39"/>
  <c r="X61" i="39"/>
  <c r="W61" i="39"/>
  <c r="Z61" i="39" s="1"/>
  <c r="V61" i="39"/>
  <c r="U61" i="39"/>
  <c r="Y60" i="39"/>
  <c r="X60" i="39"/>
  <c r="W60" i="39"/>
  <c r="Z60" i="39" s="1"/>
  <c r="V60" i="39"/>
  <c r="U60" i="39"/>
  <c r="Y59" i="39"/>
  <c r="X59" i="39"/>
  <c r="W59" i="39"/>
  <c r="Z59" i="39" s="1"/>
  <c r="V59" i="39"/>
  <c r="U59" i="39"/>
  <c r="Y58" i="39"/>
  <c r="X58" i="39"/>
  <c r="W58" i="39"/>
  <c r="Z58" i="39" s="1"/>
  <c r="V58" i="39"/>
  <c r="U58" i="39"/>
  <c r="Y57" i="39"/>
  <c r="X57" i="39"/>
  <c r="W57" i="39"/>
  <c r="Z57" i="39" s="1"/>
  <c r="V57" i="39"/>
  <c r="U57" i="39"/>
  <c r="Y56" i="39"/>
  <c r="X56" i="39"/>
  <c r="W56" i="39"/>
  <c r="Z56" i="39" s="1"/>
  <c r="V56" i="39"/>
  <c r="U56" i="39"/>
  <c r="Y55" i="39"/>
  <c r="X55" i="39"/>
  <c r="W55" i="39"/>
  <c r="Z55" i="39" s="1"/>
  <c r="V55" i="39"/>
  <c r="U55" i="39"/>
  <c r="Y54" i="39"/>
  <c r="X54" i="39"/>
  <c r="W54" i="39"/>
  <c r="Z54" i="39" s="1"/>
  <c r="V54" i="39"/>
  <c r="U54" i="39"/>
  <c r="Y53" i="39"/>
  <c r="X53" i="39"/>
  <c r="W53" i="39"/>
  <c r="Z53" i="39" s="1"/>
  <c r="V53" i="39"/>
  <c r="U53" i="39"/>
  <c r="Y52" i="39"/>
  <c r="X52" i="39"/>
  <c r="W52" i="39"/>
  <c r="Z52" i="39" s="1"/>
  <c r="V52" i="39"/>
  <c r="U52" i="39"/>
  <c r="Y51" i="39"/>
  <c r="X51" i="39"/>
  <c r="W51" i="39"/>
  <c r="Z51" i="39" s="1"/>
  <c r="V51" i="39"/>
  <c r="U51" i="39"/>
  <c r="Y50" i="39"/>
  <c r="X50" i="39"/>
  <c r="W50" i="39"/>
  <c r="Z50" i="39" s="1"/>
  <c r="V50" i="39"/>
  <c r="U50" i="39"/>
  <c r="Y49" i="39"/>
  <c r="X49" i="39"/>
  <c r="W49" i="39"/>
  <c r="Z49" i="39" s="1"/>
  <c r="V49" i="39"/>
  <c r="U49" i="39"/>
  <c r="Y48" i="39"/>
  <c r="X48" i="39"/>
  <c r="W48" i="39"/>
  <c r="Z48" i="39" s="1"/>
  <c r="V48" i="39"/>
  <c r="U48" i="39"/>
  <c r="Y47" i="39"/>
  <c r="X47" i="39"/>
  <c r="W47" i="39"/>
  <c r="Z47" i="39" s="1"/>
  <c r="V47" i="39"/>
  <c r="U47" i="39"/>
  <c r="Y46" i="39"/>
  <c r="X46" i="39"/>
  <c r="W46" i="39"/>
  <c r="Z46" i="39" s="1"/>
  <c r="V46" i="39"/>
  <c r="U46" i="39"/>
  <c r="Y45" i="39"/>
  <c r="X45" i="39"/>
  <c r="W45" i="39"/>
  <c r="Z45" i="39" s="1"/>
  <c r="V45" i="39"/>
  <c r="U45" i="39"/>
  <c r="Y44" i="39"/>
  <c r="X44" i="39"/>
  <c r="W44" i="39"/>
  <c r="Z44" i="39" s="1"/>
  <c r="V44" i="39"/>
  <c r="U44" i="39"/>
  <c r="Y43" i="39"/>
  <c r="X43" i="39"/>
  <c r="W43" i="39"/>
  <c r="Z43" i="39" s="1"/>
  <c r="V43" i="39"/>
  <c r="U43" i="39"/>
  <c r="Y42" i="39"/>
  <c r="X42" i="39"/>
  <c r="W42" i="39"/>
  <c r="Z42" i="39" s="1"/>
  <c r="V42" i="39"/>
  <c r="U42" i="39"/>
  <c r="Y41" i="39"/>
  <c r="X41" i="39"/>
  <c r="W41" i="39"/>
  <c r="Z41" i="39" s="1"/>
  <c r="V41" i="39"/>
  <c r="U41" i="39"/>
  <c r="Y40" i="39"/>
  <c r="X40" i="39"/>
  <c r="W40" i="39"/>
  <c r="Z40" i="39" s="1"/>
  <c r="V40" i="39"/>
  <c r="U40" i="39"/>
  <c r="Y39" i="39"/>
  <c r="X39" i="39"/>
  <c r="W39" i="39"/>
  <c r="Z39" i="39" s="1"/>
  <c r="V39" i="39"/>
  <c r="U39" i="39"/>
  <c r="Y38" i="39"/>
  <c r="X38" i="39"/>
  <c r="W38" i="39"/>
  <c r="Z38" i="39" s="1"/>
  <c r="V38" i="39"/>
  <c r="U38" i="39"/>
  <c r="Y37" i="39"/>
  <c r="X37" i="39"/>
  <c r="W37" i="39"/>
  <c r="Z37" i="39" s="1"/>
  <c r="V37" i="39"/>
  <c r="U37" i="39"/>
  <c r="Y36" i="39"/>
  <c r="X36" i="39"/>
  <c r="W36" i="39"/>
  <c r="Z36" i="39" s="1"/>
  <c r="V36" i="39"/>
  <c r="U36" i="39"/>
  <c r="Y35" i="39"/>
  <c r="X35" i="39"/>
  <c r="W35" i="39"/>
  <c r="Z35" i="39" s="1"/>
  <c r="V35" i="39"/>
  <c r="U35" i="39"/>
  <c r="Y34" i="39"/>
  <c r="X34" i="39"/>
  <c r="W34" i="39"/>
  <c r="Z34" i="39" s="1"/>
  <c r="V34" i="39"/>
  <c r="U34" i="39"/>
  <c r="Y33" i="39"/>
  <c r="X33" i="39"/>
  <c r="W33" i="39"/>
  <c r="Z33" i="39" s="1"/>
  <c r="V33" i="39"/>
  <c r="U33" i="39"/>
  <c r="Y32" i="39"/>
  <c r="X32" i="39"/>
  <c r="W32" i="39"/>
  <c r="Z32" i="39" s="1"/>
  <c r="V32" i="39"/>
  <c r="U32" i="39"/>
  <c r="Y31" i="39"/>
  <c r="X31" i="39"/>
  <c r="W31" i="39"/>
  <c r="Z31" i="39" s="1"/>
  <c r="V31" i="39"/>
  <c r="U31" i="39"/>
  <c r="Y30" i="39"/>
  <c r="X30" i="39"/>
  <c r="W30" i="39"/>
  <c r="Z30" i="39" s="1"/>
  <c r="V30" i="39"/>
  <c r="U30" i="39"/>
  <c r="Y29" i="39"/>
  <c r="X29" i="39"/>
  <c r="W29" i="39"/>
  <c r="Z29" i="39" s="1"/>
  <c r="V29" i="39"/>
  <c r="U29" i="39"/>
  <c r="Y28" i="39"/>
  <c r="X28" i="39"/>
  <c r="W28" i="39"/>
  <c r="Z28" i="39" s="1"/>
  <c r="V28" i="39"/>
  <c r="U28" i="39"/>
  <c r="Y27" i="39"/>
  <c r="X27" i="39"/>
  <c r="W27" i="39"/>
  <c r="Z27" i="39" s="1"/>
  <c r="V27" i="39"/>
  <c r="U27" i="39"/>
  <c r="Y26" i="39"/>
  <c r="X26" i="39"/>
  <c r="W26" i="39"/>
  <c r="Z26" i="39" s="1"/>
  <c r="V26" i="39"/>
  <c r="U26" i="39"/>
  <c r="Y25" i="39"/>
  <c r="X25" i="39"/>
  <c r="W25" i="39"/>
  <c r="Z25" i="39" s="1"/>
  <c r="V25" i="39"/>
  <c r="U25" i="39"/>
  <c r="Y24" i="39"/>
  <c r="X24" i="39"/>
  <c r="W24" i="39"/>
  <c r="Z24" i="39" s="1"/>
  <c r="V24" i="39"/>
  <c r="U24" i="39"/>
  <c r="Y23" i="39"/>
  <c r="X23" i="39"/>
  <c r="W23" i="39"/>
  <c r="Z23" i="39" s="1"/>
  <c r="V23" i="39"/>
  <c r="U23" i="39"/>
  <c r="Y22" i="39"/>
  <c r="X22" i="39"/>
  <c r="W22" i="39"/>
  <c r="Z22" i="39" s="1"/>
  <c r="V22" i="39"/>
  <c r="U22" i="39"/>
  <c r="Y21" i="39"/>
  <c r="X21" i="39"/>
  <c r="W21" i="39"/>
  <c r="Z21" i="39" s="1"/>
  <c r="V21" i="39"/>
  <c r="U21" i="39"/>
  <c r="Y20" i="39"/>
  <c r="X20" i="39"/>
  <c r="W20" i="39"/>
  <c r="Z20" i="39" s="1"/>
  <c r="V20" i="39"/>
  <c r="U20" i="39"/>
  <c r="Y19" i="39"/>
  <c r="X19" i="39"/>
  <c r="W19" i="39"/>
  <c r="Z19" i="39" s="1"/>
  <c r="V19" i="39"/>
  <c r="U19" i="39"/>
  <c r="Y18" i="39"/>
  <c r="X18" i="39"/>
  <c r="W18" i="39"/>
  <c r="Z18" i="39" s="1"/>
  <c r="V18" i="39"/>
  <c r="U18" i="39"/>
  <c r="Y17" i="39"/>
  <c r="X17" i="39"/>
  <c r="W17" i="39"/>
  <c r="Z17" i="39" s="1"/>
  <c r="V17" i="39"/>
  <c r="U17" i="39"/>
  <c r="Y16" i="39"/>
  <c r="X16" i="39"/>
  <c r="W16" i="39"/>
  <c r="Z16" i="39" s="1"/>
  <c r="V16" i="39"/>
  <c r="U16" i="39"/>
  <c r="Y15" i="39"/>
  <c r="X15" i="39"/>
  <c r="W15" i="39"/>
  <c r="Z15" i="39" s="1"/>
  <c r="V15" i="39"/>
  <c r="V137" i="39" s="1"/>
  <c r="U15" i="39"/>
  <c r="U137" i="39" s="1"/>
  <c r="AA14" i="39"/>
  <c r="Y14" i="39"/>
  <c r="X14" i="39"/>
  <c r="Z14" i="39" s="1"/>
  <c r="W14" i="39"/>
  <c r="V14" i="39"/>
  <c r="U14" i="39"/>
  <c r="AA13" i="39"/>
  <c r="Y13" i="39"/>
  <c r="X13" i="39"/>
  <c r="W13" i="39"/>
  <c r="V13" i="39"/>
  <c r="U13" i="39"/>
  <c r="Y12" i="39"/>
  <c r="X12" i="39"/>
  <c r="Z12" i="39" s="1"/>
  <c r="W12" i="39"/>
  <c r="V12" i="39"/>
  <c r="U12" i="39"/>
  <c r="Z11" i="39"/>
  <c r="Y11" i="39"/>
  <c r="X11" i="39"/>
  <c r="W11" i="39"/>
  <c r="V11" i="39"/>
  <c r="U11" i="39"/>
  <c r="Y10" i="39"/>
  <c r="X10" i="39"/>
  <c r="Z10" i="39" s="1"/>
  <c r="W10" i="39"/>
  <c r="V10" i="39"/>
  <c r="U10" i="39"/>
  <c r="Z9" i="39"/>
  <c r="Y9" i="39"/>
  <c r="X9" i="39"/>
  <c r="W9" i="39"/>
  <c r="V9" i="39"/>
  <c r="U9" i="39"/>
  <c r="BD103" i="3"/>
  <c r="BD102" i="3"/>
  <c r="BD98" i="3"/>
  <c r="BD99" i="3"/>
  <c r="BD100" i="3"/>
  <c r="BD97" i="3"/>
  <c r="BD90" i="3"/>
  <c r="BD91" i="3"/>
  <c r="BD92" i="3"/>
  <c r="BD93" i="3"/>
  <c r="BD94" i="3"/>
  <c r="BD95" i="3"/>
  <c r="BD89" i="3"/>
  <c r="BD10" i="3"/>
  <c r="BD11" i="3"/>
  <c r="BD12" i="3"/>
  <c r="BD13" i="3"/>
  <c r="BD14" i="3"/>
  <c r="BD15" i="3"/>
  <c r="BD16" i="3"/>
  <c r="BD17" i="3"/>
  <c r="BD18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3" i="3"/>
  <c r="BD54" i="3"/>
  <c r="BD55" i="3"/>
  <c r="BD56" i="3"/>
  <c r="BD57" i="3"/>
  <c r="BD58" i="3"/>
  <c r="BD59" i="3"/>
  <c r="BD60" i="3"/>
  <c r="BD61" i="3"/>
  <c r="BD62" i="3"/>
  <c r="BD63" i="3"/>
  <c r="BD64" i="3"/>
  <c r="BD65" i="3"/>
  <c r="BD66" i="3"/>
  <c r="BD67" i="3"/>
  <c r="BD68" i="3"/>
  <c r="BD69" i="3"/>
  <c r="BD70" i="3"/>
  <c r="BD71" i="3"/>
  <c r="BD72" i="3"/>
  <c r="BD73" i="3"/>
  <c r="BD74" i="3"/>
  <c r="BD75" i="3"/>
  <c r="BD76" i="3"/>
  <c r="BD77" i="3"/>
  <c r="BD78" i="3"/>
  <c r="BD79" i="3"/>
  <c r="BD80" i="3"/>
  <c r="BD81" i="3"/>
  <c r="BD82" i="3"/>
  <c r="BD83" i="3"/>
  <c r="BD84" i="3"/>
  <c r="BD85" i="3"/>
  <c r="BD86" i="3"/>
  <c r="BD87" i="3"/>
  <c r="BD9" i="3"/>
  <c r="BD5" i="3"/>
  <c r="BD6" i="3"/>
  <c r="BD7" i="3"/>
  <c r="BD4" i="3"/>
  <c r="D75" i="14"/>
  <c r="D65" i="14"/>
  <c r="D54" i="14"/>
  <c r="D44" i="14"/>
  <c r="D31" i="14"/>
  <c r="D19" i="14"/>
  <c r="D5" i="14"/>
  <c r="D2" i="14"/>
  <c r="D85" i="14"/>
  <c r="AZ5" i="3"/>
  <c r="AZ6" i="3"/>
  <c r="AZ7" i="3"/>
  <c r="AZ9" i="3"/>
  <c r="AZ10" i="3"/>
  <c r="AZ11" i="3"/>
  <c r="AZ12" i="3"/>
  <c r="AZ13" i="3"/>
  <c r="AZ88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Z57" i="3"/>
  <c r="AZ58" i="3"/>
  <c r="AZ59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3" i="3"/>
  <c r="AZ84" i="3"/>
  <c r="AZ85" i="3"/>
  <c r="AZ86" i="3"/>
  <c r="AZ87" i="3"/>
  <c r="AZ89" i="3"/>
  <c r="AZ96" i="3"/>
  <c r="AZ90" i="3"/>
  <c r="AZ91" i="3"/>
  <c r="AZ92" i="3"/>
  <c r="AZ93" i="3"/>
  <c r="AZ94" i="3"/>
  <c r="AZ95" i="3"/>
  <c r="AZ97" i="3"/>
  <c r="AZ98" i="3"/>
  <c r="AZ109" i="3"/>
  <c r="AZ99" i="3"/>
  <c r="AZ100" i="3"/>
  <c r="AZ102" i="3"/>
  <c r="AZ104" i="3"/>
  <c r="AZ103" i="3"/>
  <c r="AZ4" i="3"/>
  <c r="AZ8" i="3"/>
  <c r="AY5" i="3"/>
  <c r="AY8" i="3"/>
  <c r="AY6" i="3"/>
  <c r="AY7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9" i="3"/>
  <c r="AY90" i="3"/>
  <c r="AY91" i="3"/>
  <c r="AY92" i="3"/>
  <c r="AY93" i="3"/>
  <c r="AY94" i="3"/>
  <c r="AY95" i="3"/>
  <c r="AY97" i="3"/>
  <c r="AY98" i="3"/>
  <c r="AY99" i="3"/>
  <c r="AY101" i="3"/>
  <c r="AY100" i="3"/>
  <c r="AY102" i="3"/>
  <c r="AY104" i="3"/>
  <c r="AY103" i="3"/>
  <c r="AY4" i="3"/>
  <c r="AX5" i="3"/>
  <c r="AX6" i="3"/>
  <c r="AX7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9" i="3"/>
  <c r="AX90" i="3"/>
  <c r="AX91" i="3"/>
  <c r="AX92" i="3"/>
  <c r="AX93" i="3"/>
  <c r="AX94" i="3"/>
  <c r="AX95" i="3"/>
  <c r="AX97" i="3"/>
  <c r="AX101" i="3"/>
  <c r="AX98" i="3"/>
  <c r="AX99" i="3"/>
  <c r="AX100" i="3"/>
  <c r="AX102" i="3"/>
  <c r="AX110" i="3"/>
  <c r="AX103" i="3"/>
  <c r="AX4" i="3"/>
  <c r="AX8" i="3"/>
  <c r="AW5" i="3"/>
  <c r="AW6" i="3"/>
  <c r="AW7" i="3"/>
  <c r="AW9" i="3"/>
  <c r="AW10" i="3"/>
  <c r="AW11" i="3"/>
  <c r="AW88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9" i="3"/>
  <c r="AW90" i="3"/>
  <c r="AW96" i="3"/>
  <c r="AW91" i="3"/>
  <c r="AW92" i="3"/>
  <c r="AW93" i="3"/>
  <c r="AW94" i="3"/>
  <c r="AW95" i="3"/>
  <c r="AW97" i="3"/>
  <c r="AW98" i="3"/>
  <c r="AW99" i="3"/>
  <c r="AW101" i="3"/>
  <c r="AW100" i="3"/>
  <c r="AW102" i="3"/>
  <c r="AW104" i="3"/>
  <c r="AW103" i="3"/>
  <c r="AW4" i="3"/>
  <c r="AW8" i="3"/>
  <c r="AV5" i="3"/>
  <c r="AV6" i="3"/>
  <c r="AV7" i="3"/>
  <c r="AV9" i="3"/>
  <c r="AV88" i="3"/>
  <c r="AV10" i="3"/>
  <c r="AV11" i="3"/>
  <c r="AV12" i="3"/>
  <c r="AV13" i="3"/>
  <c r="AV14" i="3"/>
  <c r="AV15" i="3"/>
  <c r="AV16" i="3"/>
  <c r="AV17" i="3"/>
  <c r="AV18" i="3"/>
  <c r="AV19" i="3"/>
  <c r="AV20" i="3"/>
  <c r="AV21" i="3"/>
  <c r="AV22" i="3"/>
  <c r="AV23" i="3"/>
  <c r="AV24" i="3"/>
  <c r="AV25" i="3"/>
  <c r="AV26" i="3"/>
  <c r="AV27" i="3"/>
  <c r="AV28" i="3"/>
  <c r="AV29" i="3"/>
  <c r="AV30" i="3"/>
  <c r="AV31" i="3"/>
  <c r="AV32" i="3"/>
  <c r="AV33" i="3"/>
  <c r="AV34" i="3"/>
  <c r="AV35" i="3"/>
  <c r="AV36" i="3"/>
  <c r="AV37" i="3"/>
  <c r="AV38" i="3"/>
  <c r="AV39" i="3"/>
  <c r="AV40" i="3"/>
  <c r="AV41" i="3"/>
  <c r="AV42" i="3"/>
  <c r="AV43" i="3"/>
  <c r="AV44" i="3"/>
  <c r="AV45" i="3"/>
  <c r="AV46" i="3"/>
  <c r="AV47" i="3"/>
  <c r="AV48" i="3"/>
  <c r="AV49" i="3"/>
  <c r="AV50" i="3"/>
  <c r="AV51" i="3"/>
  <c r="AV52" i="3"/>
  <c r="AV53" i="3"/>
  <c r="AV54" i="3"/>
  <c r="AV55" i="3"/>
  <c r="AV56" i="3"/>
  <c r="AV57" i="3"/>
  <c r="AV58" i="3"/>
  <c r="AV59" i="3"/>
  <c r="AV60" i="3"/>
  <c r="AV61" i="3"/>
  <c r="AV62" i="3"/>
  <c r="AV63" i="3"/>
  <c r="AV64" i="3"/>
  <c r="AV65" i="3"/>
  <c r="AV66" i="3"/>
  <c r="AV67" i="3"/>
  <c r="AV68" i="3"/>
  <c r="AV69" i="3"/>
  <c r="AV70" i="3"/>
  <c r="AV71" i="3"/>
  <c r="AV72" i="3"/>
  <c r="AV73" i="3"/>
  <c r="AV74" i="3"/>
  <c r="AV75" i="3"/>
  <c r="AV76" i="3"/>
  <c r="AV77" i="3"/>
  <c r="AV78" i="3"/>
  <c r="AV79" i="3"/>
  <c r="AV80" i="3"/>
  <c r="AV81" i="3"/>
  <c r="AV82" i="3"/>
  <c r="AV83" i="3"/>
  <c r="AV84" i="3"/>
  <c r="AV85" i="3"/>
  <c r="AV86" i="3"/>
  <c r="AV87" i="3"/>
  <c r="AV89" i="3"/>
  <c r="AV90" i="3"/>
  <c r="AV96" i="3"/>
  <c r="AV91" i="3"/>
  <c r="AV92" i="3"/>
  <c r="AV93" i="3"/>
  <c r="AV94" i="3"/>
  <c r="AV95" i="3"/>
  <c r="AV97" i="3"/>
  <c r="AV101" i="3"/>
  <c r="AV98" i="3"/>
  <c r="AV99" i="3"/>
  <c r="AV100" i="3"/>
  <c r="AV102" i="3"/>
  <c r="AV104" i="3"/>
  <c r="AV103" i="3"/>
  <c r="AV4" i="3"/>
  <c r="AV8" i="3"/>
  <c r="AU5" i="3"/>
  <c r="AU6" i="3"/>
  <c r="AU7" i="3"/>
  <c r="AU9" i="3"/>
  <c r="AU10" i="3"/>
  <c r="AU11" i="3"/>
  <c r="AU12" i="3"/>
  <c r="AU13" i="3"/>
  <c r="AU14" i="3"/>
  <c r="AU15" i="3"/>
  <c r="AU16" i="3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9" i="3"/>
  <c r="AU90" i="3"/>
  <c r="AU91" i="3"/>
  <c r="AU92" i="3"/>
  <c r="AU93" i="3"/>
  <c r="AU94" i="3"/>
  <c r="AU95" i="3"/>
  <c r="AU97" i="3"/>
  <c r="AU101" i="3"/>
  <c r="AU98" i="3"/>
  <c r="AU99" i="3"/>
  <c r="AU100" i="3"/>
  <c r="AU102" i="3"/>
  <c r="AU104" i="3"/>
  <c r="AU103" i="3"/>
  <c r="AU4" i="3"/>
  <c r="AU8" i="3"/>
  <c r="AT5" i="3"/>
  <c r="AT6" i="3"/>
  <c r="AT7" i="3"/>
  <c r="AT9" i="3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9" i="3"/>
  <c r="AT90" i="3"/>
  <c r="AT91" i="3"/>
  <c r="AT92" i="3"/>
  <c r="AT93" i="3"/>
  <c r="AT94" i="3"/>
  <c r="AT95" i="3"/>
  <c r="AT97" i="3"/>
  <c r="AT101" i="3"/>
  <c r="AT98" i="3"/>
  <c r="AT109" i="3"/>
  <c r="AT99" i="3"/>
  <c r="AT100" i="3"/>
  <c r="AT102" i="3"/>
  <c r="AT104" i="3"/>
  <c r="AT103" i="3"/>
  <c r="AT4" i="3"/>
  <c r="AT8" i="3"/>
  <c r="AS5" i="3"/>
  <c r="AS6" i="3"/>
  <c r="AS7" i="3"/>
  <c r="DS7" i="3"/>
  <c r="AS9" i="3"/>
  <c r="AS10" i="3"/>
  <c r="AS11" i="3"/>
  <c r="AS88" i="3"/>
  <c r="AS12" i="3"/>
  <c r="DS12" i="3"/>
  <c r="AS13" i="3"/>
  <c r="AS14" i="3"/>
  <c r="AS15" i="3"/>
  <c r="DS15" i="3"/>
  <c r="AS16" i="3"/>
  <c r="DS16" i="3"/>
  <c r="AS17" i="3"/>
  <c r="AS18" i="3"/>
  <c r="AS19" i="3"/>
  <c r="DS19" i="3"/>
  <c r="AS20" i="3"/>
  <c r="DS20" i="3"/>
  <c r="AS21" i="3"/>
  <c r="AS22" i="3"/>
  <c r="AS23" i="3"/>
  <c r="DS23" i="3"/>
  <c r="AS24" i="3"/>
  <c r="DS24" i="3"/>
  <c r="AS25" i="3"/>
  <c r="AS26" i="3"/>
  <c r="AS27" i="3"/>
  <c r="AS28" i="3"/>
  <c r="DS28" i="3"/>
  <c r="AS29" i="3"/>
  <c r="AS30" i="3"/>
  <c r="AS31" i="3"/>
  <c r="DS31" i="3"/>
  <c r="AS32" i="3"/>
  <c r="AS33" i="3"/>
  <c r="AS34" i="3"/>
  <c r="AS35" i="3"/>
  <c r="AS36" i="3"/>
  <c r="DS36" i="3"/>
  <c r="AS37" i="3"/>
  <c r="AS38" i="3"/>
  <c r="AS39" i="3"/>
  <c r="AS40" i="3"/>
  <c r="DS40" i="3"/>
  <c r="AS41" i="3"/>
  <c r="AS42" i="3"/>
  <c r="AS43" i="3"/>
  <c r="AS44" i="3"/>
  <c r="AS45" i="3"/>
  <c r="AS46" i="3"/>
  <c r="AS47" i="3"/>
  <c r="DS47" i="3"/>
  <c r="AS48" i="3"/>
  <c r="AS49" i="3"/>
  <c r="AS50" i="3"/>
  <c r="AS51" i="3"/>
  <c r="DS51" i="3"/>
  <c r="AS52" i="3"/>
  <c r="AS53" i="3"/>
  <c r="AS54" i="3"/>
  <c r="AS55" i="3"/>
  <c r="AS56" i="3"/>
  <c r="DS56" i="3"/>
  <c r="AS57" i="3"/>
  <c r="AS58" i="3"/>
  <c r="AS59" i="3"/>
  <c r="DS59" i="3"/>
  <c r="AS60" i="3"/>
  <c r="DS60" i="3"/>
  <c r="AS61" i="3"/>
  <c r="AS62" i="3"/>
  <c r="AS63" i="3"/>
  <c r="DS63" i="3"/>
  <c r="AS64" i="3"/>
  <c r="AS65" i="3"/>
  <c r="AS66" i="3"/>
  <c r="AS67" i="3"/>
  <c r="AS68" i="3"/>
  <c r="DS68" i="3"/>
  <c r="AS69" i="3"/>
  <c r="AS70" i="3"/>
  <c r="AS71" i="3"/>
  <c r="DS71" i="3"/>
  <c r="AS72" i="3"/>
  <c r="DS72" i="3"/>
  <c r="AS73" i="3"/>
  <c r="AS74" i="3"/>
  <c r="AS75" i="3"/>
  <c r="AS76" i="3"/>
  <c r="DS76" i="3"/>
  <c r="AS77" i="3"/>
  <c r="AS78" i="3"/>
  <c r="AS79" i="3"/>
  <c r="DS79" i="3"/>
  <c r="AS80" i="3"/>
  <c r="DS80" i="3"/>
  <c r="AS81" i="3"/>
  <c r="AS82" i="3"/>
  <c r="AS83" i="3"/>
  <c r="AS84" i="3"/>
  <c r="DS84" i="3"/>
  <c r="AS85" i="3"/>
  <c r="AS86" i="3"/>
  <c r="AS87" i="3"/>
  <c r="AS89" i="3"/>
  <c r="AS90" i="3"/>
  <c r="AS96" i="3"/>
  <c r="AS91" i="3"/>
  <c r="DS91" i="3"/>
  <c r="AS92" i="3"/>
  <c r="DS92" i="3"/>
  <c r="AS93" i="3"/>
  <c r="AS94" i="3"/>
  <c r="AS95" i="3"/>
  <c r="AS97" i="3"/>
  <c r="AS98" i="3"/>
  <c r="AS99" i="3"/>
  <c r="DS99" i="3"/>
  <c r="AS100" i="3"/>
  <c r="DS100" i="3"/>
  <c r="AS102" i="3"/>
  <c r="AS103" i="3"/>
  <c r="AS104" i="3"/>
  <c r="AS4" i="3"/>
  <c r="AS8" i="3"/>
  <c r="AR5" i="3"/>
  <c r="AR6" i="3"/>
  <c r="AR7" i="3"/>
  <c r="AR8" i="3"/>
  <c r="AR9" i="3"/>
  <c r="AR10" i="3"/>
  <c r="AR11" i="3"/>
  <c r="AR88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9" i="3"/>
  <c r="AR90" i="3"/>
  <c r="AR96" i="3"/>
  <c r="AR91" i="3"/>
  <c r="AR92" i="3"/>
  <c r="AR93" i="3"/>
  <c r="AR94" i="3"/>
  <c r="AR95" i="3"/>
  <c r="AR97" i="3"/>
  <c r="AR98" i="3"/>
  <c r="AR99" i="3"/>
  <c r="AR101" i="3"/>
  <c r="AR100" i="3"/>
  <c r="AR102" i="3"/>
  <c r="AR104" i="3"/>
  <c r="AR103" i="3"/>
  <c r="AR4" i="3"/>
  <c r="AQ5" i="3"/>
  <c r="AQ6" i="3"/>
  <c r="AQ7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9" i="3"/>
  <c r="AQ90" i="3"/>
  <c r="AQ91" i="3"/>
  <c r="AQ92" i="3"/>
  <c r="AQ93" i="3"/>
  <c r="AQ94" i="3"/>
  <c r="AQ95" i="3"/>
  <c r="AQ97" i="3"/>
  <c r="AQ101" i="3"/>
  <c r="AQ98" i="3"/>
  <c r="AQ99" i="3"/>
  <c r="AQ100" i="3"/>
  <c r="AQ102" i="3"/>
  <c r="AQ104" i="3"/>
  <c r="AQ103" i="3"/>
  <c r="AQ4" i="3"/>
  <c r="AP5" i="3"/>
  <c r="AP6" i="3"/>
  <c r="AP7" i="3"/>
  <c r="AP9" i="3"/>
  <c r="AP10" i="3"/>
  <c r="AP11" i="3"/>
  <c r="AP12" i="3"/>
  <c r="AP13" i="3"/>
  <c r="AP14" i="3"/>
  <c r="AP15" i="3"/>
  <c r="AP16" i="3"/>
  <c r="DQ16" i="3"/>
  <c r="AP17" i="3"/>
  <c r="AP18" i="3"/>
  <c r="AP19" i="3"/>
  <c r="AP20" i="3"/>
  <c r="AP21" i="3"/>
  <c r="AP22" i="3"/>
  <c r="AP23" i="3"/>
  <c r="DQ23" i="3"/>
  <c r="AP24" i="3"/>
  <c r="AP25" i="3"/>
  <c r="AP26" i="3"/>
  <c r="AP27" i="3"/>
  <c r="AP28" i="3"/>
  <c r="AP29" i="3"/>
  <c r="AP30" i="3"/>
  <c r="AP31" i="3"/>
  <c r="DQ31" i="3"/>
  <c r="AP32" i="3"/>
  <c r="DQ32" i="3"/>
  <c r="AP33" i="3"/>
  <c r="AP34" i="3"/>
  <c r="AP35" i="3"/>
  <c r="DQ35" i="3"/>
  <c r="AP36" i="3"/>
  <c r="AP37" i="3"/>
  <c r="AP38" i="3"/>
  <c r="AP39" i="3"/>
  <c r="AP40" i="3"/>
  <c r="AP41" i="3"/>
  <c r="AP42" i="3"/>
  <c r="AP43" i="3"/>
  <c r="DQ43" i="3"/>
  <c r="AP44" i="3"/>
  <c r="DQ44" i="3"/>
  <c r="AP45" i="3"/>
  <c r="AP46" i="3"/>
  <c r="AP47" i="3"/>
  <c r="DQ47" i="3"/>
  <c r="AP48" i="3"/>
  <c r="DQ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DQ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DQ79" i="3"/>
  <c r="AP80" i="3"/>
  <c r="DQ80" i="3"/>
  <c r="AP81" i="3"/>
  <c r="AP82" i="3"/>
  <c r="AP83" i="3"/>
  <c r="AP84" i="3"/>
  <c r="DQ84" i="3"/>
  <c r="AP85" i="3"/>
  <c r="AP86" i="3"/>
  <c r="AP87" i="3"/>
  <c r="AP89" i="3"/>
  <c r="AP90" i="3"/>
  <c r="AP91" i="3"/>
  <c r="AP92" i="3"/>
  <c r="AP93" i="3"/>
  <c r="AP94" i="3"/>
  <c r="AP95" i="3"/>
  <c r="AP97" i="3"/>
  <c r="AP98" i="3"/>
  <c r="AP99" i="3"/>
  <c r="AP101" i="3"/>
  <c r="AP100" i="3"/>
  <c r="DO100" i="3"/>
  <c r="AP102" i="3"/>
  <c r="AP104" i="3"/>
  <c r="AP103" i="3"/>
  <c r="AP4" i="3"/>
  <c r="AO5" i="3"/>
  <c r="AO6" i="3"/>
  <c r="AO8" i="3"/>
  <c r="AO7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77" i="3"/>
  <c r="AO78" i="3"/>
  <c r="AO79" i="3"/>
  <c r="AO80" i="3"/>
  <c r="AO81" i="3"/>
  <c r="AO82" i="3"/>
  <c r="AO83" i="3"/>
  <c r="AO84" i="3"/>
  <c r="AO85" i="3"/>
  <c r="AO86" i="3"/>
  <c r="AO87" i="3"/>
  <c r="AO89" i="3"/>
  <c r="AO90" i="3"/>
  <c r="AO91" i="3"/>
  <c r="AO92" i="3"/>
  <c r="AO93" i="3"/>
  <c r="AO96" i="3"/>
  <c r="AO94" i="3"/>
  <c r="AO95" i="3"/>
  <c r="AO97" i="3"/>
  <c r="AO101" i="3"/>
  <c r="AO98" i="3"/>
  <c r="AO99" i="3"/>
  <c r="AO100" i="3"/>
  <c r="AO102" i="3"/>
  <c r="AO104" i="3"/>
  <c r="AO103" i="3"/>
  <c r="AO4" i="3"/>
  <c r="AN5" i="3"/>
  <c r="AN106" i="3"/>
  <c r="AN6" i="3"/>
  <c r="AN7" i="3"/>
  <c r="AN9" i="3"/>
  <c r="AN88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9" i="3"/>
  <c r="AN96" i="3"/>
  <c r="AN90" i="3"/>
  <c r="AN91" i="3"/>
  <c r="AN92" i="3"/>
  <c r="AN93" i="3"/>
  <c r="AN94" i="3"/>
  <c r="AN95" i="3"/>
  <c r="AN97" i="3"/>
  <c r="AN101" i="3"/>
  <c r="AN98" i="3"/>
  <c r="AN99" i="3"/>
  <c r="AN100" i="3"/>
  <c r="AN102" i="3"/>
  <c r="AN110" i="3"/>
  <c r="AN103" i="3"/>
  <c r="AN4" i="3"/>
  <c r="AM5" i="3"/>
  <c r="AM6" i="3"/>
  <c r="AM7" i="3"/>
  <c r="AM9" i="3"/>
  <c r="AM10" i="3"/>
  <c r="AM11" i="3"/>
  <c r="AM12" i="3"/>
  <c r="DN12" i="3"/>
  <c r="AM13" i="3"/>
  <c r="AM14" i="3"/>
  <c r="AM15" i="3"/>
  <c r="DN15" i="3"/>
  <c r="AM16" i="3"/>
  <c r="AM17" i="3"/>
  <c r="AM18" i="3"/>
  <c r="AM19" i="3"/>
  <c r="AM20" i="3"/>
  <c r="AM21" i="3"/>
  <c r="AM22" i="3"/>
  <c r="AM23" i="3"/>
  <c r="DN23" i="3"/>
  <c r="AM24" i="3"/>
  <c r="AM25" i="3"/>
  <c r="AM26" i="3"/>
  <c r="AM27" i="3"/>
  <c r="AM28" i="3"/>
  <c r="AM29" i="3"/>
  <c r="AM30" i="3"/>
  <c r="AM31" i="3"/>
  <c r="AM32" i="3"/>
  <c r="DN32" i="3"/>
  <c r="AM33" i="3"/>
  <c r="AM34" i="3"/>
  <c r="AM35" i="3"/>
  <c r="DN35" i="3"/>
  <c r="AM36" i="3"/>
  <c r="DN36" i="3"/>
  <c r="AM37" i="3"/>
  <c r="AM38" i="3"/>
  <c r="AM39" i="3"/>
  <c r="DN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DN55" i="3"/>
  <c r="AM56" i="3"/>
  <c r="AM57" i="3"/>
  <c r="AM58" i="3"/>
  <c r="AM59" i="3"/>
  <c r="DN59" i="3"/>
  <c r="AM60" i="3"/>
  <c r="DN60" i="3"/>
  <c r="AM61" i="3"/>
  <c r="AM62" i="3"/>
  <c r="AM63" i="3"/>
  <c r="DN63" i="3"/>
  <c r="AM64" i="3"/>
  <c r="AM65" i="3"/>
  <c r="AM66" i="3"/>
  <c r="AM67" i="3"/>
  <c r="AM68" i="3"/>
  <c r="AM69" i="3"/>
  <c r="AM70" i="3"/>
  <c r="AM71" i="3"/>
  <c r="AM72" i="3"/>
  <c r="DN72" i="3"/>
  <c r="AM73" i="3"/>
  <c r="AM74" i="3"/>
  <c r="AM75" i="3"/>
  <c r="AM76" i="3"/>
  <c r="AM77" i="3"/>
  <c r="AM78" i="3"/>
  <c r="AM79" i="3"/>
  <c r="DN79" i="3"/>
  <c r="AM80" i="3"/>
  <c r="DN80" i="3"/>
  <c r="AM81" i="3"/>
  <c r="AM82" i="3"/>
  <c r="AM83" i="3"/>
  <c r="AM84" i="3"/>
  <c r="DN84" i="3"/>
  <c r="AM85" i="3"/>
  <c r="AM86" i="3"/>
  <c r="AM87" i="3"/>
  <c r="DN87" i="3"/>
  <c r="AM89" i="3"/>
  <c r="AM90" i="3"/>
  <c r="AM91" i="3"/>
  <c r="AM92" i="3"/>
  <c r="AM93" i="3"/>
  <c r="AM94" i="3"/>
  <c r="AM95" i="3"/>
  <c r="AM97" i="3"/>
  <c r="AM101" i="3"/>
  <c r="AM98" i="3"/>
  <c r="AM99" i="3"/>
  <c r="AM100" i="3"/>
  <c r="DN100" i="3"/>
  <c r="AM102" i="3"/>
  <c r="AM104" i="3"/>
  <c r="AM103" i="3"/>
  <c r="AM4" i="3"/>
  <c r="AL5" i="3"/>
  <c r="AL6" i="3"/>
  <c r="AL7" i="3"/>
  <c r="AL9" i="3"/>
  <c r="AL10" i="3"/>
  <c r="AL11" i="3"/>
  <c r="AL12" i="3"/>
  <c r="DJ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DJ28" i="3"/>
  <c r="AL29" i="3"/>
  <c r="AL30" i="3"/>
  <c r="AL31" i="3"/>
  <c r="AL32" i="3"/>
  <c r="DH32" i="3"/>
  <c r="AL33" i="3"/>
  <c r="AL34" i="3"/>
  <c r="AL35" i="3"/>
  <c r="DJ35" i="3"/>
  <c r="AL36" i="3"/>
  <c r="DJ36" i="3"/>
  <c r="AL37" i="3"/>
  <c r="AL38" i="3"/>
  <c r="AL39" i="3"/>
  <c r="AL40" i="3"/>
  <c r="AL41" i="3"/>
  <c r="AL42" i="3"/>
  <c r="AL43" i="3"/>
  <c r="AL44" i="3"/>
  <c r="DH44" i="3"/>
  <c r="AL45" i="3"/>
  <c r="AL46" i="3"/>
  <c r="AL47" i="3"/>
  <c r="AL48" i="3"/>
  <c r="AL49" i="3"/>
  <c r="AL50" i="3"/>
  <c r="AL51" i="3"/>
  <c r="AL52" i="3"/>
  <c r="AL53" i="3"/>
  <c r="AL54" i="3"/>
  <c r="AL55" i="3"/>
  <c r="DJ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DJ67" i="3"/>
  <c r="AL68" i="3"/>
  <c r="AL69" i="3"/>
  <c r="AL70" i="3"/>
  <c r="AL71" i="3"/>
  <c r="AL72" i="3"/>
  <c r="DJ72" i="3"/>
  <c r="AL73" i="3"/>
  <c r="AL74" i="3"/>
  <c r="AL75" i="3"/>
  <c r="DJ75" i="3"/>
  <c r="AL76" i="3"/>
  <c r="DJ76" i="3"/>
  <c r="AL77" i="3"/>
  <c r="AL78" i="3"/>
  <c r="AL79" i="3"/>
  <c r="AL80" i="3"/>
  <c r="DJ80" i="3"/>
  <c r="AL81" i="3"/>
  <c r="AL82" i="3"/>
  <c r="AL83" i="3"/>
  <c r="AL84" i="3"/>
  <c r="AL85" i="3"/>
  <c r="AL86" i="3"/>
  <c r="AL87" i="3"/>
  <c r="AL89" i="3"/>
  <c r="AL90" i="3"/>
  <c r="AL91" i="3"/>
  <c r="DJ91" i="3"/>
  <c r="AL92" i="3"/>
  <c r="AL93" i="3"/>
  <c r="AL94" i="3"/>
  <c r="AL95" i="3"/>
  <c r="AL97" i="3"/>
  <c r="AL98" i="3"/>
  <c r="AL99" i="3"/>
  <c r="DJ99" i="3"/>
  <c r="AL100" i="3"/>
  <c r="AL101" i="3"/>
  <c r="AL102" i="3"/>
  <c r="AL104" i="3"/>
  <c r="AL103" i="3"/>
  <c r="AL4" i="3"/>
  <c r="AK5" i="3"/>
  <c r="AK6" i="3"/>
  <c r="AK7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9" i="3"/>
  <c r="AK96" i="3"/>
  <c r="AK90" i="3"/>
  <c r="AK91" i="3"/>
  <c r="AK92" i="3"/>
  <c r="AK93" i="3"/>
  <c r="AK94" i="3"/>
  <c r="AK95" i="3"/>
  <c r="AK97" i="3"/>
  <c r="AK101" i="3"/>
  <c r="AK98" i="3"/>
  <c r="AK99" i="3"/>
  <c r="AK100" i="3"/>
  <c r="AK102" i="3"/>
  <c r="AK104" i="3"/>
  <c r="AK103" i="3"/>
  <c r="AK4" i="3"/>
  <c r="AJ5" i="3"/>
  <c r="AJ6" i="3"/>
  <c r="AJ7" i="3"/>
  <c r="DF7" i="3"/>
  <c r="AJ9" i="3"/>
  <c r="AJ10" i="3"/>
  <c r="AJ11" i="3"/>
  <c r="AJ12" i="3"/>
  <c r="DG12" i="3"/>
  <c r="AJ13" i="3"/>
  <c r="AJ14" i="3"/>
  <c r="AJ15" i="3"/>
  <c r="DG15" i="3"/>
  <c r="AJ16" i="3"/>
  <c r="DG16" i="3"/>
  <c r="AJ17" i="3"/>
  <c r="AJ18" i="3"/>
  <c r="AJ19" i="3"/>
  <c r="DG19" i="3"/>
  <c r="AJ20" i="3"/>
  <c r="AJ21" i="3"/>
  <c r="AJ22" i="3"/>
  <c r="AJ23" i="3"/>
  <c r="DG23" i="3"/>
  <c r="AJ24" i="3"/>
  <c r="DG24" i="3"/>
  <c r="AJ25" i="3"/>
  <c r="AJ26" i="3"/>
  <c r="AJ27" i="3"/>
  <c r="DG27" i="3"/>
  <c r="AJ28" i="3"/>
  <c r="DF28" i="3"/>
  <c r="AJ29" i="3"/>
  <c r="AJ30" i="3"/>
  <c r="AJ31" i="3"/>
  <c r="DF31" i="3"/>
  <c r="AJ32" i="3"/>
  <c r="AJ33" i="3"/>
  <c r="AJ34" i="3"/>
  <c r="AJ35" i="3"/>
  <c r="AJ36" i="3"/>
  <c r="AJ37" i="3"/>
  <c r="AJ38" i="3"/>
  <c r="AJ39" i="3"/>
  <c r="AJ40" i="3"/>
  <c r="DD40" i="3"/>
  <c r="AJ41" i="3"/>
  <c r="AJ42" i="3"/>
  <c r="AJ43" i="3"/>
  <c r="DG43" i="3"/>
  <c r="AJ44" i="3"/>
  <c r="DD44" i="3"/>
  <c r="AJ45" i="3"/>
  <c r="AJ46" i="3"/>
  <c r="AJ47" i="3"/>
  <c r="AJ48" i="3"/>
  <c r="AJ49" i="3"/>
  <c r="AJ50" i="3"/>
  <c r="AJ51" i="3"/>
  <c r="AJ52" i="3"/>
  <c r="DG52" i="3"/>
  <c r="AJ53" i="3"/>
  <c r="AJ54" i="3"/>
  <c r="AJ55" i="3"/>
  <c r="DF55" i="3"/>
  <c r="AJ56" i="3"/>
  <c r="AJ57" i="3"/>
  <c r="AJ58" i="3"/>
  <c r="AJ59" i="3"/>
  <c r="DG59" i="3"/>
  <c r="AJ60" i="3"/>
  <c r="DF60" i="3"/>
  <c r="AJ61" i="3"/>
  <c r="AJ62" i="3"/>
  <c r="AJ63" i="3"/>
  <c r="DG63" i="3"/>
  <c r="AJ64" i="3"/>
  <c r="DF64" i="3"/>
  <c r="AJ65" i="3"/>
  <c r="AJ66" i="3"/>
  <c r="AJ67" i="3"/>
  <c r="AJ68" i="3"/>
  <c r="DF68" i="3"/>
  <c r="AJ69" i="3"/>
  <c r="AJ70" i="3"/>
  <c r="AJ71" i="3"/>
  <c r="AJ72" i="3"/>
  <c r="AJ73" i="3"/>
  <c r="AJ74" i="3"/>
  <c r="AJ75" i="3"/>
  <c r="AJ76" i="3"/>
  <c r="DF76" i="3"/>
  <c r="AJ77" i="3"/>
  <c r="AJ78" i="3"/>
  <c r="AJ79" i="3"/>
  <c r="DG79" i="3"/>
  <c r="AJ80" i="3"/>
  <c r="AJ81" i="3"/>
  <c r="AJ82" i="3"/>
  <c r="AJ83" i="3"/>
  <c r="AJ84" i="3"/>
  <c r="DG84" i="3"/>
  <c r="AJ85" i="3"/>
  <c r="AJ86" i="3"/>
  <c r="AJ87" i="3"/>
  <c r="DF87" i="3"/>
  <c r="AJ89" i="3"/>
  <c r="AJ90" i="3"/>
  <c r="AJ91" i="3"/>
  <c r="AJ92" i="3"/>
  <c r="DG92" i="3"/>
  <c r="AJ93" i="3"/>
  <c r="AJ94" i="3"/>
  <c r="AJ95" i="3"/>
  <c r="AJ97" i="3"/>
  <c r="AJ98" i="3"/>
  <c r="AJ99" i="3"/>
  <c r="DG99" i="3"/>
  <c r="AJ100" i="3"/>
  <c r="AJ101" i="3"/>
  <c r="AJ102" i="3"/>
  <c r="AJ103" i="3"/>
  <c r="AJ104" i="3"/>
  <c r="AJ4" i="3"/>
  <c r="AI5" i="3"/>
  <c r="AI6" i="3"/>
  <c r="AI7" i="3"/>
  <c r="AI9" i="3"/>
  <c r="AI10" i="3"/>
  <c r="AI11" i="3"/>
  <c r="DC11" i="3"/>
  <c r="AI12" i="3"/>
  <c r="DC12" i="3"/>
  <c r="AI13" i="3"/>
  <c r="AI14" i="3"/>
  <c r="AI15" i="3"/>
  <c r="AI16" i="3"/>
  <c r="AI17" i="3"/>
  <c r="AI18" i="3"/>
  <c r="AI19" i="3"/>
  <c r="AI20" i="3"/>
  <c r="DC20" i="3"/>
  <c r="AI21" i="3"/>
  <c r="AI22" i="3"/>
  <c r="AI23" i="3"/>
  <c r="DC23" i="3"/>
  <c r="AI24" i="3"/>
  <c r="DC24" i="3"/>
  <c r="AI25" i="3"/>
  <c r="AI26" i="3"/>
  <c r="AI27" i="3"/>
  <c r="DC27" i="3"/>
  <c r="AI28" i="3"/>
  <c r="DC28" i="3"/>
  <c r="AI29" i="3"/>
  <c r="AI30" i="3"/>
  <c r="AI31" i="3"/>
  <c r="AI32" i="3"/>
  <c r="DC32" i="3"/>
  <c r="AI33" i="3"/>
  <c r="AI34" i="3"/>
  <c r="AI35" i="3"/>
  <c r="DC35" i="3"/>
  <c r="AI36" i="3"/>
  <c r="AI37" i="3"/>
  <c r="AI38" i="3"/>
  <c r="AI39" i="3"/>
  <c r="AI40" i="3"/>
  <c r="DC40" i="3"/>
  <c r="AI41" i="3"/>
  <c r="AI42" i="3"/>
  <c r="AI43" i="3"/>
  <c r="AI44" i="3"/>
  <c r="DC44" i="3"/>
  <c r="AI45" i="3"/>
  <c r="AI46" i="3"/>
  <c r="AI47" i="3"/>
  <c r="DC47" i="3"/>
  <c r="AI48" i="3"/>
  <c r="DC48" i="3"/>
  <c r="AI49" i="3"/>
  <c r="AI50" i="3"/>
  <c r="AI51" i="3"/>
  <c r="DC51" i="3"/>
  <c r="AI52" i="3"/>
  <c r="DC52" i="3"/>
  <c r="AI53" i="3"/>
  <c r="AI54" i="3"/>
  <c r="AI55" i="3"/>
  <c r="AI56" i="3"/>
  <c r="AI57" i="3"/>
  <c r="AI58" i="3"/>
  <c r="AI59" i="3"/>
  <c r="DC59" i="3"/>
  <c r="AI60" i="3"/>
  <c r="DC60" i="3"/>
  <c r="AI61" i="3"/>
  <c r="AI62" i="3"/>
  <c r="AI63" i="3"/>
  <c r="DC63" i="3"/>
  <c r="AI64" i="3"/>
  <c r="DC64" i="3"/>
  <c r="AI65" i="3"/>
  <c r="AI66" i="3"/>
  <c r="AI67" i="3"/>
  <c r="AI68" i="3"/>
  <c r="DC68" i="3"/>
  <c r="AI69" i="3"/>
  <c r="AI70" i="3"/>
  <c r="AI71" i="3"/>
  <c r="DC71" i="3"/>
  <c r="AI72" i="3"/>
  <c r="DC72" i="3"/>
  <c r="AI73" i="3"/>
  <c r="AI74" i="3"/>
  <c r="AI75" i="3"/>
  <c r="AI76" i="3"/>
  <c r="DC76" i="3"/>
  <c r="AI77" i="3"/>
  <c r="AI78" i="3"/>
  <c r="AI79" i="3"/>
  <c r="AI80" i="3"/>
  <c r="DC80" i="3"/>
  <c r="AI81" i="3"/>
  <c r="AI82" i="3"/>
  <c r="AI83" i="3"/>
  <c r="AI84" i="3"/>
  <c r="AI85" i="3"/>
  <c r="AI86" i="3"/>
  <c r="AI87" i="3"/>
  <c r="AI89" i="3"/>
  <c r="AI90" i="3"/>
  <c r="AI91" i="3"/>
  <c r="AI92" i="3"/>
  <c r="DC92" i="3"/>
  <c r="AI93" i="3"/>
  <c r="AI94" i="3"/>
  <c r="AI95" i="3"/>
  <c r="DC95" i="3"/>
  <c r="AI97" i="3"/>
  <c r="AI101" i="3"/>
  <c r="AI98" i="3"/>
  <c r="AI99" i="3"/>
  <c r="DC99" i="3"/>
  <c r="AI100" i="3"/>
  <c r="AI102" i="3"/>
  <c r="AI103" i="3"/>
  <c r="AI104" i="3"/>
  <c r="AI4" i="3"/>
  <c r="AH5" i="3"/>
  <c r="AH6" i="3"/>
  <c r="AH7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9" i="3"/>
  <c r="AH90" i="3"/>
  <c r="AH108" i="3"/>
  <c r="AH91" i="3"/>
  <c r="AH92" i="3"/>
  <c r="AH93" i="3"/>
  <c r="AH94" i="3"/>
  <c r="AH95" i="3"/>
  <c r="AH97" i="3"/>
  <c r="AH98" i="3"/>
  <c r="AH101" i="3"/>
  <c r="AH99" i="3"/>
  <c r="AH100" i="3"/>
  <c r="AH102" i="3"/>
  <c r="AH103" i="3"/>
  <c r="AH104" i="3"/>
  <c r="AH4" i="3"/>
  <c r="AG5" i="3"/>
  <c r="AG6" i="3"/>
  <c r="AG8" i="3"/>
  <c r="AG7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9" i="3"/>
  <c r="AG96" i="3"/>
  <c r="AG90" i="3"/>
  <c r="AG91" i="3"/>
  <c r="AG92" i="3"/>
  <c r="AG93" i="3"/>
  <c r="AG94" i="3"/>
  <c r="AG95" i="3"/>
  <c r="AG97" i="3"/>
  <c r="AG98" i="3"/>
  <c r="AG101" i="3"/>
  <c r="AG99" i="3"/>
  <c r="AG100" i="3"/>
  <c r="AG102" i="3"/>
  <c r="AG103" i="3"/>
  <c r="AG104" i="3"/>
  <c r="AG4" i="3"/>
  <c r="AF5" i="3"/>
  <c r="AF6" i="3"/>
  <c r="AF7" i="3"/>
  <c r="AF9" i="3"/>
  <c r="AF10" i="3"/>
  <c r="AF11" i="3"/>
  <c r="AF12" i="3"/>
  <c r="DA12" i="3"/>
  <c r="AF13" i="3"/>
  <c r="AF14" i="3"/>
  <c r="AF15" i="3"/>
  <c r="DA15" i="3"/>
  <c r="AF16" i="3"/>
  <c r="AF17" i="3"/>
  <c r="AF18" i="3"/>
  <c r="AF19" i="3"/>
  <c r="DA19" i="3"/>
  <c r="AF20" i="3"/>
  <c r="CZ20" i="3"/>
  <c r="AF21" i="3"/>
  <c r="AF22" i="3"/>
  <c r="AF23" i="3"/>
  <c r="AF24" i="3"/>
  <c r="CZ24" i="3"/>
  <c r="AF25" i="3"/>
  <c r="AF26" i="3"/>
  <c r="AF27" i="3"/>
  <c r="CZ27" i="3"/>
  <c r="AF28" i="3"/>
  <c r="AF29" i="3"/>
  <c r="AF30" i="3"/>
  <c r="AF31" i="3"/>
  <c r="CZ31" i="3"/>
  <c r="AF32" i="3"/>
  <c r="AF33" i="3"/>
  <c r="AF34" i="3"/>
  <c r="AF35" i="3"/>
  <c r="DA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CZ48" i="3"/>
  <c r="AF49" i="3"/>
  <c r="AF50" i="3"/>
  <c r="AF51" i="3"/>
  <c r="CZ51" i="3"/>
  <c r="AF52" i="3"/>
  <c r="CZ52" i="3"/>
  <c r="AF53" i="3"/>
  <c r="AF54" i="3"/>
  <c r="AF55" i="3"/>
  <c r="AF56" i="3"/>
  <c r="AF57" i="3"/>
  <c r="AF58" i="3"/>
  <c r="AF59" i="3"/>
  <c r="DA59" i="3"/>
  <c r="AF60" i="3"/>
  <c r="AF61" i="3"/>
  <c r="AF62" i="3"/>
  <c r="AF63" i="3"/>
  <c r="CZ63" i="3"/>
  <c r="AF64" i="3"/>
  <c r="AF65" i="3"/>
  <c r="AF66" i="3"/>
  <c r="AF67" i="3"/>
  <c r="DA67" i="3"/>
  <c r="AF68" i="3"/>
  <c r="DA68" i="3"/>
  <c r="AF69" i="3"/>
  <c r="AF70" i="3"/>
  <c r="AF71" i="3"/>
  <c r="DA71" i="3"/>
  <c r="AF72" i="3"/>
  <c r="CZ72" i="3"/>
  <c r="AF73" i="3"/>
  <c r="AF74" i="3"/>
  <c r="AF75" i="3"/>
  <c r="DA75" i="3"/>
  <c r="AF76" i="3"/>
  <c r="AF77" i="3"/>
  <c r="AF78" i="3"/>
  <c r="AF79" i="3"/>
  <c r="CZ79" i="3"/>
  <c r="AF80" i="3"/>
  <c r="CZ80" i="3"/>
  <c r="AF81" i="3"/>
  <c r="AF82" i="3"/>
  <c r="AF83" i="3"/>
  <c r="DA83" i="3"/>
  <c r="AF84" i="3"/>
  <c r="CZ84" i="3"/>
  <c r="AF85" i="3"/>
  <c r="AF86" i="3"/>
  <c r="AF87" i="3"/>
  <c r="CX87" i="3"/>
  <c r="AF89" i="3"/>
  <c r="AF90" i="3"/>
  <c r="AF91" i="3"/>
  <c r="AF92" i="3"/>
  <c r="AF93" i="3"/>
  <c r="AF94" i="3"/>
  <c r="AF95" i="3"/>
  <c r="CZ95" i="3"/>
  <c r="AF97" i="3"/>
  <c r="AF101" i="3"/>
  <c r="AF98" i="3"/>
  <c r="AF99" i="3"/>
  <c r="AF100" i="3"/>
  <c r="AF102" i="3"/>
  <c r="AF104" i="3"/>
  <c r="AF103" i="3"/>
  <c r="CZ103" i="3"/>
  <c r="AF4" i="3"/>
  <c r="AE5" i="3"/>
  <c r="AE6" i="3"/>
  <c r="AE106" i="3"/>
  <c r="AE7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9" i="3"/>
  <c r="AE90" i="3"/>
  <c r="AE91" i="3"/>
  <c r="AE92" i="3"/>
  <c r="AE93" i="3"/>
  <c r="AE94" i="3"/>
  <c r="AE95" i="3"/>
  <c r="AE97" i="3"/>
  <c r="AE98" i="3"/>
  <c r="AE99" i="3"/>
  <c r="AE100" i="3"/>
  <c r="AE102" i="3"/>
  <c r="AE104" i="3"/>
  <c r="AE103" i="3"/>
  <c r="AE4" i="3"/>
  <c r="AD5" i="3"/>
  <c r="AD6" i="3"/>
  <c r="AD7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9" i="3"/>
  <c r="AD90" i="3"/>
  <c r="AD91" i="3"/>
  <c r="AD92" i="3"/>
  <c r="AD93" i="3"/>
  <c r="AD94" i="3"/>
  <c r="AD95" i="3"/>
  <c r="AD97" i="3"/>
  <c r="AD98" i="3"/>
  <c r="AD99" i="3"/>
  <c r="AD100" i="3"/>
  <c r="AD102" i="3"/>
  <c r="AD103" i="3"/>
  <c r="AD104" i="3"/>
  <c r="AD4" i="3"/>
  <c r="AC5" i="3"/>
  <c r="AC6" i="3"/>
  <c r="AC7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9" i="3"/>
  <c r="AC90" i="3"/>
  <c r="AC91" i="3"/>
  <c r="AC92" i="3"/>
  <c r="AC93" i="3"/>
  <c r="AC96" i="3"/>
  <c r="AC94" i="3"/>
  <c r="AC95" i="3"/>
  <c r="AC97" i="3"/>
  <c r="AC98" i="3"/>
  <c r="AC99" i="3"/>
  <c r="AC100" i="3"/>
  <c r="AC102" i="3"/>
  <c r="AC104" i="3"/>
  <c r="AC103" i="3"/>
  <c r="AC4" i="3"/>
  <c r="AB5" i="3"/>
  <c r="AB6" i="3"/>
  <c r="AB7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9" i="3"/>
  <c r="AB90" i="3"/>
  <c r="AB91" i="3"/>
  <c r="AB92" i="3"/>
  <c r="AB93" i="3"/>
  <c r="AB94" i="3"/>
  <c r="AB95" i="3"/>
  <c r="AB97" i="3"/>
  <c r="AB98" i="3"/>
  <c r="AB99" i="3"/>
  <c r="AB100" i="3"/>
  <c r="AB102" i="3"/>
  <c r="AB103" i="3"/>
  <c r="AB4" i="3"/>
  <c r="AA5" i="3"/>
  <c r="AA6" i="3"/>
  <c r="AA7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9" i="3"/>
  <c r="AA90" i="3"/>
  <c r="AA91" i="3"/>
  <c r="AA92" i="3"/>
  <c r="AA93" i="3"/>
  <c r="AA94" i="3"/>
  <c r="AA95" i="3"/>
  <c r="AA97" i="3"/>
  <c r="AA98" i="3"/>
  <c r="AA99" i="3"/>
  <c r="AA100" i="3"/>
  <c r="AA102" i="3"/>
  <c r="AA104" i="3"/>
  <c r="AA103" i="3"/>
  <c r="AA4" i="3"/>
  <c r="Z5" i="3"/>
  <c r="Z6" i="3"/>
  <c r="Z7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9" i="3"/>
  <c r="Z90" i="3"/>
  <c r="Z91" i="3"/>
  <c r="Z92" i="3"/>
  <c r="Z93" i="3"/>
  <c r="Z94" i="3"/>
  <c r="Z95" i="3"/>
  <c r="Z97" i="3"/>
  <c r="Z98" i="3"/>
  <c r="Z99" i="3"/>
  <c r="Z100" i="3"/>
  <c r="Z102" i="3"/>
  <c r="Z104" i="3"/>
  <c r="Z103" i="3"/>
  <c r="Z4" i="3"/>
  <c r="Y5" i="3"/>
  <c r="Y6" i="3"/>
  <c r="Y7" i="3"/>
  <c r="CP7" i="3"/>
  <c r="Y9" i="3"/>
  <c r="Y10" i="3"/>
  <c r="Y11" i="3"/>
  <c r="CS11" i="3"/>
  <c r="Y12" i="3"/>
  <c r="Y13" i="3"/>
  <c r="Y14" i="3"/>
  <c r="Y15" i="3"/>
  <c r="Y16" i="3"/>
  <c r="CS16" i="3"/>
  <c r="Y17" i="3"/>
  <c r="Y18" i="3"/>
  <c r="CP18" i="3"/>
  <c r="Y19" i="3"/>
  <c r="Y20" i="3"/>
  <c r="Y21" i="3"/>
  <c r="Y22" i="3"/>
  <c r="Y23" i="3"/>
  <c r="Y24" i="3"/>
  <c r="Y25" i="3"/>
  <c r="Y26" i="3"/>
  <c r="Y27" i="3"/>
  <c r="Y28" i="3"/>
  <c r="CS28" i="3"/>
  <c r="Y29" i="3"/>
  <c r="Y30" i="3"/>
  <c r="Y31" i="3"/>
  <c r="Y32" i="3"/>
  <c r="Y33" i="3"/>
  <c r="Y34" i="3"/>
  <c r="Y35" i="3"/>
  <c r="CS35" i="3"/>
  <c r="Y36" i="3"/>
  <c r="CS36" i="3"/>
  <c r="Y37" i="3"/>
  <c r="Y38" i="3"/>
  <c r="Y39" i="3"/>
  <c r="Y40" i="3"/>
  <c r="CS40" i="3"/>
  <c r="Y41" i="3"/>
  <c r="Y42" i="3"/>
  <c r="Y43" i="3"/>
  <c r="Y44" i="3"/>
  <c r="Y45" i="3"/>
  <c r="Y46" i="3"/>
  <c r="Y47" i="3"/>
  <c r="Y48" i="3"/>
  <c r="CP48" i="3"/>
  <c r="Y49" i="3"/>
  <c r="Y50" i="3"/>
  <c r="Y51" i="3"/>
  <c r="CS51" i="3"/>
  <c r="Y52" i="3"/>
  <c r="Y53" i="3"/>
  <c r="Y54" i="3"/>
  <c r="Y55" i="3"/>
  <c r="CS55" i="3"/>
  <c r="Y56" i="3"/>
  <c r="Y57" i="3"/>
  <c r="Y58" i="3"/>
  <c r="Y59" i="3"/>
  <c r="Y60" i="3"/>
  <c r="Y61" i="3"/>
  <c r="Y62" i="3"/>
  <c r="Y63" i="3"/>
  <c r="CS63" i="3"/>
  <c r="Y64" i="3"/>
  <c r="Y65" i="3"/>
  <c r="Y66" i="3"/>
  <c r="Y67" i="3"/>
  <c r="Y68" i="3"/>
  <c r="Y69" i="3"/>
  <c r="Y70" i="3"/>
  <c r="Y71" i="3"/>
  <c r="CS71" i="3"/>
  <c r="Y72" i="3"/>
  <c r="Y73" i="3"/>
  <c r="Y74" i="3"/>
  <c r="Y75" i="3"/>
  <c r="Y76" i="3"/>
  <c r="Y77" i="3"/>
  <c r="Y78" i="3"/>
  <c r="Y79" i="3"/>
  <c r="Y80" i="3"/>
  <c r="CS80" i="3"/>
  <c r="Y81" i="3"/>
  <c r="Y82" i="3"/>
  <c r="Y83" i="3"/>
  <c r="CS83" i="3"/>
  <c r="Y84" i="3"/>
  <c r="CS84" i="3"/>
  <c r="Y85" i="3"/>
  <c r="Y86" i="3"/>
  <c r="Y87" i="3"/>
  <c r="Y89" i="3"/>
  <c r="Y96" i="3"/>
  <c r="Y90" i="3"/>
  <c r="Y91" i="3"/>
  <c r="CS91" i="3"/>
  <c r="Y92" i="3"/>
  <c r="CS92" i="3"/>
  <c r="Y93" i="3"/>
  <c r="Y94" i="3"/>
  <c r="Y95" i="3"/>
  <c r="Y97" i="3"/>
  <c r="Y98" i="3"/>
  <c r="Y99" i="3"/>
  <c r="CS99" i="3"/>
  <c r="Y100" i="3"/>
  <c r="CS100" i="3"/>
  <c r="Y102" i="3"/>
  <c r="Y104" i="3"/>
  <c r="Y103" i="3"/>
  <c r="Y4" i="3"/>
  <c r="Y8" i="3"/>
  <c r="X5" i="3"/>
  <c r="X6" i="3"/>
  <c r="X7" i="3"/>
  <c r="X9" i="3"/>
  <c r="X10" i="3"/>
  <c r="X11" i="3"/>
  <c r="CO11" i="3"/>
  <c r="X12" i="3"/>
  <c r="X13" i="3"/>
  <c r="X14" i="3"/>
  <c r="X15" i="3"/>
  <c r="X16" i="3"/>
  <c r="X17" i="3"/>
  <c r="X18" i="3"/>
  <c r="X19" i="3"/>
  <c r="CO19" i="3"/>
  <c r="X20" i="3"/>
  <c r="CL20" i="3"/>
  <c r="X21" i="3"/>
  <c r="X22" i="3"/>
  <c r="X23" i="3"/>
  <c r="X24" i="3"/>
  <c r="CO24" i="3"/>
  <c r="X25" i="3"/>
  <c r="X26" i="3"/>
  <c r="X27" i="3"/>
  <c r="X28" i="3"/>
  <c r="X29" i="3"/>
  <c r="X30" i="3"/>
  <c r="X31" i="3"/>
  <c r="X32" i="3"/>
  <c r="X33" i="3"/>
  <c r="X34" i="3"/>
  <c r="X35" i="3"/>
  <c r="X36" i="3"/>
  <c r="CO36" i="3"/>
  <c r="X37" i="3"/>
  <c r="X38" i="3"/>
  <c r="X39" i="3"/>
  <c r="CO39" i="3"/>
  <c r="X40" i="3"/>
  <c r="X41" i="3"/>
  <c r="X42" i="3"/>
  <c r="X43" i="3"/>
  <c r="X44" i="3"/>
  <c r="CL44" i="3"/>
  <c r="X45" i="3"/>
  <c r="X46" i="3"/>
  <c r="X47" i="3"/>
  <c r="X48" i="3"/>
  <c r="CO48" i="3"/>
  <c r="X49" i="3"/>
  <c r="X50" i="3"/>
  <c r="X51" i="3"/>
  <c r="CO51" i="3"/>
  <c r="X52" i="3"/>
  <c r="X53" i="3"/>
  <c r="X54" i="3"/>
  <c r="X55" i="3"/>
  <c r="CO55" i="3"/>
  <c r="X56" i="3"/>
  <c r="CO56" i="3"/>
  <c r="X57" i="3"/>
  <c r="X58" i="3"/>
  <c r="X59" i="3"/>
  <c r="X60" i="3"/>
  <c r="CO60" i="3"/>
  <c r="X61" i="3"/>
  <c r="X62" i="3"/>
  <c r="X63" i="3"/>
  <c r="CO63" i="3"/>
  <c r="X64" i="3"/>
  <c r="X65" i="3"/>
  <c r="X66" i="3"/>
  <c r="X67" i="3"/>
  <c r="X68" i="3"/>
  <c r="CO68" i="3"/>
  <c r="X69" i="3"/>
  <c r="X70" i="3"/>
  <c r="X71" i="3"/>
  <c r="CO71" i="3"/>
  <c r="X72" i="3"/>
  <c r="X73" i="3"/>
  <c r="X74" i="3"/>
  <c r="X75" i="3"/>
  <c r="X76" i="3"/>
  <c r="CO76" i="3"/>
  <c r="X77" i="3"/>
  <c r="X78" i="3"/>
  <c r="X79" i="3"/>
  <c r="X80" i="3"/>
  <c r="CO80" i="3"/>
  <c r="X81" i="3"/>
  <c r="X82" i="3"/>
  <c r="X83" i="3"/>
  <c r="X84" i="3"/>
  <c r="X85" i="3"/>
  <c r="X86" i="3"/>
  <c r="X87" i="3"/>
  <c r="X89" i="3"/>
  <c r="X90" i="3"/>
  <c r="X91" i="3"/>
  <c r="X92" i="3"/>
  <c r="X93" i="3"/>
  <c r="X94" i="3"/>
  <c r="X95" i="3"/>
  <c r="X97" i="3"/>
  <c r="X98" i="3"/>
  <c r="X101" i="3"/>
  <c r="X99" i="3"/>
  <c r="X100" i="3"/>
  <c r="CL100" i="3"/>
  <c r="X102" i="3"/>
  <c r="X104" i="3"/>
  <c r="X103" i="3"/>
  <c r="X4" i="3"/>
  <c r="W5" i="3"/>
  <c r="W6" i="3"/>
  <c r="W7" i="3"/>
  <c r="W9" i="3"/>
  <c r="W10" i="3"/>
  <c r="W11" i="3"/>
  <c r="W12" i="3"/>
  <c r="W13" i="3"/>
  <c r="W14" i="3"/>
  <c r="W15" i="3"/>
  <c r="W16" i="3"/>
  <c r="CK16" i="3"/>
  <c r="W17" i="3"/>
  <c r="W18" i="3"/>
  <c r="W19" i="3"/>
  <c r="W20" i="3"/>
  <c r="W21" i="3"/>
  <c r="W22" i="3"/>
  <c r="W23" i="3"/>
  <c r="W24" i="3"/>
  <c r="W25" i="3"/>
  <c r="W26" i="3"/>
  <c r="W27" i="3"/>
  <c r="CK27" i="3"/>
  <c r="W28" i="3"/>
  <c r="CK28" i="3"/>
  <c r="W29" i="3"/>
  <c r="W30" i="3"/>
  <c r="W31" i="3"/>
  <c r="W32" i="3"/>
  <c r="CK32" i="3"/>
  <c r="W33" i="3"/>
  <c r="W34" i="3"/>
  <c r="W35" i="3"/>
  <c r="W36" i="3"/>
  <c r="W37" i="3"/>
  <c r="W38" i="3"/>
  <c r="W39" i="3"/>
  <c r="W40" i="3"/>
  <c r="CK40" i="3"/>
  <c r="W41" i="3"/>
  <c r="W42" i="3"/>
  <c r="W43" i="3"/>
  <c r="W44" i="3"/>
  <c r="CK44" i="3"/>
  <c r="W45" i="3"/>
  <c r="W46" i="3"/>
  <c r="W47" i="3"/>
  <c r="W48" i="3"/>
  <c r="W49" i="3"/>
  <c r="W50" i="3"/>
  <c r="W51" i="3"/>
  <c r="W52" i="3"/>
  <c r="CK52" i="3"/>
  <c r="W53" i="3"/>
  <c r="W54" i="3"/>
  <c r="W55" i="3"/>
  <c r="W56" i="3"/>
  <c r="CK56" i="3"/>
  <c r="W57" i="3"/>
  <c r="W58" i="3"/>
  <c r="W59" i="3"/>
  <c r="W60" i="3"/>
  <c r="W61" i="3"/>
  <c r="W62" i="3"/>
  <c r="W63" i="3"/>
  <c r="CK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CK76" i="3"/>
  <c r="W77" i="3"/>
  <c r="W78" i="3"/>
  <c r="W79" i="3"/>
  <c r="W80" i="3"/>
  <c r="CK80" i="3"/>
  <c r="W81" i="3"/>
  <c r="W82" i="3"/>
  <c r="W83" i="3"/>
  <c r="W84" i="3"/>
  <c r="W85" i="3"/>
  <c r="W86" i="3"/>
  <c r="W87" i="3"/>
  <c r="W89" i="3"/>
  <c r="W90" i="3"/>
  <c r="W91" i="3"/>
  <c r="W92" i="3"/>
  <c r="CK92" i="3"/>
  <c r="W93" i="3"/>
  <c r="W94" i="3"/>
  <c r="CK94" i="3"/>
  <c r="W95" i="3"/>
  <c r="W97" i="3"/>
  <c r="W98" i="3"/>
  <c r="W99" i="3"/>
  <c r="W100" i="3"/>
  <c r="W102" i="3"/>
  <c r="W104" i="3"/>
  <c r="W103" i="3"/>
  <c r="W4" i="3"/>
  <c r="V5" i="3"/>
  <c r="V6" i="3"/>
  <c r="V7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BB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CT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9" i="3"/>
  <c r="V90" i="3"/>
  <c r="V91" i="3"/>
  <c r="V92" i="3"/>
  <c r="V93" i="3"/>
  <c r="V94" i="3"/>
  <c r="V95" i="3"/>
  <c r="V97" i="3"/>
  <c r="V98" i="3"/>
  <c r="V99" i="3"/>
  <c r="V100" i="3"/>
  <c r="V102" i="3"/>
  <c r="V103" i="3"/>
  <c r="V4" i="3"/>
  <c r="U5" i="3"/>
  <c r="U6" i="3"/>
  <c r="U7" i="3"/>
  <c r="U9" i="3"/>
  <c r="U10" i="3"/>
  <c r="U11" i="3"/>
  <c r="U12" i="3"/>
  <c r="U13" i="3"/>
  <c r="U14" i="3"/>
  <c r="U15" i="3"/>
  <c r="CG15" i="3"/>
  <c r="U16" i="3"/>
  <c r="U17" i="3"/>
  <c r="U18" i="3"/>
  <c r="U19" i="3"/>
  <c r="U20" i="3"/>
  <c r="U21" i="3"/>
  <c r="U22" i="3"/>
  <c r="U23" i="3"/>
  <c r="U24" i="3"/>
  <c r="U25" i="3"/>
  <c r="U26" i="3"/>
  <c r="U27" i="3"/>
  <c r="CD27" i="3"/>
  <c r="U28" i="3"/>
  <c r="U29" i="3"/>
  <c r="U30" i="3"/>
  <c r="U31" i="3"/>
  <c r="CG31" i="3"/>
  <c r="U32" i="3"/>
  <c r="U33" i="3"/>
  <c r="U34" i="3"/>
  <c r="U35" i="3"/>
  <c r="U36" i="3"/>
  <c r="U37" i="3"/>
  <c r="U38" i="3"/>
  <c r="U39" i="3"/>
  <c r="CG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9" i="3"/>
  <c r="U96" i="3"/>
  <c r="U90" i="3"/>
  <c r="U91" i="3"/>
  <c r="CG91" i="3"/>
  <c r="U92" i="3"/>
  <c r="U93" i="3"/>
  <c r="U94" i="3"/>
  <c r="U95" i="3"/>
  <c r="U97" i="3"/>
  <c r="U98" i="3"/>
  <c r="U99" i="3"/>
  <c r="U100" i="3"/>
  <c r="U102" i="3"/>
  <c r="U104" i="3"/>
  <c r="U103" i="3"/>
  <c r="U4" i="3"/>
  <c r="T5" i="3"/>
  <c r="T6" i="3"/>
  <c r="T7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9" i="3"/>
  <c r="T90" i="3"/>
  <c r="T91" i="3"/>
  <c r="T92" i="3"/>
  <c r="T93" i="3"/>
  <c r="T94" i="3"/>
  <c r="T95" i="3"/>
  <c r="T97" i="3"/>
  <c r="T98" i="3"/>
  <c r="T99" i="3"/>
  <c r="T100" i="3"/>
  <c r="T102" i="3"/>
  <c r="T104" i="3"/>
  <c r="T103" i="3"/>
  <c r="T4" i="3"/>
  <c r="S5" i="3"/>
  <c r="S6" i="3"/>
  <c r="S7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9" i="3"/>
  <c r="S90" i="3"/>
  <c r="S91" i="3"/>
  <c r="S92" i="3"/>
  <c r="S93" i="3"/>
  <c r="S94" i="3"/>
  <c r="S95" i="3"/>
  <c r="S97" i="3"/>
  <c r="S98" i="3"/>
  <c r="S99" i="3"/>
  <c r="S100" i="3"/>
  <c r="S102" i="3"/>
  <c r="S103" i="3"/>
  <c r="S4" i="3"/>
  <c r="R5" i="3"/>
  <c r="R6" i="3"/>
  <c r="R7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9" i="3"/>
  <c r="R90" i="3"/>
  <c r="R91" i="3"/>
  <c r="R92" i="3"/>
  <c r="R93" i="3"/>
  <c r="R94" i="3"/>
  <c r="R95" i="3"/>
  <c r="R97" i="3"/>
  <c r="R98" i="3"/>
  <c r="R99" i="3"/>
  <c r="R100" i="3"/>
  <c r="R102" i="3"/>
  <c r="R104" i="3"/>
  <c r="R103" i="3"/>
  <c r="R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9" i="3"/>
  <c r="Q96" i="3"/>
  <c r="Q90" i="3"/>
  <c r="Q91" i="3"/>
  <c r="Q92" i="3"/>
  <c r="Q93" i="3"/>
  <c r="Q94" i="3"/>
  <c r="Q95" i="3"/>
  <c r="Q97" i="3"/>
  <c r="Q98" i="3"/>
  <c r="Q99" i="3"/>
  <c r="Q100" i="3"/>
  <c r="Q102" i="3"/>
  <c r="Q103" i="3"/>
  <c r="Q4" i="3"/>
  <c r="P5" i="3"/>
  <c r="P6" i="3"/>
  <c r="P7" i="3"/>
  <c r="P9" i="3"/>
  <c r="P10" i="3"/>
  <c r="P11" i="3"/>
  <c r="P12" i="3"/>
  <c r="CC12" i="3"/>
  <c r="P13" i="3"/>
  <c r="P14" i="3"/>
  <c r="P15" i="3"/>
  <c r="P16" i="3"/>
  <c r="P17" i="3"/>
  <c r="P18" i="3"/>
  <c r="P19" i="3"/>
  <c r="P20" i="3"/>
  <c r="CC20" i="3"/>
  <c r="P21" i="3"/>
  <c r="P22" i="3"/>
  <c r="P23" i="3"/>
  <c r="P24" i="3"/>
  <c r="CC24" i="3"/>
  <c r="P25" i="3"/>
  <c r="P26" i="3"/>
  <c r="P27" i="3"/>
  <c r="P28" i="3"/>
  <c r="P29" i="3"/>
  <c r="P30" i="3"/>
  <c r="P31" i="3"/>
  <c r="CC31" i="3"/>
  <c r="P32" i="3"/>
  <c r="P33" i="3"/>
  <c r="P34" i="3"/>
  <c r="P35" i="3"/>
  <c r="P36" i="3"/>
  <c r="CC36" i="3"/>
  <c r="P37" i="3"/>
  <c r="P38" i="3"/>
  <c r="P39" i="3"/>
  <c r="CC39" i="3"/>
  <c r="P40" i="3"/>
  <c r="CC40" i="3"/>
  <c r="P41" i="3"/>
  <c r="P42" i="3"/>
  <c r="P43" i="3"/>
  <c r="CC43" i="3"/>
  <c r="P44" i="3"/>
  <c r="CC44" i="3"/>
  <c r="P45" i="3"/>
  <c r="P46" i="3"/>
  <c r="P47" i="3"/>
  <c r="P48" i="3"/>
  <c r="CC48" i="3"/>
  <c r="P49" i="3"/>
  <c r="P50" i="3"/>
  <c r="P51" i="3"/>
  <c r="CC51" i="3"/>
  <c r="P52" i="3"/>
  <c r="CC52" i="3"/>
  <c r="P53" i="3"/>
  <c r="P54" i="3"/>
  <c r="P55" i="3"/>
  <c r="CC55" i="3"/>
  <c r="P56" i="3"/>
  <c r="CC56" i="3"/>
  <c r="P57" i="3"/>
  <c r="P58" i="3"/>
  <c r="P59" i="3"/>
  <c r="CC59" i="3"/>
  <c r="P60" i="3"/>
  <c r="CC60" i="3"/>
  <c r="P61" i="3"/>
  <c r="P62" i="3"/>
  <c r="P63" i="3"/>
  <c r="CC63" i="3"/>
  <c r="P64" i="3"/>
  <c r="CC64" i="3"/>
  <c r="P65" i="3"/>
  <c r="P66" i="3"/>
  <c r="P67" i="3"/>
  <c r="P68" i="3"/>
  <c r="P69" i="3"/>
  <c r="P70" i="3"/>
  <c r="P71" i="3"/>
  <c r="P72" i="3"/>
  <c r="CC72" i="3"/>
  <c r="P73" i="3"/>
  <c r="P74" i="3"/>
  <c r="P75" i="3"/>
  <c r="CC75" i="3"/>
  <c r="P76" i="3"/>
  <c r="P77" i="3"/>
  <c r="P78" i="3"/>
  <c r="P79" i="3"/>
  <c r="P80" i="3"/>
  <c r="P81" i="3"/>
  <c r="P82" i="3"/>
  <c r="P83" i="3"/>
  <c r="CC83" i="3"/>
  <c r="P84" i="3"/>
  <c r="CC84" i="3"/>
  <c r="P85" i="3"/>
  <c r="P86" i="3"/>
  <c r="P87" i="3"/>
  <c r="P89" i="3"/>
  <c r="P90" i="3"/>
  <c r="P91" i="3"/>
  <c r="CC91" i="3"/>
  <c r="P92" i="3"/>
  <c r="CC92" i="3"/>
  <c r="P93" i="3"/>
  <c r="P94" i="3"/>
  <c r="P95" i="3"/>
  <c r="P97" i="3"/>
  <c r="P98" i="3"/>
  <c r="P109" i="3"/>
  <c r="P99" i="3"/>
  <c r="P100" i="3"/>
  <c r="P102" i="3"/>
  <c r="P104" i="3"/>
  <c r="P103" i="3"/>
  <c r="P4" i="3"/>
  <c r="O5" i="3"/>
  <c r="O6" i="3"/>
  <c r="O7" i="3"/>
  <c r="CA7" i="3"/>
  <c r="O9" i="3"/>
  <c r="O10" i="3"/>
  <c r="O11" i="3"/>
  <c r="O12" i="3"/>
  <c r="CA12" i="3"/>
  <c r="O13" i="3"/>
  <c r="O14" i="3"/>
  <c r="O15" i="3"/>
  <c r="CA15" i="3"/>
  <c r="O16" i="3"/>
  <c r="CA16" i="3"/>
  <c r="O17" i="3"/>
  <c r="O18" i="3"/>
  <c r="O19" i="3"/>
  <c r="CA19" i="3"/>
  <c r="O20" i="3"/>
  <c r="O21" i="3"/>
  <c r="O22" i="3"/>
  <c r="O23" i="3"/>
  <c r="O24" i="3"/>
  <c r="CA24" i="3"/>
  <c r="O25" i="3"/>
  <c r="O26" i="3"/>
  <c r="O27" i="3"/>
  <c r="O28" i="3"/>
  <c r="CA28" i="3"/>
  <c r="O29" i="3"/>
  <c r="O30" i="3"/>
  <c r="O31" i="3"/>
  <c r="O32" i="3"/>
  <c r="CA32" i="3"/>
  <c r="O33" i="3"/>
  <c r="O34" i="3"/>
  <c r="O35" i="3"/>
  <c r="CA35" i="3"/>
  <c r="O36" i="3"/>
  <c r="O37" i="3"/>
  <c r="O38" i="3"/>
  <c r="O39" i="3"/>
  <c r="O40" i="3"/>
  <c r="CA40" i="3"/>
  <c r="O41" i="3"/>
  <c r="O42" i="3"/>
  <c r="O43" i="3"/>
  <c r="O44" i="3"/>
  <c r="CA44" i="3"/>
  <c r="O45" i="3"/>
  <c r="O46" i="3"/>
  <c r="O47" i="3"/>
  <c r="O48" i="3"/>
  <c r="O49" i="3"/>
  <c r="O50" i="3"/>
  <c r="O51" i="3"/>
  <c r="O52" i="3"/>
  <c r="CA52" i="3"/>
  <c r="O53" i="3"/>
  <c r="O54" i="3"/>
  <c r="O55" i="3"/>
  <c r="O56" i="3"/>
  <c r="CA56" i="3"/>
  <c r="O57" i="3"/>
  <c r="O58" i="3"/>
  <c r="O59" i="3"/>
  <c r="CA59" i="3"/>
  <c r="O60" i="3"/>
  <c r="O61" i="3"/>
  <c r="O62" i="3"/>
  <c r="O63" i="3"/>
  <c r="CA63" i="3"/>
  <c r="O64" i="3"/>
  <c r="CA64" i="3"/>
  <c r="O65" i="3"/>
  <c r="O66" i="3"/>
  <c r="O67" i="3"/>
  <c r="CA67" i="3"/>
  <c r="O68" i="3"/>
  <c r="CA68" i="3"/>
  <c r="O69" i="3"/>
  <c r="O70" i="3"/>
  <c r="O71" i="3"/>
  <c r="O72" i="3"/>
  <c r="CA72" i="3"/>
  <c r="O73" i="3"/>
  <c r="O74" i="3"/>
  <c r="O75" i="3"/>
  <c r="CA75" i="3"/>
  <c r="O76" i="3"/>
  <c r="O77" i="3"/>
  <c r="O78" i="3"/>
  <c r="O79" i="3"/>
  <c r="O80" i="3"/>
  <c r="CA80" i="3"/>
  <c r="O81" i="3"/>
  <c r="O82" i="3"/>
  <c r="O83" i="3"/>
  <c r="CA83" i="3"/>
  <c r="O84" i="3"/>
  <c r="CA84" i="3"/>
  <c r="O85" i="3"/>
  <c r="O86" i="3"/>
  <c r="O87" i="3"/>
  <c r="CA87" i="3"/>
  <c r="O89" i="3"/>
  <c r="O90" i="3"/>
  <c r="O91" i="3"/>
  <c r="O92" i="3"/>
  <c r="CA92" i="3"/>
  <c r="O93" i="3"/>
  <c r="O94" i="3"/>
  <c r="O95" i="3"/>
  <c r="CA95" i="3"/>
  <c r="O97" i="3"/>
  <c r="O98" i="3"/>
  <c r="O99" i="3"/>
  <c r="CA99" i="3"/>
  <c r="O100" i="3"/>
  <c r="O109" i="3"/>
  <c r="O102" i="3"/>
  <c r="O104" i="3"/>
  <c r="O103" i="3"/>
  <c r="CA103" i="3"/>
  <c r="CA104" i="3" s="1"/>
  <c r="O4" i="3"/>
  <c r="N5" i="3"/>
  <c r="N6" i="3"/>
  <c r="N7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9" i="3"/>
  <c r="N90" i="3"/>
  <c r="N91" i="3"/>
  <c r="N92" i="3"/>
  <c r="N93" i="3"/>
  <c r="N94" i="3"/>
  <c r="N95" i="3"/>
  <c r="N97" i="3"/>
  <c r="N98" i="3"/>
  <c r="N99" i="3"/>
  <c r="N100" i="3"/>
  <c r="N102" i="3"/>
  <c r="N104" i="3"/>
  <c r="N103" i="3"/>
  <c r="N4" i="3"/>
  <c r="M5" i="3"/>
  <c r="M6" i="3"/>
  <c r="M7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9" i="3"/>
  <c r="M90" i="3"/>
  <c r="M91" i="3"/>
  <c r="M92" i="3"/>
  <c r="M93" i="3"/>
  <c r="M94" i="3"/>
  <c r="M95" i="3"/>
  <c r="M97" i="3"/>
  <c r="M98" i="3"/>
  <c r="M99" i="3"/>
  <c r="M100" i="3"/>
  <c r="M102" i="3"/>
  <c r="M104" i="3"/>
  <c r="M103" i="3"/>
  <c r="M4" i="3"/>
  <c r="L5" i="3"/>
  <c r="L6" i="3"/>
  <c r="L7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9" i="3"/>
  <c r="L90" i="3"/>
  <c r="L91" i="3"/>
  <c r="L92" i="3"/>
  <c r="L93" i="3"/>
  <c r="L96" i="3"/>
  <c r="L94" i="3"/>
  <c r="L95" i="3"/>
  <c r="L97" i="3"/>
  <c r="L98" i="3"/>
  <c r="L99" i="3"/>
  <c r="L100" i="3"/>
  <c r="L102" i="3"/>
  <c r="L104" i="3"/>
  <c r="L103" i="3"/>
  <c r="L4" i="3"/>
  <c r="K5" i="3"/>
  <c r="K6" i="3"/>
  <c r="K7" i="3"/>
  <c r="BY7" i="3"/>
  <c r="K9" i="3"/>
  <c r="K10" i="3"/>
  <c r="K11" i="3"/>
  <c r="BY11" i="3"/>
  <c r="K12" i="3"/>
  <c r="BY12" i="3"/>
  <c r="K13" i="3"/>
  <c r="K14" i="3"/>
  <c r="K15" i="3"/>
  <c r="K16" i="3"/>
  <c r="K17" i="3"/>
  <c r="K18" i="3"/>
  <c r="K19" i="3"/>
  <c r="K20" i="3"/>
  <c r="BY20" i="3"/>
  <c r="K21" i="3"/>
  <c r="K22" i="3"/>
  <c r="K23" i="3"/>
  <c r="K24" i="3"/>
  <c r="BY24" i="3"/>
  <c r="K25" i="3"/>
  <c r="K26" i="3"/>
  <c r="K27" i="3"/>
  <c r="K28" i="3"/>
  <c r="BY28" i="3"/>
  <c r="K29" i="3"/>
  <c r="K30" i="3"/>
  <c r="K31" i="3"/>
  <c r="BY31" i="3"/>
  <c r="K32" i="3"/>
  <c r="BY32" i="3"/>
  <c r="K33" i="3"/>
  <c r="K34" i="3"/>
  <c r="K35" i="3"/>
  <c r="BY35" i="3"/>
  <c r="K36" i="3"/>
  <c r="BY36" i="3"/>
  <c r="K37" i="3"/>
  <c r="K38" i="3"/>
  <c r="K39" i="3"/>
  <c r="BY39" i="3"/>
  <c r="K40" i="3"/>
  <c r="BY40" i="3"/>
  <c r="K41" i="3"/>
  <c r="K42" i="3"/>
  <c r="K43" i="3"/>
  <c r="K44" i="3"/>
  <c r="K45" i="3"/>
  <c r="K46" i="3"/>
  <c r="K47" i="3"/>
  <c r="BY47" i="3"/>
  <c r="K48" i="3"/>
  <c r="BY48" i="3"/>
  <c r="K49" i="3"/>
  <c r="K50" i="3"/>
  <c r="K51" i="3"/>
  <c r="K52" i="3"/>
  <c r="BY52" i="3"/>
  <c r="K53" i="3"/>
  <c r="K54" i="3"/>
  <c r="K55" i="3"/>
  <c r="K56" i="3"/>
  <c r="K57" i="3"/>
  <c r="K58" i="3"/>
  <c r="K59" i="3"/>
  <c r="BY59" i="3"/>
  <c r="K60" i="3"/>
  <c r="BY60" i="3"/>
  <c r="K61" i="3"/>
  <c r="K62" i="3"/>
  <c r="K63" i="3"/>
  <c r="BY63" i="3"/>
  <c r="K64" i="3"/>
  <c r="K65" i="3"/>
  <c r="K66" i="3"/>
  <c r="K67" i="3"/>
  <c r="K68" i="3"/>
  <c r="BY68" i="3"/>
  <c r="K69" i="3"/>
  <c r="K70" i="3"/>
  <c r="K71" i="3"/>
  <c r="BY71" i="3"/>
  <c r="K72" i="3"/>
  <c r="BY72" i="3"/>
  <c r="K73" i="3"/>
  <c r="K74" i="3"/>
  <c r="K75" i="3"/>
  <c r="K76" i="3"/>
  <c r="K77" i="3"/>
  <c r="K78" i="3"/>
  <c r="K79" i="3"/>
  <c r="BY79" i="3"/>
  <c r="K80" i="3"/>
  <c r="K81" i="3"/>
  <c r="K82" i="3"/>
  <c r="K83" i="3"/>
  <c r="BY83" i="3"/>
  <c r="K84" i="3"/>
  <c r="BY84" i="3"/>
  <c r="K85" i="3"/>
  <c r="K86" i="3"/>
  <c r="K87" i="3"/>
  <c r="K89" i="3"/>
  <c r="K90" i="3"/>
  <c r="K91" i="3"/>
  <c r="K92" i="3"/>
  <c r="BY92" i="3"/>
  <c r="K93" i="3"/>
  <c r="K94" i="3"/>
  <c r="K95" i="3"/>
  <c r="BY95" i="3"/>
  <c r="K97" i="3"/>
  <c r="K98" i="3"/>
  <c r="K99" i="3"/>
  <c r="K100" i="3"/>
  <c r="BY100" i="3"/>
  <c r="K102" i="3"/>
  <c r="K104" i="3"/>
  <c r="K103" i="3"/>
  <c r="BY103" i="3"/>
  <c r="K4" i="3"/>
  <c r="J5" i="3"/>
  <c r="J6" i="3"/>
  <c r="J106" i="3"/>
  <c r="J7" i="3"/>
  <c r="J9" i="3"/>
  <c r="J10" i="3"/>
  <c r="J11" i="3"/>
  <c r="BW11" i="3"/>
  <c r="J12" i="3"/>
  <c r="J13" i="3"/>
  <c r="J14" i="3"/>
  <c r="J15" i="3"/>
  <c r="J16" i="3"/>
  <c r="BW16" i="3"/>
  <c r="J17" i="3"/>
  <c r="J18" i="3"/>
  <c r="J19" i="3"/>
  <c r="BW19" i="3"/>
  <c r="J20" i="3"/>
  <c r="BW20" i="3"/>
  <c r="J21" i="3"/>
  <c r="J22" i="3"/>
  <c r="J23" i="3"/>
  <c r="BW23" i="3"/>
  <c r="J24" i="3"/>
  <c r="J25" i="3"/>
  <c r="J26" i="3"/>
  <c r="J27" i="3"/>
  <c r="BW27" i="3"/>
  <c r="J28" i="3"/>
  <c r="BW28" i="3"/>
  <c r="J29" i="3"/>
  <c r="J30" i="3"/>
  <c r="J31" i="3"/>
  <c r="J32" i="3"/>
  <c r="BW32" i="3"/>
  <c r="J33" i="3"/>
  <c r="J34" i="3"/>
  <c r="J35" i="3"/>
  <c r="BW35" i="3"/>
  <c r="J36" i="3"/>
  <c r="BW36" i="3"/>
  <c r="J37" i="3"/>
  <c r="J38" i="3"/>
  <c r="J39" i="3"/>
  <c r="BW39" i="3"/>
  <c r="J40" i="3"/>
  <c r="BW40" i="3"/>
  <c r="J41" i="3"/>
  <c r="J42" i="3"/>
  <c r="J43" i="3"/>
  <c r="BW43" i="3"/>
  <c r="J44" i="3"/>
  <c r="J45" i="3"/>
  <c r="J46" i="3"/>
  <c r="J47" i="3"/>
  <c r="BW47" i="3"/>
  <c r="J48" i="3"/>
  <c r="BW48" i="3"/>
  <c r="J49" i="3"/>
  <c r="J50" i="3"/>
  <c r="J51" i="3"/>
  <c r="BW51" i="3"/>
  <c r="J52" i="3"/>
  <c r="J53" i="3"/>
  <c r="J54" i="3"/>
  <c r="J55" i="3"/>
  <c r="J56" i="3"/>
  <c r="BW56" i="3"/>
  <c r="J57" i="3"/>
  <c r="J58" i="3"/>
  <c r="J59" i="3"/>
  <c r="BW59" i="3"/>
  <c r="J60" i="3"/>
  <c r="BW60" i="3"/>
  <c r="J61" i="3"/>
  <c r="J62" i="3"/>
  <c r="J63" i="3"/>
  <c r="J64" i="3"/>
  <c r="BW64" i="3"/>
  <c r="J65" i="3"/>
  <c r="J66" i="3"/>
  <c r="J67" i="3"/>
  <c r="BW67" i="3"/>
  <c r="J68" i="3"/>
  <c r="BW68" i="3"/>
  <c r="J69" i="3"/>
  <c r="J70" i="3"/>
  <c r="J71" i="3"/>
  <c r="BW71" i="3"/>
  <c r="J72" i="3"/>
  <c r="BW72" i="3"/>
  <c r="J73" i="3"/>
  <c r="J74" i="3"/>
  <c r="J75" i="3"/>
  <c r="J76" i="3"/>
  <c r="BW76" i="3"/>
  <c r="J77" i="3"/>
  <c r="J78" i="3"/>
  <c r="J79" i="3"/>
  <c r="BW79" i="3"/>
  <c r="J80" i="3"/>
  <c r="BW80" i="3"/>
  <c r="J81" i="3"/>
  <c r="J82" i="3"/>
  <c r="J83" i="3"/>
  <c r="BW83" i="3"/>
  <c r="J84" i="3"/>
  <c r="BW84" i="3"/>
  <c r="J85" i="3"/>
  <c r="J86" i="3"/>
  <c r="J87" i="3"/>
  <c r="BW87" i="3"/>
  <c r="J89" i="3"/>
  <c r="J90" i="3"/>
  <c r="BW90" i="3"/>
  <c r="J91" i="3"/>
  <c r="J92" i="3"/>
  <c r="BW92" i="3"/>
  <c r="J93" i="3"/>
  <c r="J94" i="3"/>
  <c r="J95" i="3"/>
  <c r="J97" i="3"/>
  <c r="J98" i="3"/>
  <c r="J99" i="3"/>
  <c r="BW99" i="3"/>
  <c r="J100" i="3"/>
  <c r="BW100" i="3"/>
  <c r="J102" i="3"/>
  <c r="J104" i="3"/>
  <c r="J103" i="3"/>
  <c r="J4" i="3"/>
  <c r="I5" i="3"/>
  <c r="I6" i="3"/>
  <c r="I7" i="3"/>
  <c r="BU7" i="3"/>
  <c r="I9" i="3"/>
  <c r="I10" i="3"/>
  <c r="I11" i="3"/>
  <c r="I12" i="3"/>
  <c r="BU12" i="3"/>
  <c r="I13" i="3"/>
  <c r="I14" i="3"/>
  <c r="I15" i="3"/>
  <c r="BU15" i="3"/>
  <c r="I16" i="3"/>
  <c r="BU16" i="3"/>
  <c r="I17" i="3"/>
  <c r="I18" i="3"/>
  <c r="I19" i="3"/>
  <c r="BU19" i="3"/>
  <c r="I20" i="3"/>
  <c r="BU20" i="3"/>
  <c r="I21" i="3"/>
  <c r="I22" i="3"/>
  <c r="I23" i="3"/>
  <c r="BU23" i="3"/>
  <c r="I24" i="3"/>
  <c r="BU24" i="3"/>
  <c r="I25" i="3"/>
  <c r="I26" i="3"/>
  <c r="I27" i="3"/>
  <c r="BU27" i="3"/>
  <c r="I28" i="3"/>
  <c r="BU28" i="3"/>
  <c r="I29" i="3"/>
  <c r="I30" i="3"/>
  <c r="I31" i="3"/>
  <c r="BU31" i="3"/>
  <c r="I32" i="3"/>
  <c r="I33" i="3"/>
  <c r="I34" i="3"/>
  <c r="I35" i="3"/>
  <c r="I36" i="3"/>
  <c r="BU36" i="3"/>
  <c r="I37" i="3"/>
  <c r="I38" i="3"/>
  <c r="I39" i="3"/>
  <c r="I40" i="3"/>
  <c r="BU40" i="3"/>
  <c r="I41" i="3"/>
  <c r="I42" i="3"/>
  <c r="I43" i="3"/>
  <c r="I44" i="3"/>
  <c r="I45" i="3"/>
  <c r="I46" i="3"/>
  <c r="I47" i="3"/>
  <c r="I48" i="3"/>
  <c r="I49" i="3"/>
  <c r="I50" i="3"/>
  <c r="I51" i="3"/>
  <c r="I52" i="3"/>
  <c r="BU52" i="3"/>
  <c r="I53" i="3"/>
  <c r="I54" i="3"/>
  <c r="I55" i="3"/>
  <c r="BU55" i="3"/>
  <c r="I56" i="3"/>
  <c r="BU56" i="3"/>
  <c r="I57" i="3"/>
  <c r="I58" i="3"/>
  <c r="I59" i="3"/>
  <c r="I60" i="3"/>
  <c r="BU60" i="3"/>
  <c r="I61" i="3"/>
  <c r="I62" i="3"/>
  <c r="I63" i="3"/>
  <c r="I64" i="3"/>
  <c r="I65" i="3"/>
  <c r="I66" i="3"/>
  <c r="I67" i="3"/>
  <c r="I68" i="3"/>
  <c r="I69" i="3"/>
  <c r="I70" i="3"/>
  <c r="BA70" i="3"/>
  <c r="I71" i="3"/>
  <c r="BU71" i="3"/>
  <c r="I72" i="3"/>
  <c r="BU72" i="3"/>
  <c r="I73" i="3"/>
  <c r="I74" i="3"/>
  <c r="I75" i="3"/>
  <c r="I76" i="3"/>
  <c r="BU76" i="3"/>
  <c r="I77" i="3"/>
  <c r="I78" i="3"/>
  <c r="I79" i="3"/>
  <c r="BU79" i="3"/>
  <c r="I80" i="3"/>
  <c r="BU80" i="3"/>
  <c r="I81" i="3"/>
  <c r="I82" i="3"/>
  <c r="I83" i="3"/>
  <c r="BU83" i="3"/>
  <c r="I84" i="3"/>
  <c r="BU84" i="3"/>
  <c r="I85" i="3"/>
  <c r="I86" i="3"/>
  <c r="I87" i="3"/>
  <c r="I89" i="3"/>
  <c r="I90" i="3"/>
  <c r="I91" i="3"/>
  <c r="BU91" i="3"/>
  <c r="I92" i="3"/>
  <c r="BU92" i="3"/>
  <c r="I93" i="3"/>
  <c r="I94" i="3"/>
  <c r="I95" i="3"/>
  <c r="BU95" i="3"/>
  <c r="I97" i="3"/>
  <c r="I98" i="3"/>
  <c r="I99" i="3"/>
  <c r="I100" i="3"/>
  <c r="BU100" i="3"/>
  <c r="I102" i="3"/>
  <c r="I103" i="3"/>
  <c r="BU103" i="3"/>
  <c r="I4" i="3"/>
  <c r="H5" i="3"/>
  <c r="H6" i="3"/>
  <c r="BS6" i="3"/>
  <c r="H7" i="3"/>
  <c r="H9" i="3"/>
  <c r="H10" i="3"/>
  <c r="H11" i="3"/>
  <c r="BS11" i="3"/>
  <c r="H12" i="3"/>
  <c r="BS12" i="3"/>
  <c r="H13" i="3"/>
  <c r="H14" i="3"/>
  <c r="H15" i="3"/>
  <c r="H16" i="3"/>
  <c r="BS16" i="3"/>
  <c r="H17" i="3"/>
  <c r="H18" i="3"/>
  <c r="H19" i="3"/>
  <c r="BS19" i="3"/>
  <c r="H20" i="3"/>
  <c r="H21" i="3"/>
  <c r="H22" i="3"/>
  <c r="H23" i="3"/>
  <c r="H24" i="3"/>
  <c r="BS24" i="3"/>
  <c r="H25" i="3"/>
  <c r="H26" i="3"/>
  <c r="H27" i="3"/>
  <c r="H28" i="3"/>
  <c r="BS28" i="3"/>
  <c r="H29" i="3"/>
  <c r="H30" i="3"/>
  <c r="H31" i="3"/>
  <c r="H32" i="3"/>
  <c r="H33" i="3"/>
  <c r="H34" i="3"/>
  <c r="H35" i="3"/>
  <c r="H36" i="3"/>
  <c r="BS36" i="3"/>
  <c r="H37" i="3"/>
  <c r="H38" i="3"/>
  <c r="H39" i="3"/>
  <c r="BS39" i="3"/>
  <c r="H40" i="3"/>
  <c r="H41" i="3"/>
  <c r="H42" i="3"/>
  <c r="H43" i="3"/>
  <c r="H44" i="3"/>
  <c r="BS44" i="3"/>
  <c r="H45" i="3"/>
  <c r="H46" i="3"/>
  <c r="H47" i="3"/>
  <c r="BS47" i="3"/>
  <c r="H48" i="3"/>
  <c r="H49" i="3"/>
  <c r="H50" i="3"/>
  <c r="H51" i="3"/>
  <c r="BS51" i="3"/>
  <c r="H52" i="3"/>
  <c r="BS52" i="3"/>
  <c r="H53" i="3"/>
  <c r="H54" i="3"/>
  <c r="H55" i="3"/>
  <c r="BS55" i="3"/>
  <c r="H56" i="3"/>
  <c r="H57" i="3"/>
  <c r="H58" i="3"/>
  <c r="H59" i="3"/>
  <c r="H60" i="3"/>
  <c r="BS60" i="3"/>
  <c r="H61" i="3"/>
  <c r="H62" i="3"/>
  <c r="H63" i="3"/>
  <c r="BS63" i="3"/>
  <c r="H64" i="3"/>
  <c r="BS64" i="3"/>
  <c r="H65" i="3"/>
  <c r="H66" i="3"/>
  <c r="H67" i="3"/>
  <c r="BS67" i="3"/>
  <c r="H68" i="3"/>
  <c r="BS68" i="3"/>
  <c r="H69" i="3"/>
  <c r="H70" i="3"/>
  <c r="H71" i="3"/>
  <c r="BS71" i="3"/>
  <c r="H72" i="3"/>
  <c r="BS72" i="3"/>
  <c r="H73" i="3"/>
  <c r="H74" i="3"/>
  <c r="H75" i="3"/>
  <c r="BS75" i="3"/>
  <c r="H76" i="3"/>
  <c r="BS76" i="3"/>
  <c r="H77" i="3"/>
  <c r="H78" i="3"/>
  <c r="H79" i="3"/>
  <c r="H80" i="3"/>
  <c r="H81" i="3"/>
  <c r="H82" i="3"/>
  <c r="H83" i="3"/>
  <c r="BS83" i="3"/>
  <c r="H84" i="3"/>
  <c r="H85" i="3"/>
  <c r="H86" i="3"/>
  <c r="H87" i="3"/>
  <c r="BS87" i="3"/>
  <c r="H89" i="3"/>
  <c r="H90" i="3"/>
  <c r="H91" i="3"/>
  <c r="H92" i="3"/>
  <c r="H93" i="3"/>
  <c r="H94" i="3"/>
  <c r="H95" i="3"/>
  <c r="BS95" i="3"/>
  <c r="H97" i="3"/>
  <c r="H98" i="3"/>
  <c r="H99" i="3"/>
  <c r="H100" i="3"/>
  <c r="BS100" i="3"/>
  <c r="H102" i="3"/>
  <c r="H103" i="3"/>
  <c r="BS103" i="3"/>
  <c r="H4" i="3"/>
  <c r="G5" i="3"/>
  <c r="G6" i="3"/>
  <c r="BQ6" i="3"/>
  <c r="G7" i="3"/>
  <c r="BQ7" i="3"/>
  <c r="G9" i="3"/>
  <c r="G10" i="3"/>
  <c r="G11" i="3"/>
  <c r="BQ11" i="3"/>
  <c r="G12" i="3"/>
  <c r="G13" i="3"/>
  <c r="G14" i="3"/>
  <c r="G15" i="3"/>
  <c r="BQ15" i="3"/>
  <c r="G16" i="3"/>
  <c r="G17" i="3"/>
  <c r="G18" i="3"/>
  <c r="G19" i="3"/>
  <c r="G20" i="3"/>
  <c r="BQ20" i="3"/>
  <c r="G21" i="3"/>
  <c r="G22" i="3"/>
  <c r="G23" i="3"/>
  <c r="BQ23" i="3"/>
  <c r="G24" i="3"/>
  <c r="BQ24" i="3"/>
  <c r="G25" i="3"/>
  <c r="G26" i="3"/>
  <c r="G27" i="3"/>
  <c r="G28" i="3"/>
  <c r="BQ28" i="3"/>
  <c r="G29" i="3"/>
  <c r="G30" i="3"/>
  <c r="G31" i="3"/>
  <c r="BQ31" i="3"/>
  <c r="G32" i="3"/>
  <c r="G33" i="3"/>
  <c r="G34" i="3"/>
  <c r="G35" i="3"/>
  <c r="BQ35" i="3"/>
  <c r="G36" i="3"/>
  <c r="G37" i="3"/>
  <c r="G38" i="3"/>
  <c r="G39" i="3"/>
  <c r="BQ39" i="3"/>
  <c r="G40" i="3"/>
  <c r="BQ40" i="3"/>
  <c r="G41" i="3"/>
  <c r="G42" i="3"/>
  <c r="G43" i="3"/>
  <c r="G44" i="3"/>
  <c r="BQ44" i="3"/>
  <c r="G45" i="3"/>
  <c r="G46" i="3"/>
  <c r="G47" i="3"/>
  <c r="BQ47" i="3"/>
  <c r="G48" i="3"/>
  <c r="G49" i="3"/>
  <c r="G50" i="3"/>
  <c r="G51" i="3"/>
  <c r="BQ51" i="3"/>
  <c r="G52" i="3"/>
  <c r="BQ52" i="3"/>
  <c r="G53" i="3"/>
  <c r="G54" i="3"/>
  <c r="G55" i="3"/>
  <c r="G56" i="3"/>
  <c r="BQ56" i="3"/>
  <c r="G57" i="3"/>
  <c r="G58" i="3"/>
  <c r="G59" i="3"/>
  <c r="G60" i="3"/>
  <c r="BQ60" i="3"/>
  <c r="G61" i="3"/>
  <c r="G62" i="3"/>
  <c r="G63" i="3"/>
  <c r="BQ63" i="3"/>
  <c r="G64" i="3"/>
  <c r="BQ64" i="3"/>
  <c r="G65" i="3"/>
  <c r="G66" i="3"/>
  <c r="G67" i="3"/>
  <c r="BQ67" i="3"/>
  <c r="G68" i="3"/>
  <c r="BQ68" i="3"/>
  <c r="G69" i="3"/>
  <c r="G70" i="3"/>
  <c r="G71" i="3"/>
  <c r="G72" i="3"/>
  <c r="BQ72" i="3"/>
  <c r="G73" i="3"/>
  <c r="G74" i="3"/>
  <c r="G75" i="3"/>
  <c r="G76" i="3"/>
  <c r="BQ76" i="3"/>
  <c r="G77" i="3"/>
  <c r="G78" i="3"/>
  <c r="G79" i="3"/>
  <c r="G80" i="3"/>
  <c r="BQ80" i="3"/>
  <c r="G81" i="3"/>
  <c r="G82" i="3"/>
  <c r="G83" i="3"/>
  <c r="G84" i="3"/>
  <c r="BQ84" i="3"/>
  <c r="G85" i="3"/>
  <c r="G86" i="3"/>
  <c r="G87" i="3"/>
  <c r="BQ87" i="3"/>
  <c r="G89" i="3"/>
  <c r="G90" i="3"/>
  <c r="G91" i="3"/>
  <c r="G92" i="3"/>
  <c r="BQ92" i="3"/>
  <c r="G93" i="3"/>
  <c r="G94" i="3"/>
  <c r="G95" i="3"/>
  <c r="BQ95" i="3"/>
  <c r="G97" i="3"/>
  <c r="G98" i="3"/>
  <c r="G99" i="3"/>
  <c r="BQ99" i="3"/>
  <c r="G100" i="3"/>
  <c r="G102" i="3"/>
  <c r="G104" i="3"/>
  <c r="G103" i="3"/>
  <c r="G4" i="3"/>
  <c r="F5" i="3"/>
  <c r="F6" i="3"/>
  <c r="BO6" i="3"/>
  <c r="F7" i="3"/>
  <c r="F9" i="3"/>
  <c r="F10" i="3"/>
  <c r="F11" i="3"/>
  <c r="BO11" i="3"/>
  <c r="F12" i="3"/>
  <c r="BO12" i="3"/>
  <c r="F13" i="3"/>
  <c r="F14" i="3"/>
  <c r="F15" i="3"/>
  <c r="BO15" i="3"/>
  <c r="F16" i="3"/>
  <c r="BO16" i="3"/>
  <c r="F17" i="3"/>
  <c r="F18" i="3"/>
  <c r="F19" i="3"/>
  <c r="F20" i="3"/>
  <c r="BO20" i="3"/>
  <c r="F21" i="3"/>
  <c r="F22" i="3"/>
  <c r="F23" i="3"/>
  <c r="F24" i="3"/>
  <c r="BO24" i="3"/>
  <c r="F25" i="3"/>
  <c r="F26" i="3"/>
  <c r="F27" i="3"/>
  <c r="BO27" i="3"/>
  <c r="F28" i="3"/>
  <c r="BO28" i="3"/>
  <c r="F29" i="3"/>
  <c r="F30" i="3"/>
  <c r="F31" i="3"/>
  <c r="BO31" i="3"/>
  <c r="F32" i="3"/>
  <c r="BO32" i="3"/>
  <c r="F33" i="3"/>
  <c r="F34" i="3"/>
  <c r="F35" i="3"/>
  <c r="BO35" i="3"/>
  <c r="F36" i="3"/>
  <c r="BO36" i="3"/>
  <c r="F37" i="3"/>
  <c r="F38" i="3"/>
  <c r="F39" i="3"/>
  <c r="BO39" i="3"/>
  <c r="F40" i="3"/>
  <c r="BO40" i="3"/>
  <c r="F41" i="3"/>
  <c r="F42" i="3"/>
  <c r="F43" i="3"/>
  <c r="BO43" i="3"/>
  <c r="F44" i="3"/>
  <c r="BO44" i="3"/>
  <c r="F45" i="3"/>
  <c r="F46" i="3"/>
  <c r="F47" i="3"/>
  <c r="F48" i="3"/>
  <c r="BO48" i="3"/>
  <c r="F49" i="3"/>
  <c r="F50" i="3"/>
  <c r="F51" i="3"/>
  <c r="BO51" i="3"/>
  <c r="F52" i="3"/>
  <c r="BO52" i="3"/>
  <c r="F53" i="3"/>
  <c r="F54" i="3"/>
  <c r="F55" i="3"/>
  <c r="F56" i="3"/>
  <c r="BO56" i="3"/>
  <c r="F57" i="3"/>
  <c r="F58" i="3"/>
  <c r="F59" i="3"/>
  <c r="BO59" i="3"/>
  <c r="F60" i="3"/>
  <c r="BO60" i="3"/>
  <c r="F61" i="3"/>
  <c r="F62" i="3"/>
  <c r="F63" i="3"/>
  <c r="BO63" i="3"/>
  <c r="F64" i="3"/>
  <c r="BO64" i="3"/>
  <c r="F65" i="3"/>
  <c r="F66" i="3"/>
  <c r="F67" i="3"/>
  <c r="BO67" i="3"/>
  <c r="F68" i="3"/>
  <c r="BO68" i="3"/>
  <c r="F69" i="3"/>
  <c r="F70" i="3"/>
  <c r="F71" i="3"/>
  <c r="BO71" i="3"/>
  <c r="F72" i="3"/>
  <c r="F73" i="3"/>
  <c r="E16" i="14"/>
  <c r="F74" i="3"/>
  <c r="F75" i="3"/>
  <c r="F76" i="3"/>
  <c r="BO76" i="3"/>
  <c r="F77" i="3"/>
  <c r="F78" i="3"/>
  <c r="F79" i="3"/>
  <c r="BO79" i="3"/>
  <c r="F80" i="3"/>
  <c r="BO80" i="3"/>
  <c r="F81" i="3"/>
  <c r="F82" i="3"/>
  <c r="F83" i="3"/>
  <c r="F84" i="3"/>
  <c r="BO84" i="3"/>
  <c r="F85" i="3"/>
  <c r="F86" i="3"/>
  <c r="F87" i="3"/>
  <c r="F89" i="3"/>
  <c r="F90" i="3"/>
  <c r="F91" i="3"/>
  <c r="F92" i="3"/>
  <c r="BO92" i="3"/>
  <c r="F93" i="3"/>
  <c r="BO93" i="3"/>
  <c r="F94" i="3"/>
  <c r="F95" i="3"/>
  <c r="F97" i="3"/>
  <c r="F98" i="3"/>
  <c r="F99" i="3"/>
  <c r="F100" i="3"/>
  <c r="BO100" i="3"/>
  <c r="F102" i="3"/>
  <c r="F103" i="3"/>
  <c r="BO103" i="3"/>
  <c r="F4" i="3"/>
  <c r="E5" i="3"/>
  <c r="E6" i="3"/>
  <c r="E7" i="3"/>
  <c r="E9" i="3"/>
  <c r="E10" i="3"/>
  <c r="E11" i="3"/>
  <c r="E12" i="3"/>
  <c r="E13" i="3"/>
  <c r="E14" i="3"/>
  <c r="E15" i="3"/>
  <c r="E16" i="3"/>
  <c r="BM16" i="3"/>
  <c r="E17" i="3"/>
  <c r="E18" i="3"/>
  <c r="E19" i="3"/>
  <c r="BM19" i="3"/>
  <c r="E20" i="3"/>
  <c r="BM20" i="3"/>
  <c r="E21" i="3"/>
  <c r="E22" i="3"/>
  <c r="E23" i="3"/>
  <c r="BM23" i="3"/>
  <c r="E24" i="3"/>
  <c r="BM24" i="3"/>
  <c r="E25" i="3"/>
  <c r="E26" i="3"/>
  <c r="E27" i="3"/>
  <c r="BM27" i="3"/>
  <c r="E28" i="3"/>
  <c r="BM28" i="3"/>
  <c r="E29" i="3"/>
  <c r="E30" i="3"/>
  <c r="E31" i="3"/>
  <c r="E32" i="3"/>
  <c r="BM32" i="3"/>
  <c r="E33" i="3"/>
  <c r="E34" i="3"/>
  <c r="E35" i="3"/>
  <c r="BM35" i="3"/>
  <c r="E36" i="3"/>
  <c r="BM36" i="3"/>
  <c r="E37" i="3"/>
  <c r="E38" i="3"/>
  <c r="E39" i="3"/>
  <c r="E40" i="3"/>
  <c r="BM40" i="3"/>
  <c r="E41" i="3"/>
  <c r="E42" i="3"/>
  <c r="E43" i="3"/>
  <c r="E44" i="3"/>
  <c r="BM44" i="3"/>
  <c r="E45" i="3"/>
  <c r="BM45" i="3"/>
  <c r="E46" i="3"/>
  <c r="E47" i="3"/>
  <c r="E48" i="3"/>
  <c r="E49" i="3"/>
  <c r="E50" i="3"/>
  <c r="E51" i="3"/>
  <c r="BM51" i="3"/>
  <c r="E52" i="3"/>
  <c r="BM52" i="3"/>
  <c r="E53" i="3"/>
  <c r="E54" i="3"/>
  <c r="E55" i="3"/>
  <c r="E56" i="3"/>
  <c r="BM56" i="3"/>
  <c r="E57" i="3"/>
  <c r="E58" i="3"/>
  <c r="E59" i="3"/>
  <c r="BM59" i="3"/>
  <c r="E60" i="3"/>
  <c r="E61" i="3"/>
  <c r="E62" i="3"/>
  <c r="E63" i="3"/>
  <c r="E64" i="3"/>
  <c r="BM64" i="3"/>
  <c r="E65" i="3"/>
  <c r="E66" i="3"/>
  <c r="E67" i="3"/>
  <c r="E68" i="3"/>
  <c r="E69" i="3"/>
  <c r="E70" i="3"/>
  <c r="E71" i="3"/>
  <c r="E72" i="3"/>
  <c r="BM72" i="3"/>
  <c r="E73" i="3"/>
  <c r="E74" i="3"/>
  <c r="E75" i="3"/>
  <c r="E76" i="3"/>
  <c r="BM76" i="3"/>
  <c r="E77" i="3"/>
  <c r="E78" i="3"/>
  <c r="E79" i="3"/>
  <c r="BM79" i="3"/>
  <c r="E80" i="3"/>
  <c r="BM80" i="3"/>
  <c r="E81" i="3"/>
  <c r="E82" i="3"/>
  <c r="E83" i="3"/>
  <c r="E84" i="3"/>
  <c r="BM84" i="3"/>
  <c r="E85" i="3"/>
  <c r="E86" i="3"/>
  <c r="E87" i="3"/>
  <c r="E89" i="3"/>
  <c r="E90" i="3"/>
  <c r="E91" i="3"/>
  <c r="E92" i="3"/>
  <c r="E93" i="3"/>
  <c r="E94" i="3"/>
  <c r="E95" i="3"/>
  <c r="BM95" i="3"/>
  <c r="E97" i="3"/>
  <c r="E98" i="3"/>
  <c r="E99" i="3"/>
  <c r="BM99" i="3"/>
  <c r="E100" i="3"/>
  <c r="BM100" i="3"/>
  <c r="E102" i="3"/>
  <c r="E103" i="3"/>
  <c r="E110" i="3"/>
  <c r="E4" i="3"/>
  <c r="D103" i="3"/>
  <c r="D102" i="3"/>
  <c r="D98" i="3"/>
  <c r="D99" i="3"/>
  <c r="D100" i="3"/>
  <c r="D97" i="3"/>
  <c r="BK97" i="3"/>
  <c r="D90" i="3"/>
  <c r="D91" i="3"/>
  <c r="D92" i="3"/>
  <c r="D93" i="3"/>
  <c r="D94" i="3"/>
  <c r="D95" i="3"/>
  <c r="D89" i="3"/>
  <c r="D10" i="3"/>
  <c r="D11" i="3"/>
  <c r="D12" i="3"/>
  <c r="BK12" i="3"/>
  <c r="D13" i="3"/>
  <c r="D14" i="3"/>
  <c r="D15" i="3"/>
  <c r="D16" i="3"/>
  <c r="BK16" i="3"/>
  <c r="D17" i="3"/>
  <c r="D18" i="3"/>
  <c r="D19" i="3"/>
  <c r="D20" i="3"/>
  <c r="BK20" i="3"/>
  <c r="D21" i="3"/>
  <c r="D22" i="3"/>
  <c r="D23" i="3"/>
  <c r="BK23" i="3"/>
  <c r="D24" i="3"/>
  <c r="D25" i="3"/>
  <c r="D26" i="3"/>
  <c r="D27" i="3"/>
  <c r="BK27" i="3"/>
  <c r="D28" i="3"/>
  <c r="BK28" i="3"/>
  <c r="D29" i="3"/>
  <c r="BK29" i="3"/>
  <c r="D30" i="3"/>
  <c r="D31" i="3"/>
  <c r="BK31" i="3"/>
  <c r="D32" i="3"/>
  <c r="BK32" i="3"/>
  <c r="D33" i="3"/>
  <c r="D34" i="3"/>
  <c r="D35" i="3"/>
  <c r="D36" i="3"/>
  <c r="BK36" i="3"/>
  <c r="D37" i="3"/>
  <c r="D38" i="3"/>
  <c r="D39" i="3"/>
  <c r="BK39" i="3"/>
  <c r="D40" i="3"/>
  <c r="D41" i="3"/>
  <c r="D42" i="3"/>
  <c r="D43" i="3"/>
  <c r="BK43" i="3"/>
  <c r="D44" i="3"/>
  <c r="BK44" i="3"/>
  <c r="D45" i="3"/>
  <c r="D46" i="3"/>
  <c r="D47" i="3"/>
  <c r="D48" i="3"/>
  <c r="BK48" i="3"/>
  <c r="D49" i="3"/>
  <c r="BK49" i="3"/>
  <c r="D50" i="3"/>
  <c r="D51" i="3"/>
  <c r="BK51" i="3"/>
  <c r="D52" i="3"/>
  <c r="D53" i="3"/>
  <c r="D54" i="3"/>
  <c r="D55" i="3"/>
  <c r="D56" i="3"/>
  <c r="BK56" i="3"/>
  <c r="D57" i="3"/>
  <c r="D58" i="3"/>
  <c r="D59" i="3"/>
  <c r="BK59" i="3"/>
  <c r="D60" i="3"/>
  <c r="BK60" i="3"/>
  <c r="D61" i="3"/>
  <c r="D62" i="3"/>
  <c r="D63" i="3"/>
  <c r="BK63" i="3"/>
  <c r="D64" i="3"/>
  <c r="D65" i="3"/>
  <c r="D66" i="3"/>
  <c r="D67" i="3"/>
  <c r="BK67" i="3"/>
  <c r="D68" i="3"/>
  <c r="D69" i="3"/>
  <c r="D70" i="3"/>
  <c r="D71" i="3"/>
  <c r="BK71" i="3"/>
  <c r="D72" i="3"/>
  <c r="BK72" i="3"/>
  <c r="D73" i="3"/>
  <c r="D74" i="3"/>
  <c r="D75" i="3"/>
  <c r="BK75" i="3"/>
  <c r="D76" i="3"/>
  <c r="BK76" i="3"/>
  <c r="D77" i="3"/>
  <c r="D78" i="3"/>
  <c r="D79" i="3"/>
  <c r="BK79" i="3"/>
  <c r="D80" i="3"/>
  <c r="BK80" i="3"/>
  <c r="D81" i="3"/>
  <c r="D82" i="3"/>
  <c r="D83" i="3"/>
  <c r="BK83" i="3"/>
  <c r="D84" i="3"/>
  <c r="D85" i="3"/>
  <c r="D86" i="3"/>
  <c r="D87" i="3"/>
  <c r="D9" i="3"/>
  <c r="D5" i="3"/>
  <c r="D6" i="3"/>
  <c r="D7" i="3"/>
  <c r="D4" i="3"/>
  <c r="D106" i="3"/>
  <c r="E2" i="14"/>
  <c r="E5" i="14"/>
  <c r="DY100" i="3"/>
  <c r="DY102" i="3"/>
  <c r="DY103" i="3"/>
  <c r="DW103" i="3"/>
  <c r="DY10" i="3"/>
  <c r="DY11" i="3"/>
  <c r="DY12" i="3"/>
  <c r="DT12" i="3"/>
  <c r="DY13" i="3"/>
  <c r="DY14" i="3"/>
  <c r="DY15" i="3"/>
  <c r="DT15" i="3"/>
  <c r="DW15" i="3"/>
  <c r="DY16" i="3"/>
  <c r="DY17" i="3"/>
  <c r="DY18" i="3"/>
  <c r="DY19" i="3"/>
  <c r="DY20" i="3"/>
  <c r="DY21" i="3"/>
  <c r="DY23" i="3"/>
  <c r="DY24" i="3"/>
  <c r="DY25" i="3"/>
  <c r="DY26" i="3"/>
  <c r="DY27" i="3"/>
  <c r="DY28" i="3"/>
  <c r="DW28" i="3"/>
  <c r="DY29" i="3"/>
  <c r="DY30" i="3"/>
  <c r="DY31" i="3"/>
  <c r="DW31" i="3"/>
  <c r="DY32" i="3"/>
  <c r="DW32" i="3"/>
  <c r="DY33" i="3"/>
  <c r="DY34" i="3"/>
  <c r="DY35" i="3"/>
  <c r="DY36" i="3"/>
  <c r="DW36" i="3"/>
  <c r="DT36" i="3"/>
  <c r="DY37" i="3"/>
  <c r="DY38" i="3"/>
  <c r="DY39" i="3"/>
  <c r="DW39" i="3"/>
  <c r="DY40" i="3"/>
  <c r="DW40" i="3"/>
  <c r="DY41" i="3"/>
  <c r="DY42" i="3"/>
  <c r="DY43" i="3"/>
  <c r="DY44" i="3"/>
  <c r="DY45" i="3"/>
  <c r="DY46" i="3"/>
  <c r="DY47" i="3"/>
  <c r="DY48" i="3"/>
  <c r="DY49" i="3"/>
  <c r="DY50" i="3"/>
  <c r="DY51" i="3"/>
  <c r="DY52" i="3"/>
  <c r="DT52" i="3"/>
  <c r="DY53" i="3"/>
  <c r="DY54" i="3"/>
  <c r="DY55" i="3"/>
  <c r="DW55" i="3"/>
  <c r="DY56" i="3"/>
  <c r="DY57" i="3"/>
  <c r="DY58" i="3"/>
  <c r="DY59" i="3"/>
  <c r="DY60" i="3"/>
  <c r="DY61" i="3"/>
  <c r="DY62" i="3"/>
  <c r="DY63" i="3"/>
  <c r="DW63" i="3"/>
  <c r="DY64" i="3"/>
  <c r="DW64" i="3"/>
  <c r="DY65" i="3"/>
  <c r="DY66" i="3"/>
  <c r="DY67" i="3"/>
  <c r="DT67" i="3"/>
  <c r="DY68" i="3"/>
  <c r="DY69" i="3"/>
  <c r="DY70" i="3"/>
  <c r="DY71" i="3"/>
  <c r="DY72" i="3"/>
  <c r="DY73" i="3"/>
  <c r="DY74" i="3"/>
  <c r="DY75" i="3"/>
  <c r="DT75" i="3"/>
  <c r="DY76" i="3"/>
  <c r="DW76" i="3"/>
  <c r="DY77" i="3"/>
  <c r="DY78" i="3"/>
  <c r="DY79" i="3"/>
  <c r="DW79" i="3"/>
  <c r="DY80" i="3"/>
  <c r="DW80" i="3"/>
  <c r="DY81" i="3"/>
  <c r="DY82" i="3"/>
  <c r="DY83" i="3"/>
  <c r="DW83" i="3"/>
  <c r="DY84" i="3"/>
  <c r="DY85" i="3"/>
  <c r="DY86" i="3"/>
  <c r="DY87" i="3"/>
  <c r="DY89" i="3"/>
  <c r="DY90" i="3"/>
  <c r="DY91" i="3"/>
  <c r="DY92" i="3"/>
  <c r="DY93" i="3"/>
  <c r="DY94" i="3"/>
  <c r="DY95" i="3"/>
  <c r="DY97" i="3"/>
  <c r="DY98" i="3"/>
  <c r="DY99" i="3"/>
  <c r="DY9" i="3"/>
  <c r="DT9" i="3"/>
  <c r="BH4" i="3"/>
  <c r="BG103" i="3"/>
  <c r="CL103" i="3"/>
  <c r="BG104" i="3"/>
  <c r="BG102" i="3"/>
  <c r="BG110" i="3"/>
  <c r="BG98" i="3"/>
  <c r="BG99" i="3"/>
  <c r="CX99" i="3"/>
  <c r="BG100" i="3"/>
  <c r="CX100" i="3"/>
  <c r="BG97" i="3"/>
  <c r="BG90" i="3"/>
  <c r="BG91" i="3"/>
  <c r="DT91" i="3"/>
  <c r="BG92" i="3"/>
  <c r="BG93" i="3"/>
  <c r="BG94" i="3"/>
  <c r="BG95" i="3"/>
  <c r="BG89" i="3"/>
  <c r="DD89" i="3"/>
  <c r="BG10" i="3"/>
  <c r="DD10" i="3"/>
  <c r="BG11" i="3"/>
  <c r="BG12" i="3"/>
  <c r="CP12" i="3"/>
  <c r="BG13" i="3"/>
  <c r="DD13" i="3"/>
  <c r="DT13" i="3"/>
  <c r="BG14" i="3"/>
  <c r="BG15" i="3"/>
  <c r="BG16" i="3"/>
  <c r="BG17" i="3"/>
  <c r="CH17" i="3"/>
  <c r="BG18" i="3"/>
  <c r="BG19" i="3"/>
  <c r="BG20" i="3"/>
  <c r="DD20" i="3"/>
  <c r="BG21" i="3"/>
  <c r="BG22" i="3"/>
  <c r="BG23" i="3"/>
  <c r="BG24" i="3"/>
  <c r="BG25" i="3"/>
  <c r="BG26" i="3"/>
  <c r="BG27" i="3"/>
  <c r="DD27" i="3"/>
  <c r="BG28" i="3"/>
  <c r="DO28" i="3"/>
  <c r="BG29" i="3"/>
  <c r="BG30" i="3"/>
  <c r="CX30" i="3"/>
  <c r="BG31" i="3"/>
  <c r="DD31" i="3"/>
  <c r="BG32" i="3"/>
  <c r="BG33" i="3"/>
  <c r="BG34" i="3"/>
  <c r="CH34" i="3"/>
  <c r="BG35" i="3"/>
  <c r="BG36" i="3"/>
  <c r="BG37" i="3"/>
  <c r="BG38" i="3"/>
  <c r="DO38" i="3"/>
  <c r="BG39" i="3"/>
  <c r="BG40" i="3"/>
  <c r="BG41" i="3"/>
  <c r="BG42" i="3"/>
  <c r="DO42" i="3"/>
  <c r="BG43" i="3"/>
  <c r="BG44" i="3"/>
  <c r="BG45" i="3"/>
  <c r="CH45" i="3"/>
  <c r="BG46" i="3"/>
  <c r="CT46" i="3"/>
  <c r="BG47" i="3"/>
  <c r="DO47" i="3"/>
  <c r="BG48" i="3"/>
  <c r="BG49" i="3"/>
  <c r="BG50" i="3"/>
  <c r="BG51" i="3"/>
  <c r="DH51" i="3"/>
  <c r="BG52" i="3"/>
  <c r="DH52" i="3"/>
  <c r="BG53" i="3"/>
  <c r="BG54" i="3"/>
  <c r="CX54" i="3"/>
  <c r="BG55" i="3"/>
  <c r="BG56" i="3"/>
  <c r="BG57" i="3"/>
  <c r="BG58" i="3"/>
  <c r="CH58" i="3"/>
  <c r="BG59" i="3"/>
  <c r="DO59" i="3"/>
  <c r="BG60" i="3"/>
  <c r="BG61" i="3"/>
  <c r="BG62" i="3"/>
  <c r="BG63" i="3"/>
  <c r="BG64" i="3"/>
  <c r="BG65" i="3"/>
  <c r="BG66" i="3"/>
  <c r="BG67" i="3"/>
  <c r="DD67" i="3"/>
  <c r="BG68" i="3"/>
  <c r="BG69" i="3"/>
  <c r="BG70" i="3"/>
  <c r="CX70" i="3"/>
  <c r="BG71" i="3"/>
  <c r="BG72" i="3"/>
  <c r="BG73" i="3"/>
  <c r="BG74" i="3"/>
  <c r="BG75" i="3"/>
  <c r="CH75" i="3"/>
  <c r="BG76" i="3"/>
  <c r="BG77" i="3"/>
  <c r="DO77" i="3"/>
  <c r="BG78" i="3"/>
  <c r="BG79" i="3"/>
  <c r="BG80" i="3"/>
  <c r="BG81" i="3"/>
  <c r="DO81" i="3"/>
  <c r="BG82" i="3"/>
  <c r="BG83" i="3"/>
  <c r="DO83" i="3"/>
  <c r="BG84" i="3"/>
  <c r="DH84" i="3"/>
  <c r="BG85" i="3"/>
  <c r="CP85" i="3"/>
  <c r="BG86" i="3"/>
  <c r="CX86" i="3"/>
  <c r="BG87" i="3"/>
  <c r="CP87" i="3"/>
  <c r="BG9" i="3"/>
  <c r="BG5" i="3"/>
  <c r="DD5" i="3"/>
  <c r="BG6" i="3"/>
  <c r="BG7" i="3"/>
  <c r="DH7" i="3"/>
  <c r="BG4" i="3"/>
  <c r="DT4" i="3"/>
  <c r="AW108" i="3"/>
  <c r="AT110" i="3"/>
  <c r="DS95" i="3"/>
  <c r="DS27" i="3"/>
  <c r="DS35" i="3"/>
  <c r="DS43" i="3"/>
  <c r="DS44" i="3"/>
  <c r="DS67" i="3"/>
  <c r="DS75" i="3"/>
  <c r="DS83" i="3"/>
  <c r="DS87" i="3"/>
  <c r="DQ93" i="3"/>
  <c r="DO13" i="3"/>
  <c r="DO14" i="3"/>
  <c r="DQ40" i="3"/>
  <c r="F83" i="14"/>
  <c r="DO57" i="3"/>
  <c r="DO69" i="3"/>
  <c r="DO73" i="3"/>
  <c r="E81" i="14"/>
  <c r="E83" i="14"/>
  <c r="CP29" i="3"/>
  <c r="CC23" i="3"/>
  <c r="CA25" i="3"/>
  <c r="BY16" i="3"/>
  <c r="BU44" i="3"/>
  <c r="BQ100" i="3"/>
  <c r="BM60" i="3"/>
  <c r="F2" i="14"/>
  <c r="F50" i="14"/>
  <c r="G2" i="14"/>
  <c r="G5" i="14"/>
  <c r="DY7" i="3"/>
  <c r="DY6" i="3"/>
  <c r="DY5" i="3"/>
  <c r="DY4" i="3"/>
  <c r="M33" i="34"/>
  <c r="L33" i="34"/>
  <c r="CZ110" i="3"/>
  <c r="DF110" i="3"/>
  <c r="DJ110" i="3"/>
  <c r="DX110" i="3"/>
  <c r="D108" i="33"/>
  <c r="E108" i="33"/>
  <c r="G108" i="33"/>
  <c r="H108" i="33"/>
  <c r="I108" i="33"/>
  <c r="J108" i="33"/>
  <c r="K108" i="33"/>
  <c r="L108" i="33"/>
  <c r="M108" i="33"/>
  <c r="N108" i="33"/>
  <c r="O108" i="33"/>
  <c r="P108" i="33"/>
  <c r="Q108" i="33"/>
  <c r="R108" i="33"/>
  <c r="S108" i="33"/>
  <c r="T108" i="33"/>
  <c r="U108" i="33"/>
  <c r="V108" i="33"/>
  <c r="W108" i="33"/>
  <c r="X108" i="33"/>
  <c r="Y108" i="33"/>
  <c r="Z108" i="33"/>
  <c r="AA108" i="33"/>
  <c r="AB108" i="33"/>
  <c r="AC108" i="33"/>
  <c r="AD108" i="33"/>
  <c r="AE108" i="33"/>
  <c r="AF108" i="33"/>
  <c r="AG108" i="33"/>
  <c r="AH108" i="33"/>
  <c r="AI108" i="33"/>
  <c r="AJ108" i="33"/>
  <c r="AK108" i="33"/>
  <c r="AL108" i="33"/>
  <c r="AM108" i="33"/>
  <c r="AN108" i="33"/>
  <c r="AO108" i="33"/>
  <c r="AP108" i="33"/>
  <c r="AQ108" i="33"/>
  <c r="AR108" i="33"/>
  <c r="AS108" i="33"/>
  <c r="AT108" i="33"/>
  <c r="AU108" i="33"/>
  <c r="AV108" i="33"/>
  <c r="AW108" i="33"/>
  <c r="AX108" i="33"/>
  <c r="C108" i="33"/>
  <c r="AQ110" i="3"/>
  <c r="F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5" i="33"/>
  <c r="G150" i="32"/>
  <c r="G151" i="32"/>
  <c r="G149" i="32"/>
  <c r="M148" i="32"/>
  <c r="N148" i="32"/>
  <c r="O148" i="32"/>
  <c r="M147" i="32"/>
  <c r="N147" i="32"/>
  <c r="O147" i="32"/>
  <c r="M146" i="32"/>
  <c r="M145" i="32"/>
  <c r="N145" i="32"/>
  <c r="O145" i="32"/>
  <c r="M144" i="32"/>
  <c r="N144" i="32"/>
  <c r="O144" i="32"/>
  <c r="M143" i="32"/>
  <c r="N143" i="32"/>
  <c r="O143" i="32"/>
  <c r="M142" i="32"/>
  <c r="N142" i="32"/>
  <c r="O142" i="32"/>
  <c r="N141" i="32"/>
  <c r="O141" i="32"/>
  <c r="M141" i="32"/>
  <c r="M140" i="32"/>
  <c r="N140" i="32"/>
  <c r="O140" i="32"/>
  <c r="N139" i="32"/>
  <c r="O139" i="32"/>
  <c r="M139" i="32"/>
  <c r="M138" i="32"/>
  <c r="N138" i="32"/>
  <c r="O138" i="32"/>
  <c r="N137" i="32"/>
  <c r="O137" i="32"/>
  <c r="M137" i="32"/>
  <c r="M136" i="32"/>
  <c r="N136" i="32"/>
  <c r="O136" i="32"/>
  <c r="N135" i="32"/>
  <c r="O135" i="32"/>
  <c r="M135" i="32"/>
  <c r="M134" i="32"/>
  <c r="N134" i="32"/>
  <c r="O134" i="32"/>
  <c r="N133" i="32"/>
  <c r="O133" i="32"/>
  <c r="M133" i="32"/>
  <c r="M132" i="32"/>
  <c r="N132" i="32"/>
  <c r="O132" i="32"/>
  <c r="N131" i="32"/>
  <c r="O131" i="32"/>
  <c r="M131" i="32"/>
  <c r="M130" i="32"/>
  <c r="N130" i="32"/>
  <c r="O130" i="32"/>
  <c r="N129" i="32"/>
  <c r="O129" i="32"/>
  <c r="M129" i="32"/>
  <c r="M128" i="32"/>
  <c r="N128" i="32"/>
  <c r="O127" i="32"/>
  <c r="M127" i="32"/>
  <c r="N127" i="32"/>
  <c r="M126" i="32"/>
  <c r="N126" i="32"/>
  <c r="O126" i="32"/>
  <c r="N125" i="32"/>
  <c r="O125" i="32"/>
  <c r="M125" i="32"/>
  <c r="M124" i="32"/>
  <c r="N124" i="32"/>
  <c r="O124" i="32"/>
  <c r="O123" i="32"/>
  <c r="M123" i="32"/>
  <c r="N123" i="32"/>
  <c r="M122" i="32"/>
  <c r="N122" i="32"/>
  <c r="O122" i="32"/>
  <c r="N121" i="32"/>
  <c r="O121" i="32"/>
  <c r="M121" i="32"/>
  <c r="M120" i="32"/>
  <c r="N120" i="32"/>
  <c r="O120" i="32"/>
  <c r="M119" i="32"/>
  <c r="N119" i="32"/>
  <c r="O119" i="32"/>
  <c r="N118" i="32"/>
  <c r="O118" i="32"/>
  <c r="M118" i="32"/>
  <c r="N117" i="32"/>
  <c r="O117" i="32"/>
  <c r="M117" i="32"/>
  <c r="N116" i="32"/>
  <c r="O116" i="32"/>
  <c r="M116" i="32"/>
  <c r="M115" i="32"/>
  <c r="N115" i="32"/>
  <c r="O115" i="32"/>
  <c r="N114" i="32"/>
  <c r="O114" i="32"/>
  <c r="M114" i="32"/>
  <c r="M113" i="32"/>
  <c r="N113" i="32"/>
  <c r="O113" i="32"/>
  <c r="N112" i="32"/>
  <c r="O112" i="32"/>
  <c r="M112" i="32"/>
  <c r="M111" i="32"/>
  <c r="N111" i="32"/>
  <c r="O111" i="32"/>
  <c r="N110" i="32"/>
  <c r="O110" i="32"/>
  <c r="M110" i="32"/>
  <c r="M109" i="32"/>
  <c r="N109" i="32"/>
  <c r="O109" i="32"/>
  <c r="N108" i="32"/>
  <c r="O108" i="32"/>
  <c r="M108" i="32"/>
  <c r="M107" i="32"/>
  <c r="N107" i="32"/>
  <c r="O107" i="32"/>
  <c r="N106" i="32"/>
  <c r="O106" i="32"/>
  <c r="M106" i="32"/>
  <c r="M105" i="32"/>
  <c r="N105" i="32"/>
  <c r="O105" i="32"/>
  <c r="N104" i="32"/>
  <c r="O104" i="32"/>
  <c r="M104" i="32"/>
  <c r="M103" i="32"/>
  <c r="N103" i="32"/>
  <c r="O103" i="32"/>
  <c r="N102" i="32"/>
  <c r="O102" i="32"/>
  <c r="M102" i="32"/>
  <c r="M101" i="32"/>
  <c r="N101" i="32"/>
  <c r="O101" i="32"/>
  <c r="N100" i="32"/>
  <c r="O100" i="32"/>
  <c r="M100" i="32"/>
  <c r="M99" i="32"/>
  <c r="N99" i="32"/>
  <c r="O99" i="32"/>
  <c r="N98" i="32"/>
  <c r="O98" i="32"/>
  <c r="M98" i="32"/>
  <c r="M97" i="32"/>
  <c r="N97" i="32"/>
  <c r="O97" i="32"/>
  <c r="N96" i="32"/>
  <c r="O96" i="32"/>
  <c r="M96" i="32"/>
  <c r="M95" i="32"/>
  <c r="N95" i="32"/>
  <c r="O95" i="32"/>
  <c r="N94" i="32"/>
  <c r="O94" i="32"/>
  <c r="M94" i="32"/>
  <c r="M93" i="32"/>
  <c r="N93" i="32"/>
  <c r="O93" i="32"/>
  <c r="N92" i="32"/>
  <c r="O92" i="32"/>
  <c r="M92" i="32"/>
  <c r="M91" i="32"/>
  <c r="N91" i="32"/>
  <c r="O91" i="32"/>
  <c r="N90" i="32"/>
  <c r="O90" i="32"/>
  <c r="M90" i="32"/>
  <c r="M89" i="32"/>
  <c r="N89" i="32"/>
  <c r="O89" i="32"/>
  <c r="N88" i="32"/>
  <c r="O88" i="32"/>
  <c r="M88" i="32"/>
  <c r="M87" i="32"/>
  <c r="N87" i="32"/>
  <c r="O87" i="32"/>
  <c r="N86" i="32"/>
  <c r="O86" i="32"/>
  <c r="M86" i="32"/>
  <c r="M85" i="32"/>
  <c r="N85" i="32"/>
  <c r="O85" i="32"/>
  <c r="N84" i="32"/>
  <c r="O84" i="32"/>
  <c r="M84" i="32"/>
  <c r="M83" i="32"/>
  <c r="N83" i="32"/>
  <c r="O83" i="32"/>
  <c r="N82" i="32"/>
  <c r="O82" i="32"/>
  <c r="M82" i="32"/>
  <c r="M81" i="32"/>
  <c r="N81" i="32"/>
  <c r="O81" i="32"/>
  <c r="N80" i="32"/>
  <c r="O80" i="32"/>
  <c r="M80" i="32"/>
  <c r="M79" i="32"/>
  <c r="N79" i="32"/>
  <c r="O79" i="32"/>
  <c r="N78" i="32"/>
  <c r="O78" i="32"/>
  <c r="M78" i="32"/>
  <c r="O77" i="32"/>
  <c r="M77" i="32"/>
  <c r="N77" i="32"/>
  <c r="M76" i="32"/>
  <c r="N76" i="32"/>
  <c r="O76" i="32"/>
  <c r="N75" i="32"/>
  <c r="O75" i="32"/>
  <c r="M75" i="32"/>
  <c r="N74" i="32"/>
  <c r="O74" i="32"/>
  <c r="M74" i="32"/>
  <c r="O73" i="32"/>
  <c r="M73" i="32"/>
  <c r="N73" i="32"/>
  <c r="M72" i="32"/>
  <c r="N72" i="32"/>
  <c r="O72" i="32"/>
  <c r="N71" i="32"/>
  <c r="O71" i="32"/>
  <c r="M71" i="32"/>
  <c r="N70" i="32"/>
  <c r="O70" i="32"/>
  <c r="M70" i="32"/>
  <c r="O69" i="32"/>
  <c r="M69" i="32"/>
  <c r="N69" i="32"/>
  <c r="M68" i="32"/>
  <c r="N68" i="32"/>
  <c r="O68" i="32"/>
  <c r="N67" i="32"/>
  <c r="O67" i="32"/>
  <c r="M67" i="32"/>
  <c r="N66" i="32"/>
  <c r="O66" i="32"/>
  <c r="M66" i="32"/>
  <c r="O65" i="32"/>
  <c r="M65" i="32"/>
  <c r="N65" i="32"/>
  <c r="M64" i="32"/>
  <c r="N64" i="32"/>
  <c r="O64" i="32"/>
  <c r="N63" i="32"/>
  <c r="O63" i="32"/>
  <c r="M63" i="32"/>
  <c r="N62" i="32"/>
  <c r="O62" i="32"/>
  <c r="M62" i="32"/>
  <c r="O61" i="32"/>
  <c r="M61" i="32"/>
  <c r="N61" i="32"/>
  <c r="M60" i="32"/>
  <c r="N60" i="32"/>
  <c r="O60" i="32"/>
  <c r="N59" i="32"/>
  <c r="O59" i="32"/>
  <c r="M59" i="32"/>
  <c r="N58" i="32"/>
  <c r="O58" i="32"/>
  <c r="M58" i="32"/>
  <c r="O57" i="32"/>
  <c r="M57" i="32"/>
  <c r="N57" i="32"/>
  <c r="M56" i="32"/>
  <c r="N56" i="32"/>
  <c r="O56" i="32"/>
  <c r="N55" i="32"/>
  <c r="O55" i="32"/>
  <c r="M55" i="32"/>
  <c r="N54" i="32"/>
  <c r="O54" i="32"/>
  <c r="M54" i="32"/>
  <c r="O53" i="32"/>
  <c r="M53" i="32"/>
  <c r="N53" i="32"/>
  <c r="M52" i="32"/>
  <c r="N52" i="32"/>
  <c r="O52" i="32"/>
  <c r="N51" i="32"/>
  <c r="O51" i="32"/>
  <c r="M51" i="32"/>
  <c r="N50" i="32"/>
  <c r="O50" i="32"/>
  <c r="M50" i="32"/>
  <c r="O49" i="32"/>
  <c r="M49" i="32"/>
  <c r="N49" i="32"/>
  <c r="M48" i="32"/>
  <c r="N48" i="32"/>
  <c r="O48" i="32"/>
  <c r="N47" i="32"/>
  <c r="O47" i="32"/>
  <c r="M47" i="32"/>
  <c r="N46" i="32"/>
  <c r="O46" i="32"/>
  <c r="M46" i="32"/>
  <c r="O45" i="32"/>
  <c r="M45" i="32"/>
  <c r="N45" i="32"/>
  <c r="M44" i="32"/>
  <c r="N44" i="32"/>
  <c r="O44" i="32"/>
  <c r="N43" i="32"/>
  <c r="O43" i="32"/>
  <c r="M43" i="32"/>
  <c r="N42" i="32"/>
  <c r="O42" i="32"/>
  <c r="M42" i="32"/>
  <c r="O41" i="32"/>
  <c r="M41" i="32"/>
  <c r="N41" i="32"/>
  <c r="M40" i="32"/>
  <c r="N40" i="32"/>
  <c r="O40" i="32"/>
  <c r="N39" i="32"/>
  <c r="O39" i="32"/>
  <c r="M39" i="32"/>
  <c r="N38" i="32"/>
  <c r="O38" i="32"/>
  <c r="M38" i="32"/>
  <c r="O37" i="32"/>
  <c r="M37" i="32"/>
  <c r="N37" i="32"/>
  <c r="M36" i="32"/>
  <c r="N36" i="32"/>
  <c r="O36" i="32"/>
  <c r="N35" i="32"/>
  <c r="O35" i="32"/>
  <c r="M35" i="32"/>
  <c r="N34" i="32"/>
  <c r="O34" i="32"/>
  <c r="M34" i="32"/>
  <c r="O33" i="32"/>
  <c r="M33" i="32"/>
  <c r="N33" i="32"/>
  <c r="M32" i="32"/>
  <c r="N32" i="32"/>
  <c r="O32" i="32"/>
  <c r="N31" i="32"/>
  <c r="O31" i="32"/>
  <c r="M31" i="32"/>
  <c r="N30" i="32"/>
  <c r="O30" i="32"/>
  <c r="M30" i="32"/>
  <c r="O29" i="32"/>
  <c r="M29" i="32"/>
  <c r="N29" i="32"/>
  <c r="M28" i="32"/>
  <c r="N28" i="32"/>
  <c r="O28" i="32"/>
  <c r="N27" i="32"/>
  <c r="O27" i="32"/>
  <c r="M27" i="32"/>
  <c r="M26" i="32"/>
  <c r="N26" i="32"/>
  <c r="O26" i="32"/>
  <c r="M25" i="32"/>
  <c r="N25" i="32"/>
  <c r="O25" i="32"/>
  <c r="M24" i="32"/>
  <c r="N24" i="32"/>
  <c r="O24" i="32"/>
  <c r="M23" i="32"/>
  <c r="N23" i="32"/>
  <c r="O23" i="32"/>
  <c r="M22" i="32"/>
  <c r="N22" i="32"/>
  <c r="O22" i="32"/>
  <c r="M21" i="32"/>
  <c r="N21" i="32"/>
  <c r="O21" i="32"/>
  <c r="M20" i="32"/>
  <c r="N20" i="32"/>
  <c r="O20" i="32"/>
  <c r="M19" i="32"/>
  <c r="N19" i="32"/>
  <c r="O19" i="32"/>
  <c r="N18" i="32"/>
  <c r="O18" i="32"/>
  <c r="M18" i="32"/>
  <c r="M17" i="32"/>
  <c r="N17" i="32"/>
  <c r="O17" i="32"/>
  <c r="M16" i="32"/>
  <c r="N16" i="32"/>
  <c r="O16" i="32"/>
  <c r="M15" i="32"/>
  <c r="N15" i="32"/>
  <c r="O15" i="32"/>
  <c r="BH64" i="3"/>
  <c r="V127" i="31"/>
  <c r="V126" i="31"/>
  <c r="V125" i="31"/>
  <c r="V124" i="31"/>
  <c r="V123" i="31"/>
  <c r="V122" i="31"/>
  <c r="V121" i="31"/>
  <c r="V120" i="31"/>
  <c r="V119" i="31"/>
  <c r="V118" i="31"/>
  <c r="V117" i="31"/>
  <c r="V116" i="31"/>
  <c r="V115" i="31"/>
  <c r="V114" i="31"/>
  <c r="V113" i="31"/>
  <c r="V112" i="31"/>
  <c r="V111" i="31"/>
  <c r="V110" i="31"/>
  <c r="V109" i="31"/>
  <c r="V108" i="31"/>
  <c r="V107" i="31"/>
  <c r="V106" i="31"/>
  <c r="V105" i="31"/>
  <c r="V104" i="31"/>
  <c r="V103" i="31"/>
  <c r="V102" i="31"/>
  <c r="V101" i="31"/>
  <c r="V100" i="31"/>
  <c r="V99" i="31"/>
  <c r="V98" i="31"/>
  <c r="V97" i="31"/>
  <c r="V96" i="31"/>
  <c r="V95" i="31"/>
  <c r="V94" i="31"/>
  <c r="V93" i="31"/>
  <c r="V92" i="31"/>
  <c r="V91" i="31"/>
  <c r="V90" i="31"/>
  <c r="V89" i="31"/>
  <c r="V88" i="31"/>
  <c r="V87" i="31"/>
  <c r="V86" i="31"/>
  <c r="V85" i="31"/>
  <c r="V84" i="31"/>
  <c r="V83" i="31"/>
  <c r="V82" i="31"/>
  <c r="V81" i="31"/>
  <c r="V80" i="31"/>
  <c r="V79" i="31"/>
  <c r="V78" i="31"/>
  <c r="V77" i="31"/>
  <c r="V76" i="31"/>
  <c r="V75" i="31"/>
  <c r="V74" i="31"/>
  <c r="V73" i="31"/>
  <c r="V72" i="31"/>
  <c r="V71" i="31"/>
  <c r="V70" i="31"/>
  <c r="V69" i="31"/>
  <c r="V68" i="31"/>
  <c r="V67" i="31"/>
  <c r="V66" i="31"/>
  <c r="V65" i="31"/>
  <c r="V64" i="31"/>
  <c r="V63" i="31"/>
  <c r="V62" i="31"/>
  <c r="V61" i="31"/>
  <c r="V60" i="31"/>
  <c r="V59" i="31"/>
  <c r="V58" i="31"/>
  <c r="V57" i="31"/>
  <c r="V56" i="31"/>
  <c r="V55" i="31"/>
  <c r="V54" i="31"/>
  <c r="V53" i="31"/>
  <c r="V52" i="31"/>
  <c r="V51" i="31"/>
  <c r="V50" i="31"/>
  <c r="V49" i="31"/>
  <c r="V48" i="31"/>
  <c r="V47" i="31"/>
  <c r="V46" i="31"/>
  <c r="V45" i="31"/>
  <c r="V44" i="31"/>
  <c r="V43" i="31"/>
  <c r="V42" i="31"/>
  <c r="V41" i="31"/>
  <c r="V40" i="31"/>
  <c r="V39" i="31"/>
  <c r="V38" i="31"/>
  <c r="V37" i="31"/>
  <c r="V36" i="31"/>
  <c r="V35" i="31"/>
  <c r="V34" i="31"/>
  <c r="V33" i="31"/>
  <c r="V32" i="31"/>
  <c r="V31" i="31"/>
  <c r="V30" i="31"/>
  <c r="V29" i="31"/>
  <c r="V28" i="31"/>
  <c r="V27" i="31"/>
  <c r="V26" i="31"/>
  <c r="V25" i="31"/>
  <c r="V24" i="31"/>
  <c r="V23" i="31"/>
  <c r="V22" i="31"/>
  <c r="V21" i="31"/>
  <c r="V20" i="31"/>
  <c r="V19" i="31"/>
  <c r="V18" i="31"/>
  <c r="V17" i="31"/>
  <c r="V16" i="31"/>
  <c r="V15" i="31"/>
  <c r="V14" i="31"/>
  <c r="V13" i="31"/>
  <c r="V12" i="31"/>
  <c r="V11" i="31"/>
  <c r="V10" i="31"/>
  <c r="V9" i="31"/>
  <c r="V8" i="31"/>
  <c r="V7" i="31"/>
  <c r="V6" i="31"/>
  <c r="V5" i="31"/>
  <c r="BH110" i="3"/>
  <c r="L75" i="14"/>
  <c r="L70" i="14"/>
  <c r="L62" i="14"/>
  <c r="J109" i="28"/>
  <c r="K109" i="28"/>
  <c r="N109" i="28"/>
  <c r="T109" i="28"/>
  <c r="U109" i="28"/>
  <c r="V109" i="28"/>
  <c r="W109" i="28"/>
  <c r="Y109" i="28"/>
  <c r="Z109" i="28"/>
  <c r="AA109" i="28"/>
  <c r="AC109" i="28"/>
  <c r="AD109" i="28"/>
  <c r="AI109" i="28"/>
  <c r="AK109" i="28"/>
  <c r="AL109" i="28"/>
  <c r="AM109" i="28"/>
  <c r="AN109" i="28"/>
  <c r="AO109" i="28"/>
  <c r="AP109" i="28"/>
  <c r="AR109" i="28"/>
  <c r="AU109" i="28"/>
  <c r="AW109" i="28"/>
  <c r="AX109" i="28"/>
  <c r="AY109" i="28"/>
  <c r="AZ109" i="28"/>
  <c r="BA109" i="28"/>
  <c r="BB109" i="28"/>
  <c r="BC109" i="28"/>
  <c r="BE109" i="28"/>
  <c r="BF109" i="28"/>
  <c r="BG109" i="28"/>
  <c r="BI109" i="28"/>
  <c r="BK109" i="28"/>
  <c r="BM109" i="28"/>
  <c r="BN109" i="28"/>
  <c r="BP109" i="28"/>
  <c r="G109" i="28"/>
  <c r="I7" i="28"/>
  <c r="I109" i="28"/>
  <c r="H7" i="28"/>
  <c r="H109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9" i="28"/>
  <c r="F100" i="28"/>
  <c r="F102" i="28"/>
  <c r="F103" i="28"/>
  <c r="F104" i="28"/>
  <c r="F105" i="28"/>
  <c r="F106" i="28"/>
  <c r="F107" i="28"/>
  <c r="F4" i="28"/>
  <c r="AE107" i="28"/>
  <c r="V107" i="28"/>
  <c r="AQ106" i="28"/>
  <c r="AE106" i="28"/>
  <c r="AD106" i="28"/>
  <c r="V106" i="28"/>
  <c r="AQ105" i="28"/>
  <c r="AE105" i="28"/>
  <c r="AE109" i="28"/>
  <c r="V105" i="28"/>
  <c r="BQ104" i="28"/>
  <c r="AH103" i="28"/>
  <c r="AF103" i="28"/>
  <c r="M102" i="28"/>
  <c r="BQ102" i="28"/>
  <c r="L102" i="28"/>
  <c r="BO101" i="28"/>
  <c r="BO109" i="28"/>
  <c r="BL101" i="28"/>
  <c r="AH101" i="28"/>
  <c r="AG101" i="28"/>
  <c r="C101" i="28"/>
  <c r="BQ100" i="28"/>
  <c r="BN99" i="28"/>
  <c r="BL99" i="28"/>
  <c r="BJ99" i="28"/>
  <c r="BJ109" i="28"/>
  <c r="AQ99" i="28"/>
  <c r="BL98" i="28"/>
  <c r="C98" i="28"/>
  <c r="BQ97" i="28"/>
  <c r="BQ96" i="28"/>
  <c r="BQ95" i="28"/>
  <c r="BQ94" i="28"/>
  <c r="BQ93" i="28"/>
  <c r="BQ92" i="28"/>
  <c r="BQ91" i="28"/>
  <c r="BQ90" i="28"/>
  <c r="BL89" i="28"/>
  <c r="S89" i="28"/>
  <c r="R89" i="28"/>
  <c r="BQ89" i="28"/>
  <c r="AP88" i="28"/>
  <c r="AL88" i="28"/>
  <c r="BQ87" i="28"/>
  <c r="BQ86" i="28"/>
  <c r="BQ85" i="28"/>
  <c r="BQ84" i="28"/>
  <c r="BQ83" i="28"/>
  <c r="BQ82" i="28"/>
  <c r="BQ81" i="28"/>
  <c r="S80" i="28"/>
  <c r="R80" i="28"/>
  <c r="BQ80" i="28"/>
  <c r="N80" i="28"/>
  <c r="P79" i="28"/>
  <c r="N79" i="28"/>
  <c r="BQ78" i="28"/>
  <c r="BQ77" i="28"/>
  <c r="Y76" i="28"/>
  <c r="X76" i="28"/>
  <c r="X109" i="28"/>
  <c r="BQ75" i="28"/>
  <c r="AP74" i="28"/>
  <c r="BQ74" i="28"/>
  <c r="AM74" i="28"/>
  <c r="AH73" i="28"/>
  <c r="AG73" i="28"/>
  <c r="BQ72" i="28"/>
  <c r="BQ71" i="28"/>
  <c r="BQ70" i="28"/>
  <c r="BQ69" i="28"/>
  <c r="BQ68" i="28"/>
  <c r="BQ67" i="28"/>
  <c r="BQ66" i="28"/>
  <c r="BQ65" i="28"/>
  <c r="BD64" i="28"/>
  <c r="BQ64" i="28"/>
  <c r="AI64" i="28"/>
  <c r="BQ63" i="28"/>
  <c r="BQ62" i="28"/>
  <c r="BQ61" i="28"/>
  <c r="BQ60" i="28"/>
  <c r="BQ59" i="28"/>
  <c r="BQ58" i="28"/>
  <c r="BQ57" i="28"/>
  <c r="BQ56" i="28"/>
  <c r="BQ55" i="28"/>
  <c r="BQ54" i="28"/>
  <c r="AH53" i="28"/>
  <c r="AG53" i="28"/>
  <c r="N53" i="28"/>
  <c r="BQ53" i="28"/>
  <c r="M53" i="28"/>
  <c r="BQ52" i="28"/>
  <c r="BQ51" i="28"/>
  <c r="BQ50" i="28"/>
  <c r="BQ49" i="28"/>
  <c r="BH48" i="28"/>
  <c r="BH109" i="28"/>
  <c r="BD48" i="28"/>
  <c r="BD109" i="28"/>
  <c r="AI48" i="28"/>
  <c r="S48" i="28"/>
  <c r="R48" i="28"/>
  <c r="BQ47" i="28"/>
  <c r="Q46" i="28"/>
  <c r="P46" i="28"/>
  <c r="BQ46" i="28"/>
  <c r="AP45" i="28"/>
  <c r="AM45" i="28"/>
  <c r="BQ45" i="28"/>
  <c r="BQ44" i="28"/>
  <c r="BQ43" i="28"/>
  <c r="BQ42" i="28"/>
  <c r="BQ41" i="28"/>
  <c r="BQ40" i="28"/>
  <c r="BQ39" i="28"/>
  <c r="AP38" i="28"/>
  <c r="AI38" i="28"/>
  <c r="Q38" i="28"/>
  <c r="P38" i="28"/>
  <c r="BQ37" i="28"/>
  <c r="BQ36" i="28"/>
  <c r="BL36" i="28"/>
  <c r="BQ35" i="28"/>
  <c r="BQ34" i="28"/>
  <c r="AY33" i="28"/>
  <c r="AV33" i="28"/>
  <c r="AV109" i="28"/>
  <c r="AU33" i="28"/>
  <c r="AS33" i="28"/>
  <c r="AS109" i="28"/>
  <c r="AL33" i="28"/>
  <c r="AJ33" i="28"/>
  <c r="AJ109" i="28"/>
  <c r="AE33" i="28"/>
  <c r="AD33" i="28"/>
  <c r="AB33" i="28"/>
  <c r="AB109" i="28"/>
  <c r="Q33" i="28"/>
  <c r="P33" i="28"/>
  <c r="O33" i="28"/>
  <c r="O109" i="28"/>
  <c r="L33" i="28"/>
  <c r="BQ32" i="28"/>
  <c r="BL31" i="28"/>
  <c r="C31" i="28"/>
  <c r="F31" i="28"/>
  <c r="BQ30" i="28"/>
  <c r="BQ29" i="28"/>
  <c r="BQ28" i="28"/>
  <c r="BQ27" i="28"/>
  <c r="N26" i="28"/>
  <c r="M26" i="28"/>
  <c r="BQ25" i="28"/>
  <c r="Q24" i="28"/>
  <c r="Q109" i="28"/>
  <c r="P24" i="28"/>
  <c r="BQ23" i="28"/>
  <c r="BQ22" i="28"/>
  <c r="BQ21" i="28"/>
  <c r="BQ20" i="28"/>
  <c r="BQ19" i="28"/>
  <c r="BK18" i="28"/>
  <c r="AT18" i="28"/>
  <c r="AH18" i="28"/>
  <c r="AG18" i="28"/>
  <c r="AG109" i="28"/>
  <c r="N17" i="28"/>
  <c r="M17" i="28"/>
  <c r="BQ16" i="28"/>
  <c r="BQ15" i="28"/>
  <c r="BQ14" i="28"/>
  <c r="BQ13" i="28"/>
  <c r="BQ12" i="28"/>
  <c r="BQ11" i="28"/>
  <c r="BQ10" i="28"/>
  <c r="BQ9" i="28"/>
  <c r="BQ8" i="28"/>
  <c r="BQ7" i="28"/>
  <c r="BQ6" i="28"/>
  <c r="BQ5" i="28"/>
  <c r="BQ4" i="28"/>
  <c r="N142" i="27"/>
  <c r="O142" i="27"/>
  <c r="P142" i="27"/>
  <c r="P145" i="27"/>
  <c r="M142" i="27"/>
  <c r="BH100" i="3"/>
  <c r="BH99" i="3"/>
  <c r="BH98" i="3"/>
  <c r="BH97" i="3"/>
  <c r="BH95" i="3"/>
  <c r="BH94" i="3"/>
  <c r="BH93" i="3"/>
  <c r="BH92" i="3"/>
  <c r="BH91" i="3"/>
  <c r="BH90" i="3"/>
  <c r="BH89" i="3"/>
  <c r="BH87" i="3"/>
  <c r="BH86" i="3"/>
  <c r="BH85" i="3"/>
  <c r="BH84" i="3"/>
  <c r="BH83" i="3"/>
  <c r="BH82" i="3"/>
  <c r="BH81" i="3"/>
  <c r="BH80" i="3"/>
  <c r="BH79" i="3"/>
  <c r="BH78" i="3"/>
  <c r="BH77" i="3"/>
  <c r="BH76" i="3"/>
  <c r="BH75" i="3"/>
  <c r="BH74" i="3"/>
  <c r="BH73" i="3"/>
  <c r="BH72" i="3"/>
  <c r="BH71" i="3"/>
  <c r="BH70" i="3"/>
  <c r="BH69" i="3"/>
  <c r="BH68" i="3"/>
  <c r="BH67" i="3"/>
  <c r="BH66" i="3"/>
  <c r="BH65" i="3"/>
  <c r="BH63" i="3"/>
  <c r="BH62" i="3"/>
  <c r="BH61" i="3"/>
  <c r="BH60" i="3"/>
  <c r="BH59" i="3"/>
  <c r="BH58" i="3"/>
  <c r="BH57" i="3"/>
  <c r="BH56" i="3"/>
  <c r="BH55" i="3"/>
  <c r="BH54" i="3"/>
  <c r="BH53" i="3"/>
  <c r="BH52" i="3"/>
  <c r="BH51" i="3"/>
  <c r="BH50" i="3"/>
  <c r="BH49" i="3"/>
  <c r="BH48" i="3"/>
  <c r="BH47" i="3"/>
  <c r="BH46" i="3"/>
  <c r="BH45" i="3"/>
  <c r="BH44" i="3"/>
  <c r="BH43" i="3"/>
  <c r="BH42" i="3"/>
  <c r="BH41" i="3"/>
  <c r="BH40" i="3"/>
  <c r="BH39" i="3"/>
  <c r="BH38" i="3"/>
  <c r="BH37" i="3"/>
  <c r="BH36" i="3"/>
  <c r="BH35" i="3"/>
  <c r="BH34" i="3"/>
  <c r="BH33" i="3"/>
  <c r="BH32" i="3"/>
  <c r="BH31" i="3"/>
  <c r="BH30" i="3"/>
  <c r="BH29" i="3"/>
  <c r="BH28" i="3"/>
  <c r="BH27" i="3"/>
  <c r="BH26" i="3"/>
  <c r="BH25" i="3"/>
  <c r="BH24" i="3"/>
  <c r="BH23" i="3"/>
  <c r="BH22" i="3"/>
  <c r="BH21" i="3"/>
  <c r="BH20" i="3"/>
  <c r="BH19" i="3"/>
  <c r="BH18" i="3"/>
  <c r="BH17" i="3"/>
  <c r="BH16" i="3"/>
  <c r="BH15" i="3"/>
  <c r="BH14" i="3"/>
  <c r="BH13" i="3"/>
  <c r="BH12" i="3"/>
  <c r="BH11" i="3"/>
  <c r="BH10" i="3"/>
  <c r="BH9" i="3"/>
  <c r="BH5" i="3"/>
  <c r="BH6" i="3"/>
  <c r="BH7" i="3"/>
  <c r="L142" i="27"/>
  <c r="K142" i="27"/>
  <c r="J142" i="27"/>
  <c r="G142" i="27"/>
  <c r="F142" i="27"/>
  <c r="T141" i="27"/>
  <c r="U141" i="27"/>
  <c r="R141" i="27"/>
  <c r="T140" i="27"/>
  <c r="U140" i="27"/>
  <c r="R140" i="27"/>
  <c r="T139" i="27"/>
  <c r="U139" i="27"/>
  <c r="R139" i="27"/>
  <c r="U138" i="27"/>
  <c r="T138" i="27"/>
  <c r="R138" i="27"/>
  <c r="T137" i="27"/>
  <c r="U137" i="27"/>
  <c r="R137" i="27"/>
  <c r="T136" i="27"/>
  <c r="U136" i="27"/>
  <c r="R136" i="27"/>
  <c r="T135" i="27"/>
  <c r="U135" i="27"/>
  <c r="R135" i="27"/>
  <c r="U134" i="27"/>
  <c r="T134" i="27"/>
  <c r="R134" i="27"/>
  <c r="T133" i="27"/>
  <c r="U133" i="27"/>
  <c r="R133" i="27"/>
  <c r="T132" i="27"/>
  <c r="U132" i="27"/>
  <c r="R132" i="27"/>
  <c r="T131" i="27"/>
  <c r="U131" i="27"/>
  <c r="R131" i="27"/>
  <c r="U130" i="27"/>
  <c r="T130" i="27"/>
  <c r="R130" i="27"/>
  <c r="R142" i="27"/>
  <c r="H126" i="27"/>
  <c r="P122" i="27"/>
  <c r="O122" i="27"/>
  <c r="N122" i="27"/>
  <c r="M122" i="27"/>
  <c r="L122" i="27"/>
  <c r="K122" i="27"/>
  <c r="J122" i="27"/>
  <c r="F122" i="27"/>
  <c r="B122" i="27"/>
  <c r="A122" i="27"/>
  <c r="R121" i="27"/>
  <c r="I121" i="27"/>
  <c r="T121" i="27"/>
  <c r="U121" i="27"/>
  <c r="R120" i="27"/>
  <c r="R122" i="27"/>
  <c r="I120" i="27"/>
  <c r="T120" i="27"/>
  <c r="U120" i="27"/>
  <c r="G119" i="27"/>
  <c r="I119" i="27"/>
  <c r="R118" i="27"/>
  <c r="T118" i="27"/>
  <c r="U118" i="27"/>
  <c r="H118" i="27"/>
  <c r="I118" i="27"/>
  <c r="H122" i="27"/>
  <c r="P115" i="27"/>
  <c r="O115" i="27"/>
  <c r="N115" i="27"/>
  <c r="M115" i="27"/>
  <c r="M124" i="27"/>
  <c r="M127" i="27"/>
  <c r="L115" i="27"/>
  <c r="K115" i="27"/>
  <c r="J115" i="27"/>
  <c r="H115" i="27"/>
  <c r="G115" i="27"/>
  <c r="F115" i="27"/>
  <c r="B115" i="27"/>
  <c r="A115" i="27"/>
  <c r="A124" i="27"/>
  <c r="A127" i="27"/>
  <c r="R114" i="27"/>
  <c r="I114" i="27"/>
  <c r="T114" i="27"/>
  <c r="U114" i="27"/>
  <c r="R113" i="27"/>
  <c r="I113" i="27"/>
  <c r="T113" i="27"/>
  <c r="U113" i="27"/>
  <c r="R112" i="27"/>
  <c r="I112" i="27"/>
  <c r="T112" i="27"/>
  <c r="U112" i="27"/>
  <c r="R111" i="27"/>
  <c r="I111" i="27"/>
  <c r="T111" i="27"/>
  <c r="U111" i="27"/>
  <c r="R110" i="27"/>
  <c r="I110" i="27"/>
  <c r="T110" i="27"/>
  <c r="U110" i="27"/>
  <c r="R109" i="27"/>
  <c r="I109" i="27"/>
  <c r="T109" i="27"/>
  <c r="U109" i="27"/>
  <c r="R108" i="27"/>
  <c r="I108" i="27"/>
  <c r="T108" i="27"/>
  <c r="U108" i="27"/>
  <c r="R107" i="27"/>
  <c r="I107" i="27"/>
  <c r="T107" i="27"/>
  <c r="U107" i="27"/>
  <c r="R106" i="27"/>
  <c r="R115" i="27"/>
  <c r="I106" i="27"/>
  <c r="P103" i="27"/>
  <c r="O103" i="27"/>
  <c r="N103" i="27"/>
  <c r="M103" i="27"/>
  <c r="L103" i="27"/>
  <c r="K103" i="27"/>
  <c r="J103" i="27"/>
  <c r="H103" i="27"/>
  <c r="F103" i="27"/>
  <c r="B103" i="27"/>
  <c r="A103" i="27"/>
  <c r="R102" i="27"/>
  <c r="I102" i="27"/>
  <c r="T102" i="27"/>
  <c r="U102" i="27"/>
  <c r="R101" i="27"/>
  <c r="I101" i="27"/>
  <c r="T101" i="27"/>
  <c r="U101" i="27"/>
  <c r="R100" i="27"/>
  <c r="I100" i="27"/>
  <c r="T100" i="27"/>
  <c r="U100" i="27"/>
  <c r="R99" i="27"/>
  <c r="I99" i="27"/>
  <c r="T99" i="27"/>
  <c r="U99" i="27"/>
  <c r="R98" i="27"/>
  <c r="I98" i="27"/>
  <c r="T98" i="27"/>
  <c r="U98" i="27"/>
  <c r="R97" i="27"/>
  <c r="I97" i="27"/>
  <c r="T97" i="27"/>
  <c r="U97" i="27"/>
  <c r="R96" i="27"/>
  <c r="I96" i="27"/>
  <c r="T96" i="27"/>
  <c r="U96" i="27"/>
  <c r="R95" i="27"/>
  <c r="I95" i="27"/>
  <c r="T95" i="27"/>
  <c r="U95" i="27"/>
  <c r="R94" i="27"/>
  <c r="I94" i="27"/>
  <c r="T94" i="27"/>
  <c r="U94" i="27"/>
  <c r="R93" i="27"/>
  <c r="I93" i="27"/>
  <c r="T93" i="27"/>
  <c r="U93" i="27"/>
  <c r="R92" i="27"/>
  <c r="I92" i="27"/>
  <c r="T92" i="27"/>
  <c r="U92" i="27"/>
  <c r="R91" i="27"/>
  <c r="I91" i="27"/>
  <c r="T91" i="27"/>
  <c r="U91" i="27"/>
  <c r="R90" i="27"/>
  <c r="I90" i="27"/>
  <c r="T90" i="27"/>
  <c r="U90" i="27"/>
  <c r="R89" i="27"/>
  <c r="I89" i="27"/>
  <c r="T89" i="27"/>
  <c r="U89" i="27"/>
  <c r="R88" i="27"/>
  <c r="I88" i="27"/>
  <c r="T88" i="27"/>
  <c r="U88" i="27"/>
  <c r="R87" i="27"/>
  <c r="I87" i="27"/>
  <c r="T87" i="27"/>
  <c r="U87" i="27"/>
  <c r="R86" i="27"/>
  <c r="I86" i="27"/>
  <c r="T86" i="27"/>
  <c r="U86" i="27"/>
  <c r="R85" i="27"/>
  <c r="I85" i="27"/>
  <c r="T85" i="27"/>
  <c r="U85" i="27"/>
  <c r="R84" i="27"/>
  <c r="I84" i="27"/>
  <c r="T84" i="27"/>
  <c r="U84" i="27"/>
  <c r="R83" i="27"/>
  <c r="I83" i="27"/>
  <c r="T83" i="27"/>
  <c r="U83" i="27"/>
  <c r="R82" i="27"/>
  <c r="I82" i="27"/>
  <c r="T82" i="27"/>
  <c r="U82" i="27"/>
  <c r="R81" i="27"/>
  <c r="I81" i="27"/>
  <c r="T81" i="27"/>
  <c r="U81" i="27"/>
  <c r="R80" i="27"/>
  <c r="I80" i="27"/>
  <c r="T80" i="27"/>
  <c r="U80" i="27"/>
  <c r="R79" i="27"/>
  <c r="I79" i="27"/>
  <c r="T79" i="27"/>
  <c r="U79" i="27"/>
  <c r="R78" i="27"/>
  <c r="I78" i="27"/>
  <c r="T78" i="27"/>
  <c r="U78" i="27"/>
  <c r="R77" i="27"/>
  <c r="I77" i="27"/>
  <c r="T77" i="27"/>
  <c r="U77" i="27"/>
  <c r="R76" i="27"/>
  <c r="I76" i="27"/>
  <c r="T76" i="27"/>
  <c r="U76" i="27"/>
  <c r="R75" i="27"/>
  <c r="I75" i="27"/>
  <c r="T75" i="27"/>
  <c r="U75" i="27"/>
  <c r="R74" i="27"/>
  <c r="I74" i="27"/>
  <c r="T74" i="27"/>
  <c r="U74" i="27"/>
  <c r="R73" i="27"/>
  <c r="I73" i="27"/>
  <c r="T73" i="27"/>
  <c r="U73" i="27"/>
  <c r="R72" i="27"/>
  <c r="I72" i="27"/>
  <c r="T72" i="27"/>
  <c r="U72" i="27"/>
  <c r="R71" i="27"/>
  <c r="I71" i="27"/>
  <c r="T71" i="27"/>
  <c r="U71" i="27"/>
  <c r="R70" i="27"/>
  <c r="I70" i="27"/>
  <c r="T70" i="27"/>
  <c r="U70" i="27"/>
  <c r="R69" i="27"/>
  <c r="I69" i="27"/>
  <c r="T69" i="27"/>
  <c r="U69" i="27"/>
  <c r="R68" i="27"/>
  <c r="I68" i="27"/>
  <c r="T68" i="27"/>
  <c r="U68" i="27"/>
  <c r="R67" i="27"/>
  <c r="I67" i="27"/>
  <c r="T67" i="27"/>
  <c r="U67" i="27"/>
  <c r="R66" i="27"/>
  <c r="I66" i="27"/>
  <c r="T66" i="27"/>
  <c r="U66" i="27"/>
  <c r="R65" i="27"/>
  <c r="I65" i="27"/>
  <c r="T65" i="27"/>
  <c r="U65" i="27"/>
  <c r="R64" i="27"/>
  <c r="I64" i="27"/>
  <c r="T64" i="27"/>
  <c r="U64" i="27"/>
  <c r="R63" i="27"/>
  <c r="I63" i="27"/>
  <c r="T63" i="27"/>
  <c r="U63" i="27"/>
  <c r="R62" i="27"/>
  <c r="I62" i="27"/>
  <c r="T62" i="27"/>
  <c r="U62" i="27"/>
  <c r="R61" i="27"/>
  <c r="I61" i="27"/>
  <c r="T61" i="27"/>
  <c r="U61" i="27"/>
  <c r="R60" i="27"/>
  <c r="I60" i="27"/>
  <c r="T60" i="27"/>
  <c r="U60" i="27"/>
  <c r="R59" i="27"/>
  <c r="I59" i="27"/>
  <c r="T59" i="27"/>
  <c r="U59" i="27"/>
  <c r="R58" i="27"/>
  <c r="I58" i="27"/>
  <c r="T58" i="27"/>
  <c r="U58" i="27"/>
  <c r="R57" i="27"/>
  <c r="I57" i="27"/>
  <c r="T57" i="27"/>
  <c r="U57" i="27"/>
  <c r="R56" i="27"/>
  <c r="I56" i="27"/>
  <c r="T56" i="27"/>
  <c r="U56" i="27"/>
  <c r="R55" i="27"/>
  <c r="I55" i="27"/>
  <c r="T55" i="27"/>
  <c r="U55" i="27"/>
  <c r="R54" i="27"/>
  <c r="I54" i="27"/>
  <c r="T54" i="27"/>
  <c r="U54" i="27"/>
  <c r="R53" i="27"/>
  <c r="I53" i="27"/>
  <c r="T53" i="27"/>
  <c r="U53" i="27"/>
  <c r="R52" i="27"/>
  <c r="I52" i="27"/>
  <c r="T52" i="27"/>
  <c r="U52" i="27"/>
  <c r="R51" i="27"/>
  <c r="I51" i="27"/>
  <c r="T51" i="27"/>
  <c r="U51" i="27"/>
  <c r="R50" i="27"/>
  <c r="I50" i="27"/>
  <c r="T50" i="27"/>
  <c r="U50" i="27"/>
  <c r="R49" i="27"/>
  <c r="I49" i="27"/>
  <c r="T49" i="27"/>
  <c r="U49" i="27"/>
  <c r="R48" i="27"/>
  <c r="I48" i="27"/>
  <c r="T48" i="27"/>
  <c r="U48" i="27"/>
  <c r="R47" i="27"/>
  <c r="I47" i="27"/>
  <c r="T47" i="27"/>
  <c r="U47" i="27"/>
  <c r="R46" i="27"/>
  <c r="I46" i="27"/>
  <c r="T46" i="27"/>
  <c r="U46" i="27"/>
  <c r="G45" i="27"/>
  <c r="R44" i="27"/>
  <c r="I44" i="27"/>
  <c r="T44" i="27"/>
  <c r="U44" i="27"/>
  <c r="R43" i="27"/>
  <c r="I43" i="27"/>
  <c r="T43" i="27"/>
  <c r="U43" i="27"/>
  <c r="R42" i="27"/>
  <c r="I42" i="27"/>
  <c r="T42" i="27"/>
  <c r="U42" i="27"/>
  <c r="R41" i="27"/>
  <c r="I41" i="27"/>
  <c r="T41" i="27"/>
  <c r="U41" i="27"/>
  <c r="R40" i="27"/>
  <c r="I40" i="27"/>
  <c r="T40" i="27"/>
  <c r="U40" i="27"/>
  <c r="R39" i="27"/>
  <c r="I39" i="27"/>
  <c r="T39" i="27"/>
  <c r="U39" i="27"/>
  <c r="R38" i="27"/>
  <c r="I38" i="27"/>
  <c r="T38" i="27"/>
  <c r="U38" i="27"/>
  <c r="R37" i="27"/>
  <c r="I37" i="27"/>
  <c r="T37" i="27"/>
  <c r="U37" i="27"/>
  <c r="R36" i="27"/>
  <c r="I36" i="27"/>
  <c r="T36" i="27"/>
  <c r="U36" i="27"/>
  <c r="R35" i="27"/>
  <c r="I35" i="27"/>
  <c r="T35" i="27"/>
  <c r="U35" i="27"/>
  <c r="R34" i="27"/>
  <c r="I34" i="27"/>
  <c r="T34" i="27"/>
  <c r="U34" i="27"/>
  <c r="R33" i="27"/>
  <c r="I33" i="27"/>
  <c r="T33" i="27"/>
  <c r="U33" i="27"/>
  <c r="R32" i="27"/>
  <c r="I32" i="27"/>
  <c r="T32" i="27"/>
  <c r="U32" i="27"/>
  <c r="R31" i="27"/>
  <c r="I31" i="27"/>
  <c r="T31" i="27"/>
  <c r="U31" i="27"/>
  <c r="R30" i="27"/>
  <c r="I30" i="27"/>
  <c r="T30" i="27"/>
  <c r="U30" i="27"/>
  <c r="R29" i="27"/>
  <c r="I29" i="27"/>
  <c r="T29" i="27"/>
  <c r="U29" i="27"/>
  <c r="R28" i="27"/>
  <c r="I28" i="27"/>
  <c r="T28" i="27"/>
  <c r="U28" i="27"/>
  <c r="R27" i="27"/>
  <c r="I27" i="27"/>
  <c r="T27" i="27"/>
  <c r="U27" i="27"/>
  <c r="R26" i="27"/>
  <c r="I26" i="27"/>
  <c r="T26" i="27"/>
  <c r="U26" i="27"/>
  <c r="R25" i="27"/>
  <c r="I25" i="27"/>
  <c r="T25" i="27"/>
  <c r="U25" i="27"/>
  <c r="R24" i="27"/>
  <c r="I24" i="27"/>
  <c r="T24" i="27"/>
  <c r="U24" i="27"/>
  <c r="R23" i="27"/>
  <c r="I23" i="27"/>
  <c r="T23" i="27"/>
  <c r="U23" i="27"/>
  <c r="R22" i="27"/>
  <c r="I22" i="27"/>
  <c r="T22" i="27"/>
  <c r="U22" i="27"/>
  <c r="R21" i="27"/>
  <c r="I21" i="27"/>
  <c r="T21" i="27"/>
  <c r="U21" i="27"/>
  <c r="R20" i="27"/>
  <c r="I20" i="27"/>
  <c r="T20" i="27"/>
  <c r="U20" i="27"/>
  <c r="R19" i="27"/>
  <c r="I19" i="27"/>
  <c r="T19" i="27"/>
  <c r="U19" i="27"/>
  <c r="R18" i="27"/>
  <c r="I18" i="27"/>
  <c r="T18" i="27"/>
  <c r="U18" i="27"/>
  <c r="R17" i="27"/>
  <c r="I17" i="27"/>
  <c r="P14" i="27"/>
  <c r="P124" i="27"/>
  <c r="P127" i="27"/>
  <c r="O14" i="27"/>
  <c r="N14" i="27"/>
  <c r="M14" i="27"/>
  <c r="L14" i="27"/>
  <c r="L124" i="27"/>
  <c r="K14" i="27"/>
  <c r="J14" i="27"/>
  <c r="H14" i="27"/>
  <c r="G14" i="27"/>
  <c r="F14" i="27"/>
  <c r="B14" i="27"/>
  <c r="A14" i="27"/>
  <c r="R13" i="27"/>
  <c r="R14" i="27"/>
  <c r="I13" i="27"/>
  <c r="T13" i="27"/>
  <c r="U13" i="27"/>
  <c r="R12" i="27"/>
  <c r="I12" i="27"/>
  <c r="R11" i="27"/>
  <c r="I11" i="27"/>
  <c r="T11" i="27"/>
  <c r="U11" i="27"/>
  <c r="R10" i="27"/>
  <c r="I10" i="27"/>
  <c r="G110" i="22"/>
  <c r="I110" i="22"/>
  <c r="J110" i="22"/>
  <c r="M110" i="22"/>
  <c r="Q110" i="22"/>
  <c r="S110" i="22"/>
  <c r="T110" i="22"/>
  <c r="U110" i="22"/>
  <c r="V110" i="22"/>
  <c r="Y110" i="22"/>
  <c r="Z110" i="22"/>
  <c r="AA110" i="22"/>
  <c r="AG110" i="22"/>
  <c r="AI110" i="22"/>
  <c r="AJ110" i="22"/>
  <c r="AM110" i="22"/>
  <c r="AN110" i="22"/>
  <c r="AP110" i="22"/>
  <c r="AT110" i="22"/>
  <c r="AU110" i="22"/>
  <c r="AX110" i="22"/>
  <c r="AY110" i="22"/>
  <c r="AZ110" i="22"/>
  <c r="BA110" i="22"/>
  <c r="BB110" i="22"/>
  <c r="BC110" i="22"/>
  <c r="BD110" i="22"/>
  <c r="BE110" i="22"/>
  <c r="BF110" i="22"/>
  <c r="BG110" i="22"/>
  <c r="BH110" i="22"/>
  <c r="BI110" i="22"/>
  <c r="D110" i="22"/>
  <c r="E110" i="22"/>
  <c r="F110" i="22"/>
  <c r="C104" i="22"/>
  <c r="C100" i="22"/>
  <c r="C33" i="22"/>
  <c r="C31" i="22"/>
  <c r="DT7" i="3"/>
  <c r="AH6" i="22"/>
  <c r="AH110" i="22"/>
  <c r="BG6" i="22"/>
  <c r="H30" i="22"/>
  <c r="H110" i="22"/>
  <c r="AC107" i="22"/>
  <c r="AB107" i="22"/>
  <c r="AD105" i="22"/>
  <c r="AC105" i="22"/>
  <c r="AG103" i="22"/>
  <c r="AF103" i="22"/>
  <c r="AG100" i="22"/>
  <c r="AF100" i="22"/>
  <c r="L89" i="22"/>
  <c r="K89" i="22"/>
  <c r="P86" i="22"/>
  <c r="O86" i="22"/>
  <c r="R77" i="22"/>
  <c r="R110" i="22"/>
  <c r="N77" i="22"/>
  <c r="AW76" i="22"/>
  <c r="AW110" i="22"/>
  <c r="AV76" i="22"/>
  <c r="AG70" i="22"/>
  <c r="AF70" i="22"/>
  <c r="AC70" i="22"/>
  <c r="AB70" i="22"/>
  <c r="AG64" i="22"/>
  <c r="AF64" i="22"/>
  <c r="P61" i="22"/>
  <c r="O61" i="22"/>
  <c r="M56" i="22"/>
  <c r="L56" i="22"/>
  <c r="X53" i="22"/>
  <c r="W53" i="22"/>
  <c r="AQ51" i="22"/>
  <c r="AQ110" i="22"/>
  <c r="AO51" i="22"/>
  <c r="O49" i="22"/>
  <c r="N49" i="22"/>
  <c r="AF47" i="22"/>
  <c r="AE47" i="22"/>
  <c r="P47" i="22"/>
  <c r="P110" i="22"/>
  <c r="O47" i="22"/>
  <c r="AS40" i="22"/>
  <c r="AS110" i="22"/>
  <c r="AR40" i="22"/>
  <c r="AG40" i="22"/>
  <c r="AF40" i="22"/>
  <c r="L36" i="22"/>
  <c r="K36" i="22"/>
  <c r="AL28" i="22"/>
  <c r="AK28" i="22"/>
  <c r="AK110" i="22"/>
  <c r="C2" i="14"/>
  <c r="DS32" i="3"/>
  <c r="DS52" i="3"/>
  <c r="DW91" i="3"/>
  <c r="DQ67" i="3"/>
  <c r="DQ95" i="3"/>
  <c r="DQ94" i="3"/>
  <c r="DQ39" i="3"/>
  <c r="DQ11" i="3"/>
  <c r="DQ99" i="3"/>
  <c r="DQ27" i="3"/>
  <c r="DS90" i="3"/>
  <c r="T10" i="27"/>
  <c r="U10" i="27"/>
  <c r="T17" i="27"/>
  <c r="U17" i="27"/>
  <c r="F124" i="27"/>
  <c r="F127" i="27"/>
  <c r="K124" i="27"/>
  <c r="K127" i="27"/>
  <c r="O124" i="27"/>
  <c r="K145" i="27"/>
  <c r="K146" i="27"/>
  <c r="B124" i="27"/>
  <c r="B127" i="27"/>
  <c r="J124" i="27"/>
  <c r="J127" i="27"/>
  <c r="N124" i="27"/>
  <c r="N127" i="27"/>
  <c r="F145" i="27"/>
  <c r="F146" i="27"/>
  <c r="J145" i="27"/>
  <c r="J146" i="27"/>
  <c r="R119" i="27"/>
  <c r="G122" i="27"/>
  <c r="DS94" i="3"/>
  <c r="K110" i="22"/>
  <c r="AR110" i="22"/>
  <c r="O110" i="22"/>
  <c r="AE110" i="22"/>
  <c r="AO110" i="22"/>
  <c r="W110" i="22"/>
  <c r="AB110" i="22"/>
  <c r="AV110" i="22"/>
  <c r="AC110" i="22"/>
  <c r="L110" i="22"/>
  <c r="C110" i="22"/>
  <c r="AL110" i="22"/>
  <c r="AD110" i="22"/>
  <c r="X110" i="22"/>
  <c r="M145" i="27"/>
  <c r="O145" i="27"/>
  <c r="O127" i="27"/>
  <c r="BQ105" i="28"/>
  <c r="BQ106" i="28"/>
  <c r="BQ107" i="28"/>
  <c r="BQ26" i="28"/>
  <c r="BQ31" i="28"/>
  <c r="BQ76" i="28"/>
  <c r="BQ79" i="28"/>
  <c r="BQ88" i="28"/>
  <c r="F101" i="28"/>
  <c r="DW95" i="3"/>
  <c r="DW7" i="3"/>
  <c r="R1" i="14"/>
  <c r="BH106" i="3"/>
  <c r="BH8" i="3"/>
  <c r="M150" i="32"/>
  <c r="M151" i="32"/>
  <c r="M149" i="32"/>
  <c r="N146" i="32"/>
  <c r="O146" i="32"/>
  <c r="C5" i="14"/>
  <c r="DS64" i="3"/>
  <c r="DO102" i="3"/>
  <c r="DO80" i="3"/>
  <c r="DT26" i="3"/>
  <c r="DT87" i="3"/>
  <c r="DT103" i="3"/>
  <c r="DT104" i="3"/>
  <c r="DT110" i="3"/>
  <c r="DT63" i="3"/>
  <c r="DT47" i="3"/>
  <c r="DT14" i="3"/>
  <c r="DW87" i="3"/>
  <c r="DT95" i="3"/>
  <c r="DO78" i="3"/>
  <c r="DO74" i="3"/>
  <c r="DO30" i="3"/>
  <c r="DO22" i="3"/>
  <c r="DT22" i="3"/>
  <c r="DO18" i="3"/>
  <c r="DT83" i="3"/>
  <c r="DO75" i="3"/>
  <c r="DO55" i="3"/>
  <c r="DO51" i="3"/>
  <c r="DO89" i="3"/>
  <c r="BG108" i="3"/>
  <c r="DT28" i="3"/>
  <c r="DO90" i="3"/>
  <c r="DO65" i="3"/>
  <c r="DO41" i="3"/>
  <c r="DO25" i="3"/>
  <c r="DO9" i="3"/>
  <c r="T106" i="27"/>
  <c r="U106" i="27"/>
  <c r="I115" i="27"/>
  <c r="BH107" i="3"/>
  <c r="DO94" i="3"/>
  <c r="BH88" i="3"/>
  <c r="BQ99" i="28"/>
  <c r="AQ109" i="28"/>
  <c r="BG96" i="3"/>
  <c r="DT80" i="3"/>
  <c r="DT32" i="3"/>
  <c r="BH108" i="3"/>
  <c r="BH96" i="3"/>
  <c r="M109" i="28"/>
  <c r="BQ17" i="28"/>
  <c r="BQ109" i="28"/>
  <c r="AT109" i="28"/>
  <c r="BQ18" i="28"/>
  <c r="DW6" i="3"/>
  <c r="DS11" i="3"/>
  <c r="DQ15" i="3"/>
  <c r="DQ19" i="3"/>
  <c r="DW35" i="3"/>
  <c r="DS39" i="3"/>
  <c r="DW47" i="3"/>
  <c r="DQ51" i="3"/>
  <c r="DS55" i="3"/>
  <c r="DQ55" i="3"/>
  <c r="DQ59" i="3"/>
  <c r="DW67" i="3"/>
  <c r="DW71" i="3"/>
  <c r="DQ75" i="3"/>
  <c r="BM87" i="3"/>
  <c r="DQ97" i="3"/>
  <c r="DY8" i="3"/>
  <c r="DT8" i="3"/>
  <c r="DT106" i="3"/>
  <c r="DT17" i="3"/>
  <c r="DS102" i="3"/>
  <c r="DS104" i="3" s="1"/>
  <c r="DS110" i="3" s="1"/>
  <c r="DW51" i="3"/>
  <c r="T12" i="27"/>
  <c r="U12" i="27"/>
  <c r="I14" i="27"/>
  <c r="L127" i="27"/>
  <c r="L145" i="27"/>
  <c r="L146" i="27"/>
  <c r="G103" i="27"/>
  <c r="G124" i="27"/>
  <c r="I45" i="27"/>
  <c r="R45" i="27"/>
  <c r="R103" i="27"/>
  <c r="R124" i="27"/>
  <c r="H124" i="27"/>
  <c r="H127" i="27"/>
  <c r="T119" i="27"/>
  <c r="U119" i="27"/>
  <c r="I122" i="27"/>
  <c r="BH101" i="3"/>
  <c r="N145" i="27"/>
  <c r="S109" i="28"/>
  <c r="BQ48" i="28"/>
  <c r="AH109" i="28"/>
  <c r="BQ98" i="28"/>
  <c r="F98" i="28"/>
  <c r="BQ101" i="28"/>
  <c r="DT6" i="3"/>
  <c r="DS6" i="3"/>
  <c r="DO17" i="3"/>
  <c r="DW59" i="3"/>
  <c r="DW43" i="3"/>
  <c r="DW75" i="3"/>
  <c r="DT88" i="3"/>
  <c r="DT107" i="3"/>
  <c r="AF110" i="22"/>
  <c r="N110" i="22"/>
  <c r="BQ38" i="28"/>
  <c r="AF109" i="28"/>
  <c r="BQ103" i="28"/>
  <c r="BH109" i="3"/>
  <c r="L109" i="28"/>
  <c r="BQ33" i="28"/>
  <c r="R109" i="28"/>
  <c r="P109" i="28"/>
  <c r="BQ24" i="28"/>
  <c r="BL109" i="28"/>
  <c r="BQ73" i="28"/>
  <c r="F108" i="33"/>
  <c r="G127" i="27"/>
  <c r="G145" i="27"/>
  <c r="G146" i="27"/>
  <c r="T45" i="27"/>
  <c r="U45" i="27"/>
  <c r="I103" i="27"/>
  <c r="I124" i="27"/>
  <c r="H85" i="14"/>
  <c r="DY106" i="3"/>
  <c r="BH111" i="3"/>
  <c r="CH91" i="3"/>
  <c r="DK103" i="3"/>
  <c r="DJ103" i="3"/>
  <c r="AB110" i="3"/>
  <c r="BQ102" i="3"/>
  <c r="DC7" i="3"/>
  <c r="CZ7" i="3"/>
  <c r="CH7" i="3"/>
  <c r="BW7" i="3"/>
  <c r="BK7" i="3"/>
  <c r="DN6" i="3"/>
  <c r="DG6" i="3"/>
  <c r="DC6" i="3"/>
  <c r="AG106" i="3"/>
  <c r="CO6" i="3"/>
  <c r="CC6" i="3"/>
  <c r="CA6" i="3"/>
  <c r="BY6" i="3"/>
  <c r="BM6" i="3"/>
  <c r="BK6" i="3"/>
  <c r="CH5" i="3"/>
  <c r="DH99" i="3"/>
  <c r="DF99" i="3"/>
  <c r="CZ99" i="3"/>
  <c r="CO99" i="3"/>
  <c r="CH99" i="3"/>
  <c r="DC100" i="3"/>
  <c r="AD109" i="3"/>
  <c r="CC100" i="3"/>
  <c r="DJ98" i="3"/>
  <c r="CL98" i="3"/>
  <c r="CC98" i="3"/>
  <c r="BU98" i="3"/>
  <c r="DG97" i="3"/>
  <c r="CL97" i="3"/>
  <c r="BS97" i="3"/>
  <c r="DN95" i="3"/>
  <c r="CC95" i="3"/>
  <c r="BW95" i="3"/>
  <c r="DF94" i="3"/>
  <c r="DC94" i="3"/>
  <c r="CL94" i="3"/>
  <c r="CC94" i="3"/>
  <c r="BU94" i="3"/>
  <c r="DN93" i="3"/>
  <c r="DC93" i="3"/>
  <c r="BY93" i="3"/>
  <c r="BW93" i="3"/>
  <c r="BQ93" i="3"/>
  <c r="DN92" i="3"/>
  <c r="BS92" i="3"/>
  <c r="BM92" i="3"/>
  <c r="DN91" i="3"/>
  <c r="DC91" i="3"/>
  <c r="BY91" i="3"/>
  <c r="BW91" i="3"/>
  <c r="BO91" i="3"/>
  <c r="BK91" i="3"/>
  <c r="DF90" i="3"/>
  <c r="DC90" i="3"/>
  <c r="CP90" i="3"/>
  <c r="L108" i="3"/>
  <c r="BY90" i="3"/>
  <c r="CX89" i="3"/>
  <c r="CZ89" i="3"/>
  <c r="AC108" i="3"/>
  <c r="CH89" i="3"/>
  <c r="DD87" i="3"/>
  <c r="DC87" i="3"/>
  <c r="CC87" i="3"/>
  <c r="BY87" i="3"/>
  <c r="BU87" i="3"/>
  <c r="BK87" i="3"/>
  <c r="DH86" i="3"/>
  <c r="CZ85" i="3"/>
  <c r="CH85" i="3"/>
  <c r="DC84" i="3"/>
  <c r="CH84" i="3"/>
  <c r="BS84" i="3"/>
  <c r="BK84" i="3"/>
  <c r="DN83" i="3"/>
  <c r="DJ83" i="3"/>
  <c r="DC83" i="3"/>
  <c r="CZ83" i="3"/>
  <c r="CH83" i="3"/>
  <c r="BQ83" i="3"/>
  <c r="BO83" i="3"/>
  <c r="BM83" i="3"/>
  <c r="DD82" i="3"/>
  <c r="DJ81" i="3"/>
  <c r="DF81" i="3"/>
  <c r="DH80" i="3"/>
  <c r="CC80" i="3"/>
  <c r="BY80" i="3"/>
  <c r="DJ79" i="3"/>
  <c r="DF79" i="3"/>
  <c r="CK79" i="3"/>
  <c r="BS79" i="3"/>
  <c r="BQ79" i="3"/>
  <c r="DF78" i="3"/>
  <c r="CX78" i="3"/>
  <c r="CP78" i="3"/>
  <c r="DD77" i="3"/>
  <c r="CP77" i="3"/>
  <c r="CC77" i="3"/>
  <c r="BS77" i="3"/>
  <c r="CC76" i="3"/>
  <c r="BY76" i="3"/>
  <c r="DK75" i="3"/>
  <c r="DH75" i="3"/>
  <c r="DC75" i="3"/>
  <c r="CS75" i="3"/>
  <c r="CK75" i="3"/>
  <c r="BY75" i="3"/>
  <c r="BU75" i="3"/>
  <c r="BQ75" i="3"/>
  <c r="BO75" i="3"/>
  <c r="BM75" i="3"/>
  <c r="DK72" i="3"/>
  <c r="DJ74" i="3"/>
  <c r="DH73" i="3"/>
  <c r="E73" i="14"/>
  <c r="E66" i="14"/>
  <c r="E54" i="14"/>
  <c r="CL73" i="3"/>
  <c r="E48" i="14"/>
  <c r="E46" i="14"/>
  <c r="E37" i="14"/>
  <c r="E34" i="14"/>
  <c r="E28" i="14"/>
  <c r="E25" i="14"/>
  <c r="E22" i="14"/>
  <c r="E19" i="14"/>
  <c r="E13" i="14"/>
  <c r="DD71" i="3"/>
  <c r="BM71" i="3"/>
  <c r="DK69" i="3"/>
  <c r="DH69" i="3"/>
  <c r="DC69" i="3"/>
  <c r="BM69" i="3"/>
  <c r="CC68" i="3"/>
  <c r="BU68" i="3"/>
  <c r="DN67" i="3"/>
  <c r="DK67" i="3"/>
  <c r="DH67" i="3"/>
  <c r="DF67" i="3"/>
  <c r="CK67" i="3"/>
  <c r="CC67" i="3"/>
  <c r="BY67" i="3"/>
  <c r="BU67" i="3"/>
  <c r="BM67" i="3"/>
  <c r="DJ65" i="3"/>
  <c r="CZ65" i="3"/>
  <c r="CL65" i="3"/>
  <c r="BY65" i="3"/>
  <c r="BW63" i="3"/>
  <c r="BU63" i="3"/>
  <c r="DJ62" i="3"/>
  <c r="CZ62" i="3"/>
  <c r="BK61" i="3"/>
  <c r="CZ59" i="3"/>
  <c r="BS59" i="3"/>
  <c r="BQ59" i="3"/>
  <c r="DJ58" i="3"/>
  <c r="DC57" i="3"/>
  <c r="CX57" i="3"/>
  <c r="CT57" i="3"/>
  <c r="BU57" i="3"/>
  <c r="BS57" i="3"/>
  <c r="DG56" i="3"/>
  <c r="DC56" i="3"/>
  <c r="BS56" i="3"/>
  <c r="DG55" i="3"/>
  <c r="DC55" i="3"/>
  <c r="CP55" i="3"/>
  <c r="CA55" i="3"/>
  <c r="BY55" i="3"/>
  <c r="BW55" i="3"/>
  <c r="BQ55" i="3"/>
  <c r="BM55" i="3"/>
  <c r="BY64" i="3"/>
  <c r="BU64" i="3"/>
  <c r="F66" i="14"/>
  <c r="F63" i="14"/>
  <c r="CP53" i="3"/>
  <c r="F52" i="14"/>
  <c r="F37" i="14"/>
  <c r="F34" i="14"/>
  <c r="F31" i="14"/>
  <c r="F22" i="14"/>
  <c r="F19" i="14"/>
  <c r="F16" i="14"/>
  <c r="DF51" i="3"/>
  <c r="CH51" i="3"/>
  <c r="CA51" i="3"/>
  <c r="BU51" i="3"/>
  <c r="DJ49" i="3"/>
  <c r="BU49" i="3"/>
  <c r="DF48" i="3"/>
  <c r="CS48" i="3"/>
  <c r="CK48" i="3"/>
  <c r="BU48" i="3"/>
  <c r="BS48" i="3"/>
  <c r="BQ48" i="3"/>
  <c r="DH47" i="3"/>
  <c r="DG47" i="3"/>
  <c r="CP47" i="3"/>
  <c r="CH47" i="3"/>
  <c r="CC47" i="3"/>
  <c r="BU47" i="3"/>
  <c r="BO47" i="3"/>
  <c r="BK47" i="3"/>
  <c r="DJ46" i="3"/>
  <c r="DK45" i="3"/>
  <c r="DF45" i="3"/>
  <c r="CZ45" i="3"/>
  <c r="BS45" i="3"/>
  <c r="DG44" i="3"/>
  <c r="BW44" i="3"/>
  <c r="DJ43" i="3"/>
  <c r="CA43" i="3"/>
  <c r="BY43" i="3"/>
  <c r="BS43" i="3"/>
  <c r="CX42" i="3"/>
  <c r="CP42" i="3"/>
  <c r="DH41" i="3"/>
  <c r="DF41" i="3"/>
  <c r="CP41" i="3"/>
  <c r="CO41" i="3"/>
  <c r="CC41" i="3"/>
  <c r="CZ40" i="3"/>
  <c r="BS40" i="3"/>
  <c r="DF39" i="3"/>
  <c r="DC39" i="3"/>
  <c r="BM39" i="3"/>
  <c r="CX38" i="3"/>
  <c r="DJ37" i="3"/>
  <c r="BM37" i="3"/>
  <c r="DC36" i="3"/>
  <c r="CA36" i="3"/>
  <c r="DK34" i="3"/>
  <c r="DJ34" i="3"/>
  <c r="DJ33" i="3"/>
  <c r="CL33" i="3"/>
  <c r="BW33" i="3"/>
  <c r="BU32" i="3"/>
  <c r="BS32" i="3"/>
  <c r="BQ32" i="3"/>
  <c r="DC31" i="3"/>
  <c r="CO31" i="3"/>
  <c r="CA31" i="3"/>
  <c r="BS31" i="3"/>
  <c r="BM31" i="3"/>
  <c r="DH30" i="3"/>
  <c r="DJ30" i="3"/>
  <c r="DF30" i="3"/>
  <c r="CH30" i="3"/>
  <c r="CA29" i="3"/>
  <c r="DD28" i="3"/>
  <c r="CS27" i="3"/>
  <c r="CO27" i="3"/>
  <c r="CC27" i="3"/>
  <c r="CA27" i="3"/>
  <c r="BY27" i="3"/>
  <c r="BS27" i="3"/>
  <c r="DJ26" i="3"/>
  <c r="DF26" i="3"/>
  <c r="DD26" i="3"/>
  <c r="CS26" i="3"/>
  <c r="DN24" i="3"/>
  <c r="CS24" i="3"/>
  <c r="BW24" i="3"/>
  <c r="C28" i="14"/>
  <c r="DJ23" i="3"/>
  <c r="CO23" i="3"/>
  <c r="CA23" i="3"/>
  <c r="BY23" i="3"/>
  <c r="BO23" i="3"/>
  <c r="BU21" i="3"/>
  <c r="BS21" i="3"/>
  <c r="CA20" i="3"/>
  <c r="G34" i="14"/>
  <c r="BS20" i="3"/>
  <c r="DN19" i="3"/>
  <c r="DC19" i="3"/>
  <c r="CC19" i="3"/>
  <c r="BY19" i="3"/>
  <c r="BK19" i="3"/>
  <c r="DK18" i="3"/>
  <c r="DJ18" i="3"/>
  <c r="CZ18" i="3"/>
  <c r="DF16" i="3"/>
  <c r="CO16" i="3"/>
  <c r="CC16" i="3"/>
  <c r="CK35" i="3"/>
  <c r="CC35" i="3"/>
  <c r="BU35" i="3"/>
  <c r="BS35" i="3"/>
  <c r="DC15" i="3"/>
  <c r="CO15" i="3"/>
  <c r="CC15" i="3"/>
  <c r="BY15" i="3"/>
  <c r="BS15" i="3"/>
  <c r="BK15" i="3"/>
  <c r="CH14" i="3"/>
  <c r="DK13" i="3"/>
  <c r="CP13" i="3"/>
  <c r="CO13" i="3"/>
  <c r="CH13" i="3"/>
  <c r="BU13" i="3"/>
  <c r="BM13" i="3"/>
  <c r="BW12" i="3"/>
  <c r="BQ12" i="3"/>
  <c r="DN11" i="3"/>
  <c r="DG11" i="3"/>
  <c r="CL11" i="3"/>
  <c r="CC11" i="3"/>
  <c r="CA11" i="3"/>
  <c r="BU11" i="3"/>
  <c r="BK11" i="3"/>
  <c r="DF10" i="3"/>
  <c r="CZ10" i="3"/>
  <c r="CS10" i="3"/>
  <c r="CD10" i="3"/>
  <c r="DK9" i="3"/>
  <c r="DJ9" i="3"/>
  <c r="CP9" i="3"/>
  <c r="CD9" i="3"/>
  <c r="F73" i="14"/>
  <c r="F25" i="14"/>
  <c r="F5" i="14"/>
  <c r="BD106" i="3"/>
  <c r="DO29" i="3"/>
  <c r="DO37" i="3"/>
  <c r="DO45" i="3"/>
  <c r="DO61" i="3"/>
  <c r="DO33" i="3"/>
  <c r="CX67" i="3"/>
  <c r="BQ71" i="3"/>
  <c r="BY97" i="3"/>
  <c r="R110" i="3"/>
  <c r="CL45" i="3"/>
  <c r="CO45" i="3"/>
  <c r="BW6" i="3"/>
  <c r="CX29" i="3"/>
  <c r="CZ29" i="3"/>
  <c r="DH34" i="3"/>
  <c r="CZ38" i="3"/>
  <c r="DF38" i="3"/>
  <c r="DJ41" i="3"/>
  <c r="DF22" i="3"/>
  <c r="DD22" i="3"/>
  <c r="DJ27" i="3"/>
  <c r="DJ95" i="3"/>
  <c r="N109" i="3"/>
  <c r="N111" i="3"/>
  <c r="N115" i="3"/>
  <c r="CP99" i="3"/>
  <c r="G106" i="3"/>
  <c r="O106" i="3"/>
  <c r="W106" i="3"/>
  <c r="CH4" i="3"/>
  <c r="X106" i="3"/>
  <c r="CL5" i="3"/>
  <c r="DA6" i="3"/>
  <c r="I110" i="3"/>
  <c r="D104" i="3"/>
  <c r="CH6" i="3"/>
  <c r="DN75" i="3"/>
  <c r="DN31" i="3"/>
  <c r="DK11" i="3"/>
  <c r="CH63" i="3"/>
  <c r="CP97" i="3"/>
  <c r="CH38" i="3"/>
  <c r="CX91" i="3"/>
  <c r="DH103" i="3"/>
  <c r="DN64" i="3"/>
  <c r="DJ64" i="3"/>
  <c r="DF6" i="3"/>
  <c r="DF69" i="3"/>
  <c r="DJ54" i="3"/>
  <c r="DJ21" i="3"/>
  <c r="CX7" i="3"/>
  <c r="BK24" i="3"/>
  <c r="CP58" i="3"/>
  <c r="CK68" i="3"/>
  <c r="CD78" i="3"/>
  <c r="CP80" i="3"/>
  <c r="DJ82" i="3"/>
  <c r="DJ87" i="3"/>
  <c r="DH87" i="3"/>
  <c r="BB89" i="3"/>
  <c r="DF91" i="3"/>
  <c r="CD94" i="3"/>
  <c r="BM97" i="3"/>
  <c r="CZ98" i="3"/>
  <c r="CX98" i="3"/>
  <c r="DA99" i="3"/>
  <c r="CL102" i="3"/>
  <c r="CP103" i="3"/>
  <c r="DN5" i="3"/>
  <c r="CL21" i="3"/>
  <c r="DK83" i="3"/>
  <c r="CZ102" i="3"/>
  <c r="CZ50" i="3"/>
  <c r="DH14" i="3"/>
  <c r="DJ14" i="3"/>
  <c r="DA20" i="3"/>
  <c r="G63" i="14"/>
  <c r="CK36" i="3"/>
  <c r="CZ44" i="3"/>
  <c r="F48" i="14"/>
  <c r="DK57" i="3"/>
  <c r="DF62" i="3"/>
  <c r="DJ73" i="3"/>
  <c r="E75" i="14"/>
  <c r="DK89" i="3"/>
  <c r="DF12" i="3"/>
  <c r="CP26" i="3"/>
  <c r="DJ29" i="3"/>
  <c r="DH29" i="3"/>
  <c r="CH37" i="3"/>
  <c r="CL47" i="3"/>
  <c r="DJ50" i="3"/>
  <c r="DG64" i="3"/>
  <c r="DF54" i="3"/>
  <c r="DD57" i="3"/>
  <c r="CL63" i="3"/>
  <c r="DD65" i="3"/>
  <c r="CC71" i="3"/>
  <c r="CP71" i="3"/>
  <c r="DN73" i="3"/>
  <c r="E79" i="14"/>
  <c r="DK73" i="3"/>
  <c r="E77" i="14"/>
  <c r="CH77" i="3"/>
  <c r="CH78" i="3"/>
  <c r="CZ82" i="3"/>
  <c r="DF82" i="3"/>
  <c r="DH85" i="3"/>
  <c r="DJ85" i="3"/>
  <c r="CO87" i="3"/>
  <c r="DA87" i="3"/>
  <c r="DF89" i="3"/>
  <c r="CA91" i="3"/>
  <c r="AA108" i="3"/>
  <c r="AE108" i="3"/>
  <c r="CL4" i="3"/>
  <c r="CZ4" i="3"/>
  <c r="CP5" i="3"/>
  <c r="D110" i="3"/>
  <c r="CZ86" i="3"/>
  <c r="DN27" i="3"/>
  <c r="BQ97" i="3"/>
  <c r="DG87" i="3"/>
  <c r="CK87" i="3"/>
  <c r="DN71" i="3"/>
  <c r="DG39" i="3"/>
  <c r="CK6" i="3"/>
  <c r="CP57" i="3"/>
  <c r="DH65" i="3"/>
  <c r="DH55" i="3"/>
  <c r="CD59" i="3"/>
  <c r="DH83" i="3"/>
  <c r="DH97" i="3"/>
  <c r="DH26" i="3"/>
  <c r="DD78" i="3"/>
  <c r="DD102" i="3"/>
  <c r="DD104" i="3"/>
  <c r="CP102" i="3"/>
  <c r="CP104" i="3"/>
  <c r="L52" i="14"/>
  <c r="E50" i="14"/>
  <c r="DA63" i="3"/>
  <c r="DF71" i="3"/>
  <c r="DN99" i="3"/>
  <c r="DJ66" i="3"/>
  <c r="DF47" i="3"/>
  <c r="CZ46" i="3"/>
  <c r="DF5" i="3"/>
  <c r="CK72" i="3"/>
  <c r="DJ89" i="3"/>
  <c r="DF95" i="3"/>
  <c r="CZ54" i="3"/>
  <c r="AJ108" i="3"/>
  <c r="DF37" i="3"/>
  <c r="DF15" i="3"/>
  <c r="DD15" i="3"/>
  <c r="CK19" i="3"/>
  <c r="DD51" i="3"/>
  <c r="DG51" i="3"/>
  <c r="CH69" i="3"/>
  <c r="CS72" i="3"/>
  <c r="CS95" i="3"/>
  <c r="DD97" i="3"/>
  <c r="CO7" i="3"/>
  <c r="DG7" i="3"/>
  <c r="F71" i="14"/>
  <c r="DG102" i="3"/>
  <c r="DF102" i="3"/>
  <c r="DK6" i="3"/>
  <c r="DJ86" i="3"/>
  <c r="CK39" i="3"/>
  <c r="DA11" i="3"/>
  <c r="CZ91" i="3"/>
  <c r="N106" i="3"/>
  <c r="CK84" i="3"/>
  <c r="DF11" i="3"/>
  <c r="CZ23" i="3"/>
  <c r="CZ68" i="3"/>
  <c r="CZ70" i="3"/>
  <c r="CO83" i="3"/>
  <c r="Q108" i="3"/>
  <c r="CH9" i="3"/>
  <c r="CS12" i="3"/>
  <c r="CZ14" i="3"/>
  <c r="DH18" i="3"/>
  <c r="CZ42" i="3"/>
  <c r="CX48" i="3"/>
  <c r="DJ59" i="3"/>
  <c r="DH59" i="3"/>
  <c r="DJ70" i="3"/>
  <c r="DJ71" i="3"/>
  <c r="CX73" i="3"/>
  <c r="E60" i="14"/>
  <c r="CZ73" i="3"/>
  <c r="E62" i="14"/>
  <c r="DD73" i="3"/>
  <c r="E68" i="14"/>
  <c r="E71" i="14"/>
  <c r="DA72" i="3"/>
  <c r="DG72" i="3"/>
  <c r="CZ76" i="3"/>
  <c r="DF77" i="3"/>
  <c r="CC79" i="3"/>
  <c r="CO79" i="3"/>
  <c r="CZ92" i="3"/>
  <c r="CL93" i="3"/>
  <c r="CO93" i="3"/>
  <c r="DG93" i="3"/>
  <c r="CZ94" i="3"/>
  <c r="CX94" i="3"/>
  <c r="CX95" i="3"/>
  <c r="CC97" i="3"/>
  <c r="AQ106" i="3"/>
  <c r="CP4" i="3"/>
  <c r="DH5" i="3"/>
  <c r="DJ5" i="3"/>
  <c r="DN7" i="3"/>
  <c r="AA110" i="3"/>
  <c r="AF110" i="3"/>
  <c r="K106" i="3"/>
  <c r="CS47" i="3"/>
  <c r="DG71" i="3"/>
  <c r="DD30" i="3"/>
  <c r="DF86" i="3"/>
  <c r="CZ74" i="3"/>
  <c r="DF57" i="3"/>
  <c r="CK83" i="3"/>
  <c r="DJ7" i="3"/>
  <c r="CX14" i="3"/>
  <c r="DG75" i="3"/>
  <c r="DH33" i="3"/>
  <c r="DD98" i="3"/>
  <c r="CZ26" i="3"/>
  <c r="DH9" i="3"/>
  <c r="CL71" i="3"/>
  <c r="CX10" i="3"/>
  <c r="CX18" i="3"/>
  <c r="DK78" i="3"/>
  <c r="DK91" i="3"/>
  <c r="CX102" i="3"/>
  <c r="DF98" i="3"/>
  <c r="DJ69" i="3"/>
  <c r="CK64" i="3"/>
  <c r="CZ5" i="3"/>
  <c r="DJ47" i="3"/>
  <c r="DF66" i="3"/>
  <c r="CK91" i="3"/>
  <c r="DJ6" i="3"/>
  <c r="DA7" i="3"/>
  <c r="CC99" i="3"/>
  <c r="CK99" i="3"/>
  <c r="CZ78" i="3"/>
  <c r="CS76" i="3"/>
  <c r="CA102" i="3"/>
  <c r="DK93" i="3"/>
  <c r="DN69" i="3"/>
  <c r="DK33" i="3"/>
  <c r="DK37" i="3"/>
  <c r="DK65" i="3"/>
  <c r="DN49" i="3"/>
  <c r="DK17" i="3"/>
  <c r="DK61" i="3"/>
  <c r="DJ100" i="3"/>
  <c r="DH37" i="3"/>
  <c r="DH81" i="3"/>
  <c r="DJ25" i="3"/>
  <c r="DF93" i="3"/>
  <c r="DD92" i="3"/>
  <c r="DF13" i="3"/>
  <c r="DF65" i="3"/>
  <c r="DD81" i="3"/>
  <c r="DG45" i="3"/>
  <c r="DD45" i="3"/>
  <c r="DD17" i="3"/>
  <c r="DD69" i="3"/>
  <c r="DF25" i="3"/>
  <c r="DF73" i="3"/>
  <c r="E70" i="14"/>
  <c r="DF61" i="3"/>
  <c r="DG76" i="3"/>
  <c r="DF29" i="3"/>
  <c r="DD41" i="3"/>
  <c r="DD61" i="3"/>
  <c r="DD29" i="3"/>
  <c r="DG48" i="3"/>
  <c r="AI106" i="3"/>
  <c r="CX103" i="3"/>
  <c r="CZ100" i="3"/>
  <c r="DA93" i="3"/>
  <c r="CZ93" i="3"/>
  <c r="CZ49" i="3"/>
  <c r="CX65" i="3"/>
  <c r="CX25" i="3"/>
  <c r="CZ69" i="3"/>
  <c r="CZ57" i="3"/>
  <c r="CX85" i="3"/>
  <c r="E63" i="14"/>
  <c r="CZ53" i="3"/>
  <c r="CZ41" i="3"/>
  <c r="CZ81" i="3"/>
  <c r="CX69" i="3"/>
  <c r="CX81" i="3"/>
  <c r="CX41" i="3"/>
  <c r="CZ6" i="3"/>
  <c r="DH4" i="3"/>
  <c r="DJ4" i="3"/>
  <c r="DO4" i="3"/>
  <c r="DF97" i="3"/>
  <c r="CP93" i="3"/>
  <c r="CP94" i="3"/>
  <c r="CP81" i="3"/>
  <c r="CP21" i="3"/>
  <c r="CP73" i="3"/>
  <c r="E52" i="14"/>
  <c r="CS85" i="3"/>
  <c r="F54" i="14"/>
  <c r="CS41" i="3"/>
  <c r="CP69" i="3"/>
  <c r="CP45" i="3"/>
  <c r="CP16" i="3"/>
  <c r="X108" i="3"/>
  <c r="CL34" i="3"/>
  <c r="CL18" i="3"/>
  <c r="CL42" i="3"/>
  <c r="CO81" i="3"/>
  <c r="CL81" i="3"/>
  <c r="CL29" i="3"/>
  <c r="CL41" i="3"/>
  <c r="CL69" i="3"/>
  <c r="CL85" i="3"/>
  <c r="CL86" i="3"/>
  <c r="CO28" i="3"/>
  <c r="CL14" i="3"/>
  <c r="CL78" i="3"/>
  <c r="CO49" i="3"/>
  <c r="CW93" i="3"/>
  <c r="CH29" i="3"/>
  <c r="CH61" i="3"/>
  <c r="CH57" i="3"/>
  <c r="CK20" i="3"/>
  <c r="CK60" i="3"/>
  <c r="CH73" i="3"/>
  <c r="E44" i="14"/>
  <c r="CK7" i="3"/>
  <c r="CT93" i="3"/>
  <c r="CG93" i="3"/>
  <c r="CD89" i="3"/>
  <c r="CT85" i="3"/>
  <c r="CD85" i="3"/>
  <c r="CD77" i="3"/>
  <c r="E42" i="14"/>
  <c r="CD73" i="3"/>
  <c r="E40" i="14"/>
  <c r="E56" i="14"/>
  <c r="CD69" i="3"/>
  <c r="CD65" i="3"/>
  <c r="CW65" i="3"/>
  <c r="CD61" i="3"/>
  <c r="CD57" i="3"/>
  <c r="CG53" i="3"/>
  <c r="F42" i="14"/>
  <c r="F40" i="14"/>
  <c r="CD41" i="3"/>
  <c r="CC7" i="3"/>
  <c r="CA100" i="3"/>
  <c r="BU65" i="3"/>
  <c r="BU59" i="3"/>
  <c r="D8" i="3"/>
  <c r="BK55" i="3"/>
  <c r="BK73" i="3"/>
  <c r="E10" i="14"/>
  <c r="BK99" i="3"/>
  <c r="BQ43" i="3"/>
  <c r="BM102" i="3"/>
  <c r="BY56" i="3"/>
  <c r="M109" i="3"/>
  <c r="J108" i="3"/>
  <c r="M106" i="3"/>
  <c r="L110" i="3"/>
  <c r="AW106" i="3"/>
  <c r="AU106" i="3"/>
  <c r="AS109" i="3"/>
  <c r="AZ106" i="3"/>
  <c r="AS106" i="3"/>
  <c r="AW109" i="3"/>
  <c r="AU109" i="3"/>
  <c r="BK92" i="3"/>
  <c r="F46" i="14"/>
  <c r="DJ45" i="3"/>
  <c r="DH45" i="3"/>
  <c r="CS23" i="3"/>
  <c r="DN43" i="3"/>
  <c r="DF19" i="3"/>
  <c r="F28" i="14"/>
  <c r="BS85" i="3"/>
  <c r="DG85" i="3"/>
  <c r="DF85" i="3"/>
  <c r="DD85" i="3"/>
  <c r="DH90" i="3"/>
  <c r="DJ90" i="3"/>
  <c r="AL108" i="3"/>
  <c r="CH94" i="3"/>
  <c r="CT94" i="3"/>
  <c r="CK95" i="3"/>
  <c r="BA97" i="3"/>
  <c r="CT97" i="3"/>
  <c r="V109" i="3"/>
  <c r="CZ97" i="3"/>
  <c r="DA97" i="3"/>
  <c r="DK97" i="3"/>
  <c r="CK100" i="3"/>
  <c r="AG109" i="3"/>
  <c r="DK100" i="3"/>
  <c r="BU99" i="3"/>
  <c r="AI109" i="3"/>
  <c r="L106" i="3"/>
  <c r="O110" i="3"/>
  <c r="BA102" i="3"/>
  <c r="BP102" i="3"/>
  <c r="BL102" i="3"/>
  <c r="CD102" i="3"/>
  <c r="AH110" i="3"/>
  <c r="DJ102" i="3"/>
  <c r="DH102" i="3"/>
  <c r="DH104" i="3"/>
  <c r="P110" i="3"/>
  <c r="X110" i="3"/>
  <c r="DD103" i="3"/>
  <c r="CX17" i="3"/>
  <c r="DH13" i="3"/>
  <c r="DJ13" i="3"/>
  <c r="CH15" i="3"/>
  <c r="CK15" i="3"/>
  <c r="CD17" i="3"/>
  <c r="CX37" i="3"/>
  <c r="CZ37" i="3"/>
  <c r="CH40" i="3"/>
  <c r="CX45" i="3"/>
  <c r="DA45" i="3"/>
  <c r="DF49" i="3"/>
  <c r="BW52" i="3"/>
  <c r="BA53" i="3"/>
  <c r="BN53" i="3"/>
  <c r="F15" i="14"/>
  <c r="CZ13" i="3"/>
  <c r="CX13" i="3"/>
  <c r="CZ22" i="3"/>
  <c r="CK23" i="3"/>
  <c r="CP37" i="3"/>
  <c r="BM48" i="3"/>
  <c r="DF58" i="3"/>
  <c r="DC61" i="3"/>
  <c r="DC79" i="3"/>
  <c r="M108" i="3"/>
  <c r="DO86" i="3"/>
  <c r="DO34" i="3"/>
  <c r="DQ24" i="3"/>
  <c r="C83" i="14"/>
  <c r="DW99" i="3"/>
  <c r="DT99" i="3"/>
  <c r="DT81" i="3"/>
  <c r="DT77" i="3"/>
  <c r="DT73" i="3"/>
  <c r="E85" i="14"/>
  <c r="DT69" i="3"/>
  <c r="DT65" i="3"/>
  <c r="DW61" i="3"/>
  <c r="DT61" i="3"/>
  <c r="DT57" i="3"/>
  <c r="F85" i="14"/>
  <c r="DW45" i="3"/>
  <c r="DT45" i="3"/>
  <c r="DT41" i="3"/>
  <c r="DT37" i="3"/>
  <c r="DW37" i="3"/>
  <c r="DT33" i="3"/>
  <c r="DT29" i="3"/>
  <c r="DW29" i="3"/>
  <c r="DT25" i="3"/>
  <c r="DW20" i="3"/>
  <c r="DT20" i="3"/>
  <c r="DW16" i="3"/>
  <c r="DT16" i="3"/>
  <c r="BM11" i="3"/>
  <c r="S107" i="3"/>
  <c r="CT34" i="3"/>
  <c r="CD37" i="3"/>
  <c r="CZ47" i="3"/>
  <c r="DA47" i="3"/>
  <c r="DN47" i="3"/>
  <c r="DJ48" i="3"/>
  <c r="CZ21" i="3"/>
  <c r="CX21" i="3"/>
  <c r="BK52" i="3"/>
  <c r="CZ58" i="3"/>
  <c r="DK58" i="3"/>
  <c r="CA60" i="3"/>
  <c r="BM63" i="3"/>
  <c r="CZ90" i="3"/>
  <c r="AF108" i="3"/>
  <c r="BU6" i="3"/>
  <c r="DQ6" i="3"/>
  <c r="DT94" i="3"/>
  <c r="DW85" i="3"/>
  <c r="DT85" i="3"/>
  <c r="DW12" i="3"/>
  <c r="CH20" i="3"/>
  <c r="G44" i="14"/>
  <c r="DA31" i="3"/>
  <c r="CD33" i="3"/>
  <c r="CT33" i="3"/>
  <c r="CZ33" i="3"/>
  <c r="CX33" i="3"/>
  <c r="CZ34" i="3"/>
  <c r="CX34" i="3"/>
  <c r="DD34" i="3"/>
  <c r="DF34" i="3"/>
  <c r="CZ36" i="3"/>
  <c r="DG40" i="3"/>
  <c r="CH41" i="3"/>
  <c r="CK45" i="3"/>
  <c r="CT45" i="3"/>
  <c r="CZ35" i="3"/>
  <c r="CH28" i="3"/>
  <c r="CT38" i="3"/>
  <c r="CL48" i="3"/>
  <c r="CO52" i="3"/>
  <c r="DN56" i="3"/>
  <c r="CH59" i="3"/>
  <c r="CK59" i="3"/>
  <c r="CX61" i="3"/>
  <c r="CZ61" i="3"/>
  <c r="CP65" i="3"/>
  <c r="BK68" i="3"/>
  <c r="CS68" i="3"/>
  <c r="DK77" i="3"/>
  <c r="DA79" i="3"/>
  <c r="CL89" i="3"/>
  <c r="BY25" i="3"/>
  <c r="BB61" i="3"/>
  <c r="CL25" i="3"/>
  <c r="DD9" i="3"/>
  <c r="DF9" i="3"/>
  <c r="BA10" i="3"/>
  <c r="DL10" i="3"/>
  <c r="CH10" i="3"/>
  <c r="CP14" i="3"/>
  <c r="DA24" i="3"/>
  <c r="DN40" i="3"/>
  <c r="DJ42" i="3"/>
  <c r="DH42" i="3"/>
  <c r="CW49" i="3"/>
  <c r="CX51" i="3"/>
  <c r="DF52" i="3"/>
  <c r="DA56" i="3"/>
  <c r="CP61" i="3"/>
  <c r="CH65" i="3"/>
  <c r="CT65" i="3"/>
  <c r="CL77" i="3"/>
  <c r="CT77" i="3"/>
  <c r="CH87" i="3"/>
  <c r="CT89" i="3"/>
  <c r="DK94" i="3"/>
  <c r="DJ97" i="3"/>
  <c r="S109" i="3"/>
  <c r="Y106" i="3"/>
  <c r="AK106" i="3"/>
  <c r="DD18" i="3"/>
  <c r="CX26" i="3"/>
  <c r="DK14" i="3"/>
  <c r="CD18" i="3"/>
  <c r="DF18" i="3"/>
  <c r="DK29" i="3"/>
  <c r="DJ31" i="3"/>
  <c r="CP34" i="3"/>
  <c r="CS43" i="3"/>
  <c r="BA46" i="3"/>
  <c r="CQ46" i="3"/>
  <c r="CK51" i="3"/>
  <c r="DJ53" i="3"/>
  <c r="DK55" i="3"/>
  <c r="CZ66" i="3"/>
  <c r="DD25" i="3"/>
  <c r="DQ63" i="3"/>
  <c r="AY110" i="3"/>
  <c r="CS15" i="3"/>
  <c r="CP15" i="3"/>
  <c r="DA27" i="3"/>
  <c r="BW41" i="3"/>
  <c r="DD55" i="3"/>
  <c r="DG60" i="3"/>
  <c r="DF70" i="3"/>
  <c r="DD70" i="3"/>
  <c r="CO92" i="3"/>
  <c r="DJ93" i="3"/>
  <c r="DH93" i="3"/>
  <c r="CS6" i="3"/>
  <c r="CP10" i="3"/>
  <c r="CX12" i="3"/>
  <c r="DD37" i="3"/>
  <c r="DJ40" i="3"/>
  <c r="DF46" i="3"/>
  <c r="CK47" i="3"/>
  <c r="CH48" i="3"/>
  <c r="CH74" i="3"/>
  <c r="DF74" i="3"/>
  <c r="DJ78" i="3"/>
  <c r="DH78" i="3"/>
  <c r="CH80" i="3"/>
  <c r="DD86" i="3"/>
  <c r="CH55" i="3"/>
  <c r="CK55" i="3"/>
  <c r="CS59" i="3"/>
  <c r="DA84" i="3"/>
  <c r="DF4" i="3"/>
  <c r="DD4" i="3"/>
  <c r="DD94" i="3"/>
  <c r="AJ110" i="3"/>
  <c r="CG71" i="3"/>
  <c r="AQ108" i="3"/>
  <c r="DY101" i="3"/>
  <c r="K85" i="14"/>
  <c r="DT98" i="3"/>
  <c r="DT93" i="3"/>
  <c r="DY96" i="3"/>
  <c r="DY108" i="3"/>
  <c r="DT89" i="3"/>
  <c r="DW84" i="3"/>
  <c r="DT84" i="3"/>
  <c r="DW72" i="3"/>
  <c r="DW60" i="3"/>
  <c r="DW56" i="3"/>
  <c r="DW52" i="3"/>
  <c r="DT44" i="3"/>
  <c r="DW44" i="3"/>
  <c r="DT40" i="3"/>
  <c r="DT11" i="3"/>
  <c r="DW11" i="3"/>
  <c r="DT100" i="3"/>
  <c r="DW100" i="3"/>
  <c r="DD63" i="3"/>
  <c r="DF63" i="3"/>
  <c r="CH103" i="3"/>
  <c r="CK103" i="3"/>
  <c r="DT102" i="3"/>
  <c r="DQ91" i="3"/>
  <c r="DO91" i="3"/>
  <c r="AP110" i="3"/>
  <c r="AT108" i="3"/>
  <c r="AU110" i="3"/>
  <c r="CG14" i="3"/>
  <c r="BD110" i="3"/>
  <c r="BD104" i="3"/>
  <c r="CD38" i="3"/>
  <c r="DO26" i="3"/>
  <c r="W110" i="3"/>
  <c r="DY88" i="3"/>
  <c r="DY107" i="3"/>
  <c r="J85" i="14"/>
  <c r="I85" i="14"/>
  <c r="E96" i="3"/>
  <c r="BA90" i="3"/>
  <c r="BR90" i="3"/>
  <c r="D108" i="3"/>
  <c r="BO7" i="3"/>
  <c r="F110" i="3"/>
  <c r="BA38" i="3"/>
  <c r="E104" i="3"/>
  <c r="E101" i="3"/>
  <c r="F104" i="3"/>
  <c r="G101" i="3"/>
  <c r="H101" i="3"/>
  <c r="I101" i="3"/>
  <c r="J101" i="3"/>
  <c r="K101" i="3"/>
  <c r="L101" i="3"/>
  <c r="M101" i="3"/>
  <c r="N101" i="3"/>
  <c r="N108" i="3"/>
  <c r="N107" i="3"/>
  <c r="O101" i="3"/>
  <c r="P101" i="3"/>
  <c r="Q110" i="3"/>
  <c r="Q104" i="3"/>
  <c r="Q101" i="3"/>
  <c r="Q106" i="3"/>
  <c r="Q111" i="3"/>
  <c r="Q115" i="3"/>
  <c r="R109" i="3"/>
  <c r="R101" i="3"/>
  <c r="S110" i="3"/>
  <c r="S104" i="3"/>
  <c r="S101" i="3"/>
  <c r="S106" i="3"/>
  <c r="T101" i="3"/>
  <c r="U101" i="3"/>
  <c r="CD87" i="3"/>
  <c r="CG87" i="3"/>
  <c r="V110" i="3"/>
  <c r="V104" i="3"/>
  <c r="V101" i="3"/>
  <c r="CD6" i="3"/>
  <c r="W101" i="3"/>
  <c r="CH97" i="3"/>
  <c r="CO75" i="3"/>
  <c r="CL75" i="3"/>
  <c r="I8" i="3"/>
  <c r="D109" i="3"/>
  <c r="BK100" i="3"/>
  <c r="H108" i="3"/>
  <c r="BS91" i="3"/>
  <c r="H88" i="3"/>
  <c r="BA86" i="3"/>
  <c r="CE86" i="3"/>
  <c r="BA82" i="3"/>
  <c r="BA66" i="3"/>
  <c r="BA58" i="3"/>
  <c r="BN58" i="3"/>
  <c r="BA26" i="3"/>
  <c r="Q107" i="3"/>
  <c r="T108" i="3"/>
  <c r="CT78" i="3"/>
  <c r="CT42" i="3"/>
  <c r="CD30" i="3"/>
  <c r="CD26" i="3"/>
  <c r="CD22" i="3"/>
  <c r="CD14" i="3"/>
  <c r="CL95" i="3"/>
  <c r="CO95" i="3"/>
  <c r="CL91" i="3"/>
  <c r="X96" i="3"/>
  <c r="Z108" i="3"/>
  <c r="Y101" i="3"/>
  <c r="CW59" i="3"/>
  <c r="Z101" i="3"/>
  <c r="CT59" i="3"/>
  <c r="CW27" i="3"/>
  <c r="AA109" i="3"/>
  <c r="AA101" i="3"/>
  <c r="CW87" i="3"/>
  <c r="AB101" i="3"/>
  <c r="AC101" i="3"/>
  <c r="AC107" i="3"/>
  <c r="AD101" i="3"/>
  <c r="AE101" i="3"/>
  <c r="AQ107" i="3"/>
  <c r="CT5" i="3"/>
  <c r="AB108" i="3"/>
  <c r="AD108" i="3"/>
  <c r="G8" i="3"/>
  <c r="H8" i="3"/>
  <c r="H109" i="3"/>
  <c r="I109" i="3"/>
  <c r="I88" i="3"/>
  <c r="J8" i="3"/>
  <c r="J88" i="3"/>
  <c r="K8" i="3"/>
  <c r="K88" i="3"/>
  <c r="L8" i="3"/>
  <c r="L88" i="3"/>
  <c r="M8" i="3"/>
  <c r="M88" i="3"/>
  <c r="N8" i="3"/>
  <c r="N88" i="3"/>
  <c r="O8" i="3"/>
  <c r="O88" i="3"/>
  <c r="P8" i="3"/>
  <c r="BA94" i="3"/>
  <c r="Q88" i="3"/>
  <c r="R8" i="3"/>
  <c r="R88" i="3"/>
  <c r="S8" i="3"/>
  <c r="S108" i="3"/>
  <c r="S88" i="3"/>
  <c r="T8" i="3"/>
  <c r="T109" i="3"/>
  <c r="T88" i="3"/>
  <c r="U8" i="3"/>
  <c r="U88" i="3"/>
  <c r="V8" i="3"/>
  <c r="V108" i="3"/>
  <c r="V88" i="3"/>
  <c r="W8" i="3"/>
  <c r="W108" i="3"/>
  <c r="W88" i="3"/>
  <c r="X8" i="3"/>
  <c r="Y88" i="3"/>
  <c r="Z8" i="3"/>
  <c r="Z109" i="3"/>
  <c r="Z88" i="3"/>
  <c r="AA8" i="3"/>
  <c r="E58" i="14"/>
  <c r="CW61" i="3"/>
  <c r="CW21" i="3"/>
  <c r="CT17" i="3"/>
  <c r="AA88" i="3"/>
  <c r="AB8" i="3"/>
  <c r="AB109" i="3"/>
  <c r="AB96" i="3"/>
  <c r="AB88" i="3"/>
  <c r="AC8" i="3"/>
  <c r="AC109" i="3"/>
  <c r="AC111" i="3"/>
  <c r="AC88" i="3"/>
  <c r="AD8" i="3"/>
  <c r="AD88" i="3"/>
  <c r="AE8" i="3"/>
  <c r="AE109" i="3"/>
  <c r="AE88" i="3"/>
  <c r="AF8" i="3"/>
  <c r="AG88" i="3"/>
  <c r="AH8" i="3"/>
  <c r="AH109" i="3"/>
  <c r="AH88" i="3"/>
  <c r="AI8" i="3"/>
  <c r="AI88" i="3"/>
  <c r="AJ8" i="3"/>
  <c r="AJ96" i="3"/>
  <c r="AJ88" i="3"/>
  <c r="AK8" i="3"/>
  <c r="AK88" i="3"/>
  <c r="AL8" i="3"/>
  <c r="AO88" i="3"/>
  <c r="AP8" i="3"/>
  <c r="AN104" i="3"/>
  <c r="AJ109" i="3"/>
  <c r="AK109" i="3"/>
  <c r="AK108" i="3"/>
  <c r="AM108" i="3"/>
  <c r="AO108" i="3"/>
  <c r="AP108" i="3"/>
  <c r="AQ109" i="3"/>
  <c r="AQ111" i="3"/>
  <c r="AQ115" i="3"/>
  <c r="CG95" i="3"/>
  <c r="BB5" i="3"/>
  <c r="AW107" i="3"/>
  <c r="AS101" i="3"/>
  <c r="AL88" i="3"/>
  <c r="AM8" i="3"/>
  <c r="AM109" i="3"/>
  <c r="AM88" i="3"/>
  <c r="AN8" i="3"/>
  <c r="AN108" i="3"/>
  <c r="AP88" i="3"/>
  <c r="AQ8" i="3"/>
  <c r="AQ88" i="3"/>
  <c r="AT88" i="3"/>
  <c r="BB73" i="3"/>
  <c r="DB73" i="3"/>
  <c r="DP73" i="3"/>
  <c r="E82" i="14"/>
  <c r="BB69" i="3"/>
  <c r="DR69" i="3"/>
  <c r="BB65" i="3"/>
  <c r="DI65" i="3"/>
  <c r="CJ65" i="3"/>
  <c r="BB53" i="3"/>
  <c r="DM53" i="3"/>
  <c r="BB49" i="3"/>
  <c r="DE49" i="3"/>
  <c r="DP49" i="3"/>
  <c r="BB45" i="3"/>
  <c r="DM45" i="3"/>
  <c r="BB41" i="3"/>
  <c r="DB41" i="3"/>
  <c r="DE41" i="3"/>
  <c r="BB13" i="3"/>
  <c r="CN13" i="3"/>
  <c r="DR13" i="3"/>
  <c r="AU88" i="3"/>
  <c r="AX88" i="3"/>
  <c r="AY88" i="3"/>
  <c r="AZ101" i="3"/>
  <c r="G110" i="3"/>
  <c r="G96" i="3"/>
  <c r="J96" i="3"/>
  <c r="K96" i="3"/>
  <c r="M110" i="3"/>
  <c r="M107" i="3"/>
  <c r="N110" i="3"/>
  <c r="N96" i="3"/>
  <c r="O96" i="3"/>
  <c r="P106" i="3"/>
  <c r="Q109" i="3"/>
  <c r="R96" i="3"/>
  <c r="S96" i="3"/>
  <c r="T110" i="3"/>
  <c r="T107" i="3"/>
  <c r="T106" i="3"/>
  <c r="T111" i="3"/>
  <c r="T115" i="3"/>
  <c r="V96" i="3"/>
  <c r="W96" i="3"/>
  <c r="Z110" i="3"/>
  <c r="Z96" i="3"/>
  <c r="Z106" i="3"/>
  <c r="BB93" i="3"/>
  <c r="DI93" i="3"/>
  <c r="AA96" i="3"/>
  <c r="AB106" i="3"/>
  <c r="AC110" i="3"/>
  <c r="AC115" i="3"/>
  <c r="AC106" i="3"/>
  <c r="AD110" i="3"/>
  <c r="AD96" i="3"/>
  <c r="AD106" i="3"/>
  <c r="AE110" i="3"/>
  <c r="AE96" i="3"/>
  <c r="AF106" i="3"/>
  <c r="AF111" i="3"/>
  <c r="AF115" i="3"/>
  <c r="AG110" i="3"/>
  <c r="AH96" i="3"/>
  <c r="AH107" i="3"/>
  <c r="AI96" i="3"/>
  <c r="AL96" i="3"/>
  <c r="AM96" i="3"/>
  <c r="AN109" i="3"/>
  <c r="AO110" i="3"/>
  <c r="AP96" i="3"/>
  <c r="AQ96" i="3"/>
  <c r="AT96" i="3"/>
  <c r="AX96" i="3"/>
  <c r="AY96" i="3"/>
  <c r="AR110" i="3"/>
  <c r="AR106" i="3"/>
  <c r="AR111" i="3"/>
  <c r="AR115" i="3"/>
  <c r="CD32" i="3"/>
  <c r="AT106" i="3"/>
  <c r="AU108" i="3"/>
  <c r="AV107" i="3"/>
  <c r="AX109" i="3"/>
  <c r="AY109" i="3"/>
  <c r="AZ110" i="3"/>
  <c r="AZ107" i="3"/>
  <c r="AU96" i="3"/>
  <c r="AS107" i="3"/>
  <c r="CG47" i="3"/>
  <c r="CD15" i="3"/>
  <c r="BB97" i="3"/>
  <c r="DI97" i="3"/>
  <c r="CR97" i="3"/>
  <c r="AX106" i="3"/>
  <c r="AY108" i="3"/>
  <c r="AX104" i="3"/>
  <c r="BD8" i="3"/>
  <c r="BD101" i="3"/>
  <c r="G46" i="14"/>
  <c r="G60" i="14"/>
  <c r="G85" i="14"/>
  <c r="G10" i="14"/>
  <c r="G22" i="14"/>
  <c r="G13" i="14"/>
  <c r="G16" i="14"/>
  <c r="G19" i="14"/>
  <c r="G25" i="14"/>
  <c r="G28" i="14"/>
  <c r="G31" i="14"/>
  <c r="G37" i="14"/>
  <c r="G48" i="14"/>
  <c r="G62" i="14"/>
  <c r="G66" i="14"/>
  <c r="G68" i="14"/>
  <c r="G73" i="14"/>
  <c r="F78" i="14"/>
  <c r="F75" i="14"/>
  <c r="F60" i="14"/>
  <c r="F62" i="14"/>
  <c r="F81" i="14"/>
  <c r="F13" i="14"/>
  <c r="F44" i="14"/>
  <c r="D25" i="14"/>
  <c r="D49" i="14"/>
  <c r="D70" i="14"/>
  <c r="D13" i="14"/>
  <c r="D37" i="14"/>
  <c r="D60" i="14"/>
  <c r="D81" i="14"/>
  <c r="D9" i="14"/>
  <c r="D21" i="14"/>
  <c r="D33" i="14"/>
  <c r="D45" i="14"/>
  <c r="D56" i="14"/>
  <c r="D66" i="14"/>
  <c r="D77" i="14"/>
  <c r="D15" i="14"/>
  <c r="D27" i="14"/>
  <c r="D40" i="14"/>
  <c r="D50" i="14"/>
  <c r="D61" i="14"/>
  <c r="D71" i="14"/>
  <c r="D82" i="14"/>
  <c r="C79" i="14"/>
  <c r="C10" i="14"/>
  <c r="C13" i="14"/>
  <c r="C16" i="14"/>
  <c r="C19" i="14"/>
  <c r="C22" i="14"/>
  <c r="C25" i="14"/>
  <c r="C31" i="14"/>
  <c r="C34" i="14"/>
  <c r="C37" i="14"/>
  <c r="C44" i="14"/>
  <c r="C50" i="14"/>
  <c r="C52" i="14"/>
  <c r="C62" i="14"/>
  <c r="C66" i="14"/>
  <c r="C71" i="14"/>
  <c r="C73" i="14"/>
  <c r="C77" i="14"/>
  <c r="C81" i="14"/>
  <c r="C63" i="14"/>
  <c r="C54" i="14"/>
  <c r="D10" i="14"/>
  <c r="D16" i="14"/>
  <c r="D22" i="14"/>
  <c r="D28" i="14"/>
  <c r="D34" i="14"/>
  <c r="D41" i="14"/>
  <c r="D46" i="14"/>
  <c r="D52" i="14"/>
  <c r="D57" i="14"/>
  <c r="D62" i="14"/>
  <c r="D68" i="14"/>
  <c r="D73" i="14"/>
  <c r="D78" i="14"/>
  <c r="D83" i="14"/>
  <c r="D12" i="14"/>
  <c r="D18" i="14"/>
  <c r="D24" i="14"/>
  <c r="D30" i="14"/>
  <c r="D36" i="14"/>
  <c r="D42" i="14"/>
  <c r="D48" i="14"/>
  <c r="D53" i="14"/>
  <c r="D58" i="14"/>
  <c r="D63" i="14"/>
  <c r="D69" i="14"/>
  <c r="D74" i="14"/>
  <c r="D79" i="14"/>
  <c r="CG92" i="3"/>
  <c r="CG36" i="3"/>
  <c r="CG24" i="3"/>
  <c r="C42" i="14"/>
  <c r="AS108" i="3"/>
  <c r="AP109" i="3"/>
  <c r="DQ12" i="3"/>
  <c r="DQ60" i="3"/>
  <c r="DQ100" i="3"/>
  <c r="DQ71" i="3"/>
  <c r="DQ83" i="3"/>
  <c r="DO16" i="3"/>
  <c r="DO48" i="3"/>
  <c r="DQ72" i="3"/>
  <c r="DQ92" i="3"/>
  <c r="DO44" i="3"/>
  <c r="DQ28" i="3"/>
  <c r="DO84" i="3"/>
  <c r="BB10" i="3"/>
  <c r="BB90" i="3"/>
  <c r="CV90" i="3"/>
  <c r="BB86" i="3"/>
  <c r="BB58" i="3"/>
  <c r="DR58" i="3"/>
  <c r="BB46" i="3"/>
  <c r="BB62" i="3"/>
  <c r="DB62" i="3"/>
  <c r="BB6" i="3"/>
  <c r="DK80" i="3"/>
  <c r="DK63" i="3"/>
  <c r="DN28" i="3"/>
  <c r="DK32" i="3"/>
  <c r="DK84" i="3"/>
  <c r="DN48" i="3"/>
  <c r="DK12" i="3"/>
  <c r="DK87" i="3"/>
  <c r="DK15" i="3"/>
  <c r="DN16" i="3"/>
  <c r="DK99" i="3"/>
  <c r="DK36" i="3"/>
  <c r="DN52" i="3"/>
  <c r="AM110" i="3"/>
  <c r="DN103" i="3"/>
  <c r="DJ20" i="3"/>
  <c r="G75" i="14"/>
  <c r="DH12" i="3"/>
  <c r="AL107" i="3"/>
  <c r="DJ84" i="3"/>
  <c r="DJ101" i="3"/>
  <c r="K75" i="14"/>
  <c r="DJ51" i="3"/>
  <c r="DH28" i="3"/>
  <c r="AL110" i="3"/>
  <c r="DH91" i="3"/>
  <c r="AL106" i="3"/>
  <c r="DJ44" i="3"/>
  <c r="DJ15" i="3"/>
  <c r="DH36" i="3"/>
  <c r="DJ56" i="3"/>
  <c r="DJ32" i="3"/>
  <c r="DJ68" i="3"/>
  <c r="DH72" i="3"/>
  <c r="DJ24" i="3"/>
  <c r="C75" i="14"/>
  <c r="AL109" i="3"/>
  <c r="DJ63" i="3"/>
  <c r="AK110" i="3"/>
  <c r="DF40" i="3"/>
  <c r="DF44" i="3"/>
  <c r="DF56" i="3"/>
  <c r="DD52" i="3"/>
  <c r="DF8" i="3"/>
  <c r="DD16" i="3"/>
  <c r="DG103" i="3"/>
  <c r="DD12" i="3"/>
  <c r="DF84" i="3"/>
  <c r="DF20" i="3"/>
  <c r="G70" i="14"/>
  <c r="DG28" i="3"/>
  <c r="DD59" i="3"/>
  <c r="DD7" i="3"/>
  <c r="DD99" i="3"/>
  <c r="DF27" i="3"/>
  <c r="AJ106" i="3"/>
  <c r="DF100" i="3"/>
  <c r="DG67" i="3"/>
  <c r="DG20" i="3"/>
  <c r="G71" i="14"/>
  <c r="DF23" i="3"/>
  <c r="DG68" i="3"/>
  <c r="DG91" i="3"/>
  <c r="DD84" i="3"/>
  <c r="DF72" i="3"/>
  <c r="DF103" i="3"/>
  <c r="DF92" i="3"/>
  <c r="DF96" i="3"/>
  <c r="DF59" i="3"/>
  <c r="DF43" i="3"/>
  <c r="AI108" i="3"/>
  <c r="AI110" i="3"/>
  <c r="DB13" i="3"/>
  <c r="CX24" i="3"/>
  <c r="C60" i="14"/>
  <c r="CX84" i="3"/>
  <c r="DA92" i="3"/>
  <c r="DA76" i="3"/>
  <c r="DA100" i="3"/>
  <c r="DA51" i="3"/>
  <c r="DA44" i="3"/>
  <c r="DA36" i="3"/>
  <c r="AF109" i="3"/>
  <c r="DA40" i="3"/>
  <c r="CX63" i="3"/>
  <c r="DA95" i="3"/>
  <c r="CX80" i="3"/>
  <c r="CZ87" i="3"/>
  <c r="CX59" i="3"/>
  <c r="CZ19" i="3"/>
  <c r="CX83" i="3"/>
  <c r="CZ67" i="3"/>
  <c r="DA48" i="3"/>
  <c r="CX75" i="3"/>
  <c r="CZ56" i="3"/>
  <c r="CX52" i="3"/>
  <c r="DA80" i="3"/>
  <c r="DA52" i="3"/>
  <c r="CZ12" i="3"/>
  <c r="CZ101" i="3"/>
  <c r="CZ109" i="3"/>
  <c r="CZ75" i="3"/>
  <c r="CV89" i="3"/>
  <c r="DR53" i="3"/>
  <c r="DR93" i="3"/>
  <c r="CJ93" i="3"/>
  <c r="BB57" i="3"/>
  <c r="AA106" i="3"/>
  <c r="DI73" i="3"/>
  <c r="E74" i="14"/>
  <c r="CT83" i="3"/>
  <c r="CW67" i="3"/>
  <c r="CW7" i="3"/>
  <c r="CS64" i="3"/>
  <c r="Y109" i="3"/>
  <c r="CS56" i="3"/>
  <c r="CP59" i="3"/>
  <c r="CS32" i="3"/>
  <c r="CT51" i="3"/>
  <c r="CT103" i="3"/>
  <c r="CP84" i="3"/>
  <c r="CW79" i="3"/>
  <c r="CP100" i="3"/>
  <c r="CS87" i="3"/>
  <c r="CP36" i="3"/>
  <c r="Y110" i="3"/>
  <c r="CP63" i="3"/>
  <c r="CP28" i="3"/>
  <c r="CS67" i="3"/>
  <c r="CP92" i="3"/>
  <c r="CS79" i="3"/>
  <c r="CP83" i="3"/>
  <c r="CP91" i="3"/>
  <c r="CS52" i="3"/>
  <c r="CT40" i="3"/>
  <c r="BB91" i="3"/>
  <c r="CV91" i="3"/>
  <c r="CS7" i="3"/>
  <c r="CW92" i="3"/>
  <c r="DE97" i="3"/>
  <c r="BB12" i="3"/>
  <c r="CY12" i="3"/>
  <c r="CL36" i="3"/>
  <c r="CO12" i="3"/>
  <c r="CO84" i="3"/>
  <c r="CO44" i="3"/>
  <c r="DV97" i="3"/>
  <c r="DP45" i="3"/>
  <c r="CL55" i="3"/>
  <c r="CO64" i="3"/>
  <c r="CL24" i="3"/>
  <c r="C48" i="14"/>
  <c r="CW63" i="3"/>
  <c r="CF89" i="3"/>
  <c r="CN65" i="3"/>
  <c r="DE53" i="3"/>
  <c r="F69" i="14"/>
  <c r="CO40" i="3"/>
  <c r="CO72" i="3"/>
  <c r="CL83" i="3"/>
  <c r="CO43" i="3"/>
  <c r="CL7" i="3"/>
  <c r="BB83" i="3"/>
  <c r="DB83" i="3"/>
  <c r="CL67" i="3"/>
  <c r="CO20" i="3"/>
  <c r="G50" i="14"/>
  <c r="CO67" i="3"/>
  <c r="CL80" i="3"/>
  <c r="CO91" i="3"/>
  <c r="CO100" i="3"/>
  <c r="CL92" i="3"/>
  <c r="DP89" i="3"/>
  <c r="CV53" i="3"/>
  <c r="F57" i="14"/>
  <c r="CY65" i="3"/>
  <c r="DR65" i="3"/>
  <c r="DP53" i="3"/>
  <c r="F82" i="14"/>
  <c r="BB95" i="3"/>
  <c r="CV95" i="3"/>
  <c r="X109" i="3"/>
  <c r="CL104" i="3"/>
  <c r="BB15" i="3"/>
  <c r="CJ15" i="3"/>
  <c r="BB55" i="3"/>
  <c r="DV55" i="3"/>
  <c r="DM55" i="3"/>
  <c r="CT23" i="3"/>
  <c r="CT19" i="3"/>
  <c r="CW11" i="3"/>
  <c r="BB100" i="3"/>
  <c r="CT84" i="3"/>
  <c r="CN41" i="3"/>
  <c r="DM41" i="3"/>
  <c r="W109" i="3"/>
  <c r="CH16" i="3"/>
  <c r="CT90" i="3"/>
  <c r="CW6" i="3"/>
  <c r="BB78" i="3"/>
  <c r="CT6" i="3"/>
  <c r="CT8" i="3"/>
  <c r="CT106" i="3"/>
  <c r="BB34" i="3"/>
  <c r="DP34" i="3"/>
  <c r="BB54" i="3"/>
  <c r="DE54" i="3"/>
  <c r="CN53" i="3"/>
  <c r="F49" i="14"/>
  <c r="CH44" i="3"/>
  <c r="CH92" i="3"/>
  <c r="CK24" i="3"/>
  <c r="C46" i="14"/>
  <c r="DR41" i="3"/>
  <c r="CJ41" i="3"/>
  <c r="CT18" i="3"/>
  <c r="CD74" i="3"/>
  <c r="CD42" i="3"/>
  <c r="DV41" i="3"/>
  <c r="DP65" i="3"/>
  <c r="CR65" i="3"/>
  <c r="BB102" i="3"/>
  <c r="DB102" i="3"/>
  <c r="CT86" i="3"/>
  <c r="CR73" i="3"/>
  <c r="E53" i="14"/>
  <c r="CT98" i="3"/>
  <c r="CD34" i="3"/>
  <c r="CG6" i="3"/>
  <c r="CV41" i="3"/>
  <c r="BB26" i="3"/>
  <c r="DE26" i="3"/>
  <c r="BB18" i="3"/>
  <c r="DE18" i="3"/>
  <c r="V106" i="3"/>
  <c r="CW84" i="3"/>
  <c r="CW44" i="3"/>
  <c r="CG32" i="3"/>
  <c r="CG28" i="3"/>
  <c r="CG20" i="3"/>
  <c r="G42" i="14"/>
  <c r="CD16" i="3"/>
  <c r="CT4" i="3"/>
  <c r="BB4" i="3"/>
  <c r="CN4" i="3"/>
  <c r="CD4" i="3"/>
  <c r="DR5" i="3"/>
  <c r="DI5" i="3"/>
  <c r="CT100" i="3"/>
  <c r="CD100" i="3"/>
  <c r="CT92" i="3"/>
  <c r="BB92" i="3"/>
  <c r="DP92" i="3"/>
  <c r="CD80" i="3"/>
  <c r="CG80" i="3"/>
  <c r="CG72" i="3"/>
  <c r="BB72" i="3"/>
  <c r="DI72" i="3"/>
  <c r="CG64" i="3"/>
  <c r="CW64" i="3"/>
  <c r="CW56" i="3"/>
  <c r="BB56" i="3"/>
  <c r="CG48" i="3"/>
  <c r="CD48" i="3"/>
  <c r="CT48" i="3"/>
  <c r="CW24" i="3"/>
  <c r="C58" i="14"/>
  <c r="CT24" i="3"/>
  <c r="C56" i="14"/>
  <c r="CG56" i="3"/>
  <c r="BB44" i="3"/>
  <c r="CV44" i="3"/>
  <c r="BB60" i="3"/>
  <c r="DP60" i="3"/>
  <c r="DB97" i="3"/>
  <c r="CY97" i="3"/>
  <c r="DM5" i="3"/>
  <c r="CF93" i="3"/>
  <c r="CY93" i="3"/>
  <c r="CV93" i="3"/>
  <c r="CV96" i="3"/>
  <c r="DP93" i="3"/>
  <c r="CG100" i="3"/>
  <c r="CW72" i="3"/>
  <c r="BB64" i="3"/>
  <c r="DB64" i="3"/>
  <c r="CN49" i="3"/>
  <c r="CR49" i="3"/>
  <c r="CG103" i="3"/>
  <c r="CD103" i="3"/>
  <c r="CD104" i="3"/>
  <c r="L40" i="14"/>
  <c r="CW103" i="3"/>
  <c r="CD95" i="3"/>
  <c r="CW95" i="3"/>
  <c r="CD79" i="3"/>
  <c r="CD75" i="3"/>
  <c r="CG75" i="3"/>
  <c r="CT67" i="3"/>
  <c r="CG67" i="3"/>
  <c r="CG59" i="3"/>
  <c r="BB59" i="3"/>
  <c r="CV59" i="3"/>
  <c r="CG43" i="3"/>
  <c r="CG7" i="3"/>
  <c r="U106" i="3"/>
  <c r="CD7" i="3"/>
  <c r="CV97" i="3"/>
  <c r="CD67" i="3"/>
  <c r="CT31" i="3"/>
  <c r="BB99" i="3"/>
  <c r="DE99" i="3"/>
  <c r="CT87" i="3"/>
  <c r="CG68" i="3"/>
  <c r="CT55" i="3"/>
  <c r="CG27" i="3"/>
  <c r="BB103" i="3"/>
  <c r="CT95" i="3"/>
  <c r="DV93" i="3"/>
  <c r="DB5" i="3"/>
  <c r="E65" i="14"/>
  <c r="CF73" i="3"/>
  <c r="E41" i="14"/>
  <c r="U110" i="3"/>
  <c r="CD20" i="3"/>
  <c r="G40" i="14"/>
  <c r="CD56" i="3"/>
  <c r="CG99" i="3"/>
  <c r="CG60" i="3"/>
  <c r="CG52" i="3"/>
  <c r="CW52" i="3"/>
  <c r="CD36" i="3"/>
  <c r="CT36" i="3"/>
  <c r="CD12" i="3"/>
  <c r="CT12" i="3"/>
  <c r="CD52" i="3"/>
  <c r="CT91" i="3"/>
  <c r="CD91" i="3"/>
  <c r="CW83" i="3"/>
  <c r="CD83" i="3"/>
  <c r="CD63" i="3"/>
  <c r="BB63" i="3"/>
  <c r="CG63" i="3"/>
  <c r="BB47" i="3"/>
  <c r="CY47" i="3"/>
  <c r="CD47" i="3"/>
  <c r="CW47" i="3"/>
  <c r="CJ97" i="3"/>
  <c r="DP97" i="3"/>
  <c r="DM97" i="3"/>
  <c r="CN97" i="3"/>
  <c r="CG79" i="3"/>
  <c r="CG23" i="3"/>
  <c r="CT99" i="3"/>
  <c r="CD24" i="3"/>
  <c r="C40" i="14"/>
  <c r="CD92" i="3"/>
  <c r="CW68" i="3"/>
  <c r="DV49" i="3"/>
  <c r="CW36" i="3"/>
  <c r="CW100" i="3"/>
  <c r="CW91" i="3"/>
  <c r="CR93" i="3"/>
  <c r="CJ5" i="3"/>
  <c r="U108" i="3"/>
  <c r="U111" i="3"/>
  <c r="U115" i="3"/>
  <c r="CT7" i="3"/>
  <c r="CD28" i="3"/>
  <c r="DM65" i="3"/>
  <c r="DV65" i="3"/>
  <c r="CV65" i="3"/>
  <c r="DE65" i="3"/>
  <c r="CD55" i="3"/>
  <c r="CG19" i="3"/>
  <c r="U109" i="3"/>
  <c r="DM89" i="3"/>
  <c r="DR89" i="3"/>
  <c r="DI89" i="3"/>
  <c r="CG83" i="3"/>
  <c r="CW99" i="3"/>
  <c r="CG16" i="3"/>
  <c r="CT20" i="3"/>
  <c r="G56" i="14"/>
  <c r="BB31" i="3"/>
  <c r="DM31" i="3"/>
  <c r="DI31" i="3"/>
  <c r="BB40" i="3"/>
  <c r="DI40" i="3"/>
  <c r="BB36" i="3"/>
  <c r="CV36" i="3"/>
  <c r="BB24" i="3"/>
  <c r="DP24" i="3"/>
  <c r="C82" i="14"/>
  <c r="CW40" i="3"/>
  <c r="CT75" i="3"/>
  <c r="BA6" i="3"/>
  <c r="BL6" i="3"/>
  <c r="P108" i="3"/>
  <c r="CI38" i="3"/>
  <c r="CU38" i="3"/>
  <c r="BP6" i="3"/>
  <c r="DL82" i="3"/>
  <c r="DL102" i="3"/>
  <c r="K108" i="3"/>
  <c r="K110" i="3"/>
  <c r="K107" i="3"/>
  <c r="J110" i="3"/>
  <c r="J109" i="3"/>
  <c r="I108" i="3"/>
  <c r="I106" i="3"/>
  <c r="BA59" i="3"/>
  <c r="CE90" i="3"/>
  <c r="CI102" i="3"/>
  <c r="BS99" i="3"/>
  <c r="BV46" i="3"/>
  <c r="BQ19" i="3"/>
  <c r="G109" i="3"/>
  <c r="BA103" i="3"/>
  <c r="CE103" i="3"/>
  <c r="BA83" i="3"/>
  <c r="BR83" i="3"/>
  <c r="BA63" i="3"/>
  <c r="BN63" i="3"/>
  <c r="BA11" i="3"/>
  <c r="BT11" i="3"/>
  <c r="BV70" i="3"/>
  <c r="BN70" i="3"/>
  <c r="BZ70" i="3"/>
  <c r="CM58" i="3"/>
  <c r="CQ58" i="3"/>
  <c r="BX70" i="3"/>
  <c r="BX102" i="3"/>
  <c r="BN102" i="3"/>
  <c r="BV102" i="3"/>
  <c r="CE102" i="3"/>
  <c r="CQ102" i="3"/>
  <c r="BJ102" i="3"/>
  <c r="DL70" i="3"/>
  <c r="BZ102" i="3"/>
  <c r="CM102" i="3"/>
  <c r="DU10" i="3"/>
  <c r="BX10" i="3"/>
  <c r="BT70" i="3"/>
  <c r="DU90" i="3"/>
  <c r="CI90" i="3"/>
  <c r="BN90" i="3"/>
  <c r="BP90" i="3"/>
  <c r="CM90" i="3"/>
  <c r="BZ90" i="3"/>
  <c r="BR86" i="3"/>
  <c r="CB90" i="3"/>
  <c r="BJ58" i="3"/>
  <c r="BT102" i="3"/>
  <c r="CB102" i="3"/>
  <c r="BP82" i="3"/>
  <c r="DU70" i="3"/>
  <c r="BA61" i="3"/>
  <c r="DU61" i="3"/>
  <c r="BA57" i="3"/>
  <c r="CE57" i="3"/>
  <c r="BA25" i="3"/>
  <c r="DL25" i="3"/>
  <c r="BA17" i="3"/>
  <c r="BX17" i="3"/>
  <c r="BC97" i="3"/>
  <c r="BE97" i="3"/>
  <c r="BA92" i="3"/>
  <c r="CI92" i="3"/>
  <c r="DL92" i="3"/>
  <c r="BA4" i="3"/>
  <c r="CQ4" i="3"/>
  <c r="BT58" i="3"/>
  <c r="BP58" i="3"/>
  <c r="BR58" i="3"/>
  <c r="CB58" i="3"/>
  <c r="DL58" i="3"/>
  <c r="BV58" i="3"/>
  <c r="CU58" i="3"/>
  <c r="CE58" i="3"/>
  <c r="BX58" i="3"/>
  <c r="BA60" i="3"/>
  <c r="DU60" i="3"/>
  <c r="BL58" i="3"/>
  <c r="BA24" i="3"/>
  <c r="CM97" i="3"/>
  <c r="BX97" i="3"/>
  <c r="DL97" i="3"/>
  <c r="CB97" i="3"/>
  <c r="DU97" i="3"/>
  <c r="BL97" i="3"/>
  <c r="BP97" i="3"/>
  <c r="BR97" i="3"/>
  <c r="BJ97" i="3"/>
  <c r="CE82" i="3"/>
  <c r="CM82" i="3"/>
  <c r="CI82" i="3"/>
  <c r="E109" i="3"/>
  <c r="BA100" i="3"/>
  <c r="BR100" i="3"/>
  <c r="BA56" i="3"/>
  <c r="CB56" i="3"/>
  <c r="BM12" i="3"/>
  <c r="BA12" i="3"/>
  <c r="BP12" i="3"/>
  <c r="CI58" i="3"/>
  <c r="DU58" i="3"/>
  <c r="BZ58" i="3"/>
  <c r="CB94" i="3"/>
  <c r="DL90" i="3"/>
  <c r="BX90" i="3"/>
  <c r="CU90" i="3"/>
  <c r="BT26" i="3"/>
  <c r="BL90" i="3"/>
  <c r="CB70" i="3"/>
  <c r="BP70" i="3"/>
  <c r="CE70" i="3"/>
  <c r="E106" i="3"/>
  <c r="BM103" i="3"/>
  <c r="BV90" i="3"/>
  <c r="BT90" i="3"/>
  <c r="BJ90" i="3"/>
  <c r="CQ90" i="3"/>
  <c r="BL26" i="3"/>
  <c r="CM70" i="3"/>
  <c r="BL70" i="3"/>
  <c r="BJ70" i="3"/>
  <c r="BA84" i="3"/>
  <c r="BL84" i="3"/>
  <c r="BA64" i="3"/>
  <c r="CB64" i="3"/>
  <c r="BA52" i="3"/>
  <c r="BP52" i="3"/>
  <c r="BA93" i="3"/>
  <c r="BJ93" i="3"/>
  <c r="CU53" i="3"/>
  <c r="BP53" i="3"/>
  <c r="F18" i="14"/>
  <c r="BZ53" i="3"/>
  <c r="F33" i="14"/>
  <c r="BR53" i="3"/>
  <c r="F21" i="14"/>
  <c r="CB53" i="3"/>
  <c r="F36" i="14"/>
  <c r="CQ53" i="3"/>
  <c r="CE53" i="3"/>
  <c r="CM53" i="3"/>
  <c r="BV53" i="3"/>
  <c r="F27" i="14"/>
  <c r="BX46" i="3"/>
  <c r="CB46" i="3"/>
  <c r="BL46" i="3"/>
  <c r="BN46" i="3"/>
  <c r="DU46" i="3"/>
  <c r="DU53" i="3"/>
  <c r="DL53" i="3"/>
  <c r="BP46" i="3"/>
  <c r="CE26" i="3"/>
  <c r="DU26" i="3"/>
  <c r="BA65" i="3"/>
  <c r="BK64" i="3"/>
  <c r="BK53" i="3"/>
  <c r="F10" i="14"/>
  <c r="BJ53" i="3"/>
  <c r="F9" i="14"/>
  <c r="BK45" i="3"/>
  <c r="BT53" i="3"/>
  <c r="F24" i="14"/>
  <c r="BX53" i="3"/>
  <c r="F30" i="14"/>
  <c r="CI53" i="3"/>
  <c r="BA81" i="3"/>
  <c r="CB81" i="3"/>
  <c r="BA85" i="3"/>
  <c r="DU85" i="3"/>
  <c r="BK40" i="3"/>
  <c r="BA40" i="3"/>
  <c r="BC40" i="3"/>
  <c r="BE40" i="3"/>
  <c r="BL53" i="3"/>
  <c r="F12" i="14"/>
  <c r="CU46" i="3"/>
  <c r="BN86" i="3"/>
  <c r="BA13" i="3"/>
  <c r="DL13" i="3"/>
  <c r="BV10" i="3"/>
  <c r="BN10" i="3"/>
  <c r="BA45" i="3"/>
  <c r="CM45" i="3"/>
  <c r="DV10" i="3"/>
  <c r="DR37" i="3"/>
  <c r="DP37" i="3"/>
  <c r="DE37" i="3"/>
  <c r="CJ37" i="3"/>
  <c r="DV37" i="3"/>
  <c r="DM37" i="3"/>
  <c r="CR37" i="3"/>
  <c r="DB37" i="3"/>
  <c r="DI37" i="3"/>
  <c r="DF14" i="3"/>
  <c r="DD14" i="3"/>
  <c r="BS23" i="3"/>
  <c r="BB23" i="3"/>
  <c r="CV23" i="3"/>
  <c r="DF33" i="3"/>
  <c r="DD33" i="3"/>
  <c r="BQ36" i="3"/>
  <c r="BA36" i="3"/>
  <c r="BP36" i="3"/>
  <c r="BU39" i="3"/>
  <c r="BA39" i="3"/>
  <c r="DN76" i="3"/>
  <c r="CX77" i="3"/>
  <c r="CZ77" i="3"/>
  <c r="BB77" i="3"/>
  <c r="BJ38" i="3"/>
  <c r="BT86" i="3"/>
  <c r="CB86" i="3"/>
  <c r="DL86" i="3"/>
  <c r="BJ86" i="3"/>
  <c r="CI86" i="3"/>
  <c r="BV86" i="3"/>
  <c r="DU86" i="3"/>
  <c r="BP10" i="3"/>
  <c r="CB10" i="3"/>
  <c r="CE10" i="3"/>
  <c r="BZ10" i="3"/>
  <c r="AJ107" i="3"/>
  <c r="BA37" i="3"/>
  <c r="BB20" i="3"/>
  <c r="DP20" i="3"/>
  <c r="G82" i="14"/>
  <c r="Z107" i="3"/>
  <c r="BB14" i="3"/>
  <c r="CF14" i="3"/>
  <c r="CS19" i="3"/>
  <c r="CP19" i="3"/>
  <c r="AM107" i="3"/>
  <c r="DK21" i="3"/>
  <c r="CL22" i="3"/>
  <c r="BA23" i="3"/>
  <c r="BM29" i="3"/>
  <c r="BA29" i="3"/>
  <c r="CE29" i="3"/>
  <c r="BB29" i="3"/>
  <c r="CV29" i="3"/>
  <c r="CT29" i="3"/>
  <c r="CD29" i="3"/>
  <c r="BW31" i="3"/>
  <c r="CW31" i="3"/>
  <c r="CC32" i="3"/>
  <c r="CL32" i="3"/>
  <c r="CO32" i="3"/>
  <c r="CT32" i="3"/>
  <c r="DA32" i="3"/>
  <c r="CX32" i="3"/>
  <c r="CZ32" i="3"/>
  <c r="I107" i="3"/>
  <c r="BO55" i="3"/>
  <c r="BA55" i="3"/>
  <c r="BN55" i="3"/>
  <c r="CA76" i="3"/>
  <c r="BA76" i="3"/>
  <c r="CG76" i="3"/>
  <c r="CW76" i="3"/>
  <c r="BB76" i="3"/>
  <c r="CF76" i="3"/>
  <c r="CV76" i="3"/>
  <c r="BB98" i="3"/>
  <c r="DQ87" i="3"/>
  <c r="DO87" i="3"/>
  <c r="BB87" i="3"/>
  <c r="DQ56" i="3"/>
  <c r="AR107" i="3"/>
  <c r="BB82" i="3"/>
  <c r="CV82" i="3"/>
  <c r="DS48" i="3"/>
  <c r="DT74" i="3"/>
  <c r="CP74" i="3"/>
  <c r="DK74" i="3"/>
  <c r="CL74" i="3"/>
  <c r="DH74" i="3"/>
  <c r="CT74" i="3"/>
  <c r="DD74" i="3"/>
  <c r="DO66" i="3"/>
  <c r="DT66" i="3"/>
  <c r="CX66" i="3"/>
  <c r="CP66" i="3"/>
  <c r="DK66" i="3"/>
  <c r="CT66" i="3"/>
  <c r="CD66" i="3"/>
  <c r="CH66" i="3"/>
  <c r="CL66" i="3"/>
  <c r="DT58" i="3"/>
  <c r="DO58" i="3"/>
  <c r="DH58" i="3"/>
  <c r="CX58" i="3"/>
  <c r="CL58" i="3"/>
  <c r="DD58" i="3"/>
  <c r="DO50" i="3"/>
  <c r="DT50" i="3"/>
  <c r="DH50" i="3"/>
  <c r="DK50" i="3"/>
  <c r="CP50" i="3"/>
  <c r="CX50" i="3"/>
  <c r="CH50" i="3"/>
  <c r="CD50" i="3"/>
  <c r="CL50" i="3"/>
  <c r="DT39" i="3"/>
  <c r="DO39" i="3"/>
  <c r="DD39" i="3"/>
  <c r="CH39" i="3"/>
  <c r="CL39" i="3"/>
  <c r="DK39" i="3"/>
  <c r="DT31" i="3"/>
  <c r="DO31" i="3"/>
  <c r="CD31" i="3"/>
  <c r="CX31" i="3"/>
  <c r="CL31" i="3"/>
  <c r="CH23" i="3"/>
  <c r="CL23" i="3"/>
  <c r="DD23" i="3"/>
  <c r="CP23" i="3"/>
  <c r="DK23" i="3"/>
  <c r="DO23" i="3"/>
  <c r="DW24" i="3"/>
  <c r="C85" i="14"/>
  <c r="DT24" i="3"/>
  <c r="BJ10" i="3"/>
  <c r="CI10" i="3"/>
  <c r="BT10" i="3"/>
  <c r="CM86" i="3"/>
  <c r="CY45" i="3"/>
  <c r="CE46" i="3"/>
  <c r="BZ46" i="3"/>
  <c r="BJ46" i="3"/>
  <c r="CM46" i="3"/>
  <c r="BT46" i="3"/>
  <c r="DL46" i="3"/>
  <c r="BR46" i="3"/>
  <c r="DH31" i="3"/>
  <c r="CI46" i="3"/>
  <c r="DG31" i="3"/>
  <c r="O107" i="3"/>
  <c r="O111" i="3"/>
  <c r="O115" i="3"/>
  <c r="AG107" i="3"/>
  <c r="CT50" i="3"/>
  <c r="BP26" i="3"/>
  <c r="CM26" i="3"/>
  <c r="BA33" i="3"/>
  <c r="BT33" i="3"/>
  <c r="CZ11" i="3"/>
  <c r="CG13" i="3"/>
  <c r="CV13" i="3"/>
  <c r="CD13" i="3"/>
  <c r="CF13" i="3"/>
  <c r="CT13" i="3"/>
  <c r="BA14" i="3"/>
  <c r="BW15" i="3"/>
  <c r="DD35" i="3"/>
  <c r="DF35" i="3"/>
  <c r="DG35" i="3"/>
  <c r="BQ16" i="3"/>
  <c r="BA16" i="3"/>
  <c r="BB16" i="3"/>
  <c r="CV16" i="3"/>
  <c r="CW16" i="3"/>
  <c r="CC28" i="3"/>
  <c r="BA28" i="3"/>
  <c r="CT28" i="3"/>
  <c r="CW28" i="3"/>
  <c r="CL28" i="3"/>
  <c r="CZ28" i="3"/>
  <c r="CX28" i="3"/>
  <c r="CP30" i="3"/>
  <c r="CT30" i="3"/>
  <c r="CW30" i="3"/>
  <c r="CZ30" i="3"/>
  <c r="BA31" i="3"/>
  <c r="BR31" i="3"/>
  <c r="CH31" i="3"/>
  <c r="CK31" i="3"/>
  <c r="DA39" i="3"/>
  <c r="CX39" i="3"/>
  <c r="CZ39" i="3"/>
  <c r="CW43" i="3"/>
  <c r="CK43" i="3"/>
  <c r="BB43" i="3"/>
  <c r="DB43" i="3"/>
  <c r="DF50" i="3"/>
  <c r="DD50" i="3"/>
  <c r="BY51" i="3"/>
  <c r="BA51" i="3"/>
  <c r="BX51" i="3"/>
  <c r="CD51" i="3"/>
  <c r="CW51" i="3"/>
  <c r="CG51" i="3"/>
  <c r="BB51" i="3"/>
  <c r="CR51" i="3"/>
  <c r="CP51" i="3"/>
  <c r="DN51" i="3"/>
  <c r="DK51" i="3"/>
  <c r="CH52" i="3"/>
  <c r="BB52" i="3"/>
  <c r="CT52" i="3"/>
  <c r="BA54" i="3"/>
  <c r="BA62" i="3"/>
  <c r="CC69" i="3"/>
  <c r="BA69" i="3"/>
  <c r="BP81" i="3"/>
  <c r="CZ16" i="3"/>
  <c r="DA16" i="3"/>
  <c r="CX16" i="3"/>
  <c r="CP20" i="3"/>
  <c r="G52" i="14"/>
  <c r="CS20" i="3"/>
  <c r="G54" i="14"/>
  <c r="CH22" i="3"/>
  <c r="CT22" i="3"/>
  <c r="BB22" i="3"/>
  <c r="CN22" i="3"/>
  <c r="W107" i="3"/>
  <c r="W111" i="3"/>
  <c r="W115" i="3"/>
  <c r="DH22" i="3"/>
  <c r="DJ22" i="3"/>
  <c r="BA34" i="3"/>
  <c r="BR34" i="3"/>
  <c r="CL37" i="3"/>
  <c r="CV37" i="3"/>
  <c r="CN37" i="3"/>
  <c r="CW37" i="3"/>
  <c r="BX38" i="3"/>
  <c r="CE38" i="3"/>
  <c r="BZ38" i="3"/>
  <c r="BV38" i="3"/>
  <c r="CQ38" i="3"/>
  <c r="BT38" i="3"/>
  <c r="DU38" i="3"/>
  <c r="BL38" i="3"/>
  <c r="CB38" i="3"/>
  <c r="BP38" i="3"/>
  <c r="BA77" i="3"/>
  <c r="BR77" i="3"/>
  <c r="DM69" i="3"/>
  <c r="DV69" i="3"/>
  <c r="DI45" i="3"/>
  <c r="G107" i="3"/>
  <c r="CY13" i="3"/>
  <c r="CJ13" i="3"/>
  <c r="AD107" i="3"/>
  <c r="CD19" i="3"/>
  <c r="CW19" i="3"/>
  <c r="BA21" i="3"/>
  <c r="CG21" i="3"/>
  <c r="CD21" i="3"/>
  <c r="BB21" i="3"/>
  <c r="DE21" i="3"/>
  <c r="DF21" i="3"/>
  <c r="DD21" i="3"/>
  <c r="BA22" i="3"/>
  <c r="DL22" i="3"/>
  <c r="DK22" i="3"/>
  <c r="DK30" i="3"/>
  <c r="CS31" i="3"/>
  <c r="CP31" i="3"/>
  <c r="BA32" i="3"/>
  <c r="DF32" i="3"/>
  <c r="DG32" i="3"/>
  <c r="BB33" i="3"/>
  <c r="CH33" i="3"/>
  <c r="E31" i="14"/>
  <c r="BA73" i="3"/>
  <c r="BX73" i="3"/>
  <c r="E30" i="14"/>
  <c r="BO72" i="3"/>
  <c r="BA72" i="3"/>
  <c r="AO107" i="3"/>
  <c r="AO109" i="3"/>
  <c r="DQ7" i="3"/>
  <c r="BB7" i="3"/>
  <c r="DP7" i="3"/>
  <c r="DO7" i="3"/>
  <c r="AP106" i="3"/>
  <c r="BB79" i="3"/>
  <c r="DP79" i="3"/>
  <c r="DO79" i="3"/>
  <c r="DO20" i="3"/>
  <c r="G81" i="14"/>
  <c r="DQ20" i="3"/>
  <c r="G83" i="14"/>
  <c r="DO10" i="3"/>
  <c r="AP107" i="3"/>
  <c r="AR109" i="3"/>
  <c r="BB74" i="3"/>
  <c r="DR74" i="3"/>
  <c r="AY106" i="3"/>
  <c r="DK70" i="3"/>
  <c r="CH70" i="3"/>
  <c r="CP70" i="3"/>
  <c r="DH70" i="3"/>
  <c r="DO70" i="3"/>
  <c r="CL70" i="3"/>
  <c r="DT62" i="3"/>
  <c r="DH62" i="3"/>
  <c r="CT62" i="3"/>
  <c r="DD62" i="3"/>
  <c r="CD62" i="3"/>
  <c r="CP62" i="3"/>
  <c r="CL62" i="3"/>
  <c r="DK62" i="3"/>
  <c r="CX62" i="3"/>
  <c r="CH62" i="3"/>
  <c r="DT54" i="3"/>
  <c r="DH54" i="3"/>
  <c r="CD54" i="3"/>
  <c r="DK54" i="3"/>
  <c r="CL54" i="3"/>
  <c r="CH54" i="3"/>
  <c r="DO54" i="3"/>
  <c r="CT54" i="3"/>
  <c r="DT46" i="3"/>
  <c r="DD46" i="3"/>
  <c r="CP46" i="3"/>
  <c r="CX46" i="3"/>
  <c r="CL46" i="3"/>
  <c r="DK46" i="3"/>
  <c r="CD46" i="3"/>
  <c r="DO35" i="3"/>
  <c r="DT35" i="3"/>
  <c r="CH35" i="3"/>
  <c r="CD35" i="3"/>
  <c r="CX35" i="3"/>
  <c r="DK35" i="3"/>
  <c r="CP35" i="3"/>
  <c r="DO27" i="3"/>
  <c r="DH27" i="3"/>
  <c r="CX27" i="3"/>
  <c r="CP27" i="3"/>
  <c r="DD19" i="3"/>
  <c r="CX19" i="3"/>
  <c r="CH19" i="3"/>
  <c r="DW19" i="3"/>
  <c r="DT19" i="3"/>
  <c r="CR13" i="3"/>
  <c r="DV13" i="3"/>
  <c r="BR10" i="3"/>
  <c r="CI81" i="3"/>
  <c r="CQ86" i="3"/>
  <c r="DL38" i="3"/>
  <c r="CM38" i="3"/>
  <c r="CF69" i="3"/>
  <c r="AR108" i="3"/>
  <c r="DK38" i="3"/>
  <c r="CW23" i="3"/>
  <c r="CW75" i="3"/>
  <c r="BB19" i="3"/>
  <c r="CV19" i="3"/>
  <c r="U107" i="3"/>
  <c r="CH46" i="3"/>
  <c r="BA18" i="3"/>
  <c r="P107" i="3"/>
  <c r="CT27" i="3"/>
  <c r="BA30" i="3"/>
  <c r="DL30" i="3"/>
  <c r="CH27" i="3"/>
  <c r="BA9" i="3"/>
  <c r="BP9" i="3"/>
  <c r="J107" i="3"/>
  <c r="J111" i="3"/>
  <c r="J115" i="3"/>
  <c r="AA107" i="3"/>
  <c r="AA111" i="3"/>
  <c r="AA115" i="3"/>
  <c r="AE107" i="3"/>
  <c r="AE111" i="3"/>
  <c r="AE115" i="3"/>
  <c r="BL10" i="3"/>
  <c r="H107" i="3"/>
  <c r="CL10" i="3"/>
  <c r="CM10" i="3"/>
  <c r="CU10" i="3"/>
  <c r="CT10" i="3"/>
  <c r="AK107" i="3"/>
  <c r="CD11" i="3"/>
  <c r="CG11" i="3"/>
  <c r="BB11" i="3"/>
  <c r="V107" i="3"/>
  <c r="CT11" i="3"/>
  <c r="CP11" i="3"/>
  <c r="Y107" i="3"/>
  <c r="BA15" i="3"/>
  <c r="BM15" i="3"/>
  <c r="CA39" i="3"/>
  <c r="BB39" i="3"/>
  <c r="CY39" i="3"/>
  <c r="BB42" i="3"/>
  <c r="CV42" i="3"/>
  <c r="BU43" i="3"/>
  <c r="DC43" i="3"/>
  <c r="BY44" i="3"/>
  <c r="BA44" i="3"/>
  <c r="CQ44" i="3"/>
  <c r="CT44" i="3"/>
  <c r="CG44" i="3"/>
  <c r="CD44" i="3"/>
  <c r="CP44" i="3"/>
  <c r="CS44" i="3"/>
  <c r="DN44" i="3"/>
  <c r="DK44" i="3"/>
  <c r="CV45" i="3"/>
  <c r="CD45" i="3"/>
  <c r="CA48" i="3"/>
  <c r="BA48" i="3"/>
  <c r="BZ48" i="3"/>
  <c r="BW49" i="3"/>
  <c r="DF101" i="3"/>
  <c r="R107" i="3"/>
  <c r="BB9" i="3"/>
  <c r="DE9" i="3"/>
  <c r="CT9" i="3"/>
  <c r="CL9" i="3"/>
  <c r="X107" i="3"/>
  <c r="X111" i="3"/>
  <c r="X115" i="3"/>
  <c r="AB107" i="3"/>
  <c r="AB111" i="3"/>
  <c r="AB115" i="3"/>
  <c r="CZ9" i="3"/>
  <c r="CX9" i="3"/>
  <c r="AF107" i="3"/>
  <c r="CT16" i="3"/>
  <c r="DJ16" i="3"/>
  <c r="DH16" i="3"/>
  <c r="DJ17" i="3"/>
  <c r="DH17" i="3"/>
  <c r="BB17" i="3"/>
  <c r="CY17" i="3"/>
  <c r="CH18" i="3"/>
  <c r="DH19" i="3"/>
  <c r="DJ19" i="3"/>
  <c r="BA20" i="3"/>
  <c r="BX20" i="3"/>
  <c r="G30" i="14"/>
  <c r="CD23" i="3"/>
  <c r="DF24" i="3"/>
  <c r="C70" i="14"/>
  <c r="DD24" i="3"/>
  <c r="C68" i="14"/>
  <c r="CH26" i="3"/>
  <c r="DK26" i="3"/>
  <c r="BQ27" i="3"/>
  <c r="BA27" i="3"/>
  <c r="BB27" i="3"/>
  <c r="CT41" i="3"/>
  <c r="BA42" i="3"/>
  <c r="CE42" i="3"/>
  <c r="CZ43" i="3"/>
  <c r="DA43" i="3"/>
  <c r="CA47" i="3"/>
  <c r="CO47" i="3"/>
  <c r="CT47" i="3"/>
  <c r="BB48" i="3"/>
  <c r="DR48" i="3"/>
  <c r="BA49" i="3"/>
  <c r="BV49" i="3"/>
  <c r="DI49" i="3"/>
  <c r="CJ49" i="3"/>
  <c r="CY49" i="3"/>
  <c r="DM49" i="3"/>
  <c r="BB50" i="3"/>
  <c r="DJ60" i="3"/>
  <c r="CL61" i="3"/>
  <c r="CT61" i="3"/>
  <c r="DN68" i="3"/>
  <c r="DK68" i="3"/>
  <c r="BB68" i="3"/>
  <c r="BB70" i="3"/>
  <c r="CT70" i="3"/>
  <c r="CU70" i="3"/>
  <c r="CK71" i="3"/>
  <c r="BB71" i="3"/>
  <c r="CH71" i="3"/>
  <c r="CW71" i="3"/>
  <c r="BA78" i="3"/>
  <c r="CA79" i="3"/>
  <c r="BA79" i="3"/>
  <c r="CT80" i="3"/>
  <c r="CW80" i="3"/>
  <c r="BB80" i="3"/>
  <c r="DG80" i="3"/>
  <c r="DF80" i="3"/>
  <c r="DD80" i="3"/>
  <c r="BB81" i="3"/>
  <c r="CT81" i="3"/>
  <c r="CD81" i="3"/>
  <c r="BM91" i="3"/>
  <c r="BA91" i="3"/>
  <c r="E108" i="3"/>
  <c r="DJ94" i="3"/>
  <c r="BB94" i="3"/>
  <c r="DH94" i="3"/>
  <c r="CN73" i="3"/>
  <c r="E49" i="14"/>
  <c r="CY73" i="3"/>
  <c r="E61" i="14"/>
  <c r="CV73" i="3"/>
  <c r="E57" i="14"/>
  <c r="DR73" i="3"/>
  <c r="CJ73" i="3"/>
  <c r="E45" i="14"/>
  <c r="DM73" i="3"/>
  <c r="E78" i="14"/>
  <c r="DE73" i="3"/>
  <c r="E69" i="14"/>
  <c r="DV73" i="3"/>
  <c r="CT26" i="3"/>
  <c r="DJ8" i="3"/>
  <c r="CP110" i="3"/>
  <c r="DJ11" i="3"/>
  <c r="DH11" i="3"/>
  <c r="CT14" i="3"/>
  <c r="CT15" i="3"/>
  <c r="CW15" i="3"/>
  <c r="CO35" i="3"/>
  <c r="CT35" i="3"/>
  <c r="CL35" i="3"/>
  <c r="BB35" i="3"/>
  <c r="DC16" i="3"/>
  <c r="AI107" i="3"/>
  <c r="CH32" i="3"/>
  <c r="BB32" i="3"/>
  <c r="CY32" i="3"/>
  <c r="CW32" i="3"/>
  <c r="CP33" i="3"/>
  <c r="CS33" i="3"/>
  <c r="BB38" i="3"/>
  <c r="CV38" i="3"/>
  <c r="DJ38" i="3"/>
  <c r="DH38" i="3"/>
  <c r="CD39" i="3"/>
  <c r="CT39" i="3"/>
  <c r="CW39" i="3"/>
  <c r="DJ39" i="3"/>
  <c r="DH39" i="3"/>
  <c r="DJ57" i="3"/>
  <c r="DJ88" i="3"/>
  <c r="DJ107" i="3"/>
  <c r="DH57" i="3"/>
  <c r="DJ77" i="3"/>
  <c r="DH77" i="3"/>
  <c r="DB53" i="3"/>
  <c r="F65" i="14"/>
  <c r="CF53" i="3"/>
  <c r="F41" i="14"/>
  <c r="CY53" i="3"/>
  <c r="F61" i="14"/>
  <c r="DB93" i="3"/>
  <c r="DB65" i="3"/>
  <c r="AN107" i="3"/>
  <c r="AN111" i="3"/>
  <c r="AN115" i="3"/>
  <c r="CH11" i="3"/>
  <c r="CK11" i="3"/>
  <c r="CW12" i="3"/>
  <c r="CG12" i="3"/>
  <c r="DI13" i="3"/>
  <c r="CZ17" i="3"/>
  <c r="DF17" i="3"/>
  <c r="CW20" i="3"/>
  <c r="G58" i="14"/>
  <c r="DN20" i="3"/>
  <c r="G79" i="14"/>
  <c r="DK20" i="3"/>
  <c r="G77" i="14"/>
  <c r="CL26" i="3"/>
  <c r="DF36" i="3"/>
  <c r="DG36" i="3"/>
  <c r="CF37" i="3"/>
  <c r="CT37" i="3"/>
  <c r="CY37" i="3"/>
  <c r="F68" i="14"/>
  <c r="DF53" i="3"/>
  <c r="F70" i="14"/>
  <c r="F79" i="14"/>
  <c r="DK53" i="3"/>
  <c r="F77" i="14"/>
  <c r="BA67" i="3"/>
  <c r="S111" i="3"/>
  <c r="S115" i="3"/>
  <c r="CZ8" i="3"/>
  <c r="F108" i="3"/>
  <c r="BA89" i="3"/>
  <c r="L107" i="3"/>
  <c r="CH12" i="3"/>
  <c r="CK12" i="3"/>
  <c r="CG40" i="3"/>
  <c r="CD40" i="3"/>
  <c r="DK41" i="3"/>
  <c r="DJ52" i="3"/>
  <c r="F56" i="14"/>
  <c r="F58" i="14"/>
  <c r="CZ64" i="3"/>
  <c r="DA64" i="3"/>
  <c r="CG55" i="3"/>
  <c r="CW55" i="3"/>
  <c r="DA55" i="3"/>
  <c r="CZ55" i="3"/>
  <c r="CT58" i="3"/>
  <c r="CS60" i="3"/>
  <c r="CW60" i="3"/>
  <c r="DJ61" i="3"/>
  <c r="DH61" i="3"/>
  <c r="DD66" i="3"/>
  <c r="BB66" i="3"/>
  <c r="DC67" i="3"/>
  <c r="BB67" i="3"/>
  <c r="DB67" i="3"/>
  <c r="DF75" i="3"/>
  <c r="DD75" i="3"/>
  <c r="CK77" i="3"/>
  <c r="CT82" i="3"/>
  <c r="CH82" i="3"/>
  <c r="DD83" i="3"/>
  <c r="DF83" i="3"/>
  <c r="DG83" i="3"/>
  <c r="CD84" i="3"/>
  <c r="BB84" i="3"/>
  <c r="CF84" i="3"/>
  <c r="CG84" i="3"/>
  <c r="BO87" i="3"/>
  <c r="BA87" i="3"/>
  <c r="BQ91" i="3"/>
  <c r="G108" i="3"/>
  <c r="BK95" i="3"/>
  <c r="D96" i="3"/>
  <c r="BS7" i="3"/>
  <c r="CX104" i="3"/>
  <c r="L60" i="14"/>
  <c r="BA50" i="3"/>
  <c r="CU50" i="3"/>
  <c r="DJ10" i="3"/>
  <c r="DH10" i="3"/>
  <c r="DH35" i="3"/>
  <c r="CX23" i="3"/>
  <c r="DA23" i="3"/>
  <c r="BB30" i="3"/>
  <c r="DR30" i="3"/>
  <c r="DD38" i="3"/>
  <c r="CP39" i="3"/>
  <c r="CS39" i="3"/>
  <c r="DK42" i="3"/>
  <c r="CW48" i="3"/>
  <c r="CL59" i="3"/>
  <c r="CO59" i="3"/>
  <c r="CA71" i="3"/>
  <c r="BA71" i="3"/>
  <c r="CU71" i="3"/>
  <c r="BW75" i="3"/>
  <c r="BA75" i="3"/>
  <c r="DJ92" i="3"/>
  <c r="DJ96" i="3"/>
  <c r="DH92" i="3"/>
  <c r="DD95" i="3"/>
  <c r="DG95" i="3"/>
  <c r="L109" i="3"/>
  <c r="DG100" i="3"/>
  <c r="DD100" i="3"/>
  <c r="BY99" i="3"/>
  <c r="K109" i="3"/>
  <c r="K111" i="3"/>
  <c r="K115" i="3"/>
  <c r="CG35" i="3"/>
  <c r="CT71" i="3"/>
  <c r="CK25" i="3"/>
  <c r="CH25" i="3"/>
  <c r="AO106" i="3"/>
  <c r="CI70" i="3"/>
  <c r="BR70" i="3"/>
  <c r="CQ70" i="3"/>
  <c r="CZ15" i="3"/>
  <c r="CX15" i="3"/>
  <c r="CW35" i="3"/>
  <c r="CL19" i="3"/>
  <c r="DK19" i="3"/>
  <c r="DK27" i="3"/>
  <c r="DK31" i="3"/>
  <c r="DF42" i="3"/>
  <c r="DD42" i="3"/>
  <c r="DH46" i="3"/>
  <c r="DD54" i="3"/>
  <c r="CZ60" i="3"/>
  <c r="DA60" i="3"/>
  <c r="BM68" i="3"/>
  <c r="BA68" i="3"/>
  <c r="CU68" i="3"/>
  <c r="CD70" i="3"/>
  <c r="DN81" i="3"/>
  <c r="DK81" i="3"/>
  <c r="CP89" i="3"/>
  <c r="Y108" i="3"/>
  <c r="CA90" i="3"/>
  <c r="O108" i="3"/>
  <c r="CP98" i="3"/>
  <c r="DK98" i="3"/>
  <c r="DK101" i="3"/>
  <c r="DK5" i="3"/>
  <c r="AM106" i="3"/>
  <c r="CX4" i="3"/>
  <c r="CP54" i="3"/>
  <c r="CD58" i="3"/>
  <c r="DH66" i="3"/>
  <c r="CX71" i="3"/>
  <c r="CZ71" i="3"/>
  <c r="CT25" i="3"/>
  <c r="DO62" i="3"/>
  <c r="DO19" i="3"/>
  <c r="BD108" i="3"/>
  <c r="BD96" i="3"/>
  <c r="BG8" i="3"/>
  <c r="DT5" i="3"/>
  <c r="CX5" i="3"/>
  <c r="DO5" i="3"/>
  <c r="BG106" i="3"/>
  <c r="DO85" i="3"/>
  <c r="DK85" i="3"/>
  <c r="DW68" i="3"/>
  <c r="DT68" i="3"/>
  <c r="DT48" i="3"/>
  <c r="DW48" i="3"/>
  <c r="DT30" i="3"/>
  <c r="DT27" i="3"/>
  <c r="DW27" i="3"/>
  <c r="DW23" i="3"/>
  <c r="DT23" i="3"/>
  <c r="DT18" i="3"/>
  <c r="CL27" i="3"/>
  <c r="CT63" i="3"/>
  <c r="CX74" i="3"/>
  <c r="BB75" i="3"/>
  <c r="CD90" i="3"/>
  <c r="DY104" i="3"/>
  <c r="DQ36" i="3"/>
  <c r="DO36" i="3"/>
  <c r="AT107" i="3"/>
  <c r="AT111" i="3"/>
  <c r="AT115" i="3"/>
  <c r="AV109" i="3"/>
  <c r="AV110" i="3"/>
  <c r="AW110" i="3"/>
  <c r="AW111" i="3"/>
  <c r="AW115" i="3"/>
  <c r="BD107" i="3"/>
  <c r="BD88" i="3"/>
  <c r="AH106" i="3"/>
  <c r="AH111" i="3"/>
  <c r="AH115" i="3"/>
  <c r="H110" i="3"/>
  <c r="DQ68" i="3"/>
  <c r="AS110" i="3"/>
  <c r="DQ76" i="3"/>
  <c r="DO46" i="3"/>
  <c r="AX107" i="3"/>
  <c r="AX111" i="3"/>
  <c r="AX115" i="3"/>
  <c r="DO52" i="3"/>
  <c r="DQ52" i="3"/>
  <c r="AV108" i="3"/>
  <c r="DT78" i="3"/>
  <c r="DT71" i="3"/>
  <c r="DT59" i="3"/>
  <c r="DT55" i="3"/>
  <c r="DT51" i="3"/>
  <c r="AU107" i="3"/>
  <c r="AU111" i="3"/>
  <c r="AU115" i="3"/>
  <c r="AV106" i="3"/>
  <c r="AX108" i="3"/>
  <c r="AY107" i="3"/>
  <c r="AZ108" i="3"/>
  <c r="AZ111" i="3"/>
  <c r="AZ115" i="3"/>
  <c r="BD109" i="3"/>
  <c r="DT82" i="3"/>
  <c r="DO82" i="3"/>
  <c r="BG101" i="3"/>
  <c r="DT70" i="3"/>
  <c r="AS111" i="3"/>
  <c r="AS115" i="3"/>
  <c r="CP101" i="3"/>
  <c r="K52" i="14"/>
  <c r="DI53" i="3"/>
  <c r="F74" i="14"/>
  <c r="V111" i="3"/>
  <c r="V115" i="3"/>
  <c r="AK111" i="3"/>
  <c r="AK115" i="3"/>
  <c r="DP69" i="3"/>
  <c r="K62" i="14"/>
  <c r="DB45" i="3"/>
  <c r="CR69" i="3"/>
  <c r="CN69" i="3"/>
  <c r="CU26" i="3"/>
  <c r="Z111" i="3"/>
  <c r="Z115" i="3"/>
  <c r="CI26" i="3"/>
  <c r="BX26" i="3"/>
  <c r="CB26" i="3"/>
  <c r="BN94" i="3"/>
  <c r="CB82" i="3"/>
  <c r="BX82" i="3"/>
  <c r="BR26" i="3"/>
  <c r="CE94" i="3"/>
  <c r="DL94" i="3"/>
  <c r="CN5" i="3"/>
  <c r="CV5" i="3"/>
  <c r="CR53" i="3"/>
  <c r="F53" i="14"/>
  <c r="DV53" i="3"/>
  <c r="AL111" i="3"/>
  <c r="AL115" i="3"/>
  <c r="M111" i="3"/>
  <c r="M115" i="3"/>
  <c r="AD111" i="3"/>
  <c r="AD115" i="3"/>
  <c r="DE69" i="3"/>
  <c r="DB69" i="3"/>
  <c r="BV94" i="3"/>
  <c r="DM58" i="3"/>
  <c r="DU94" i="3"/>
  <c r="CF45" i="3"/>
  <c r="DE45" i="3"/>
  <c r="DV45" i="3"/>
  <c r="CV69" i="3"/>
  <c r="BL94" i="3"/>
  <c r="CQ94" i="3"/>
  <c r="CY69" i="3"/>
  <c r="CJ45" i="3"/>
  <c r="AM111" i="3"/>
  <c r="AM115" i="3"/>
  <c r="DR45" i="3"/>
  <c r="CN45" i="3"/>
  <c r="CJ69" i="3"/>
  <c r="CD110" i="3"/>
  <c r="CQ63" i="3"/>
  <c r="BJ26" i="3"/>
  <c r="CM57" i="3"/>
  <c r="CU94" i="3"/>
  <c r="BT94" i="3"/>
  <c r="BR82" i="3"/>
  <c r="BZ82" i="3"/>
  <c r="BC53" i="3"/>
  <c r="BE53" i="3"/>
  <c r="BT82" i="3"/>
  <c r="CU82" i="3"/>
  <c r="CI94" i="3"/>
  <c r="CR5" i="3"/>
  <c r="DI69" i="3"/>
  <c r="DP5" i="3"/>
  <c r="CR45" i="3"/>
  <c r="CJ53" i="3"/>
  <c r="F45" i="14"/>
  <c r="BN38" i="3"/>
  <c r="BR38" i="3"/>
  <c r="AV111" i="3"/>
  <c r="AV115" i="3"/>
  <c r="CN46" i="3"/>
  <c r="CN10" i="3"/>
  <c r="CJ46" i="3"/>
  <c r="DE6" i="3"/>
  <c r="CY58" i="3"/>
  <c r="CJ10" i="3"/>
  <c r="CY46" i="3"/>
  <c r="DP10" i="3"/>
  <c r="CF10" i="3"/>
  <c r="DV46" i="3"/>
  <c r="CF46" i="3"/>
  <c r="DB90" i="3"/>
  <c r="BC10" i="3"/>
  <c r="BE10" i="3"/>
  <c r="DI10" i="3"/>
  <c r="DB46" i="3"/>
  <c r="DR46" i="3"/>
  <c r="DM46" i="3"/>
  <c r="CY62" i="3"/>
  <c r="DM62" i="3"/>
  <c r="DE46" i="3"/>
  <c r="DP46" i="3"/>
  <c r="DV90" i="3"/>
  <c r="CN90" i="3"/>
  <c r="BC46" i="3"/>
  <c r="BE46" i="3"/>
  <c r="DM90" i="3"/>
  <c r="CY10" i="3"/>
  <c r="DE10" i="3"/>
  <c r="CV46" i="3"/>
  <c r="DV6" i="3"/>
  <c r="BC90" i="3"/>
  <c r="BE90" i="3"/>
  <c r="DE90" i="3"/>
  <c r="CY31" i="3"/>
  <c r="CV6" i="3"/>
  <c r="CR62" i="3"/>
  <c r="DI62" i="3"/>
  <c r="DR62" i="3"/>
  <c r="DE86" i="3"/>
  <c r="CR90" i="3"/>
  <c r="CV62" i="3"/>
  <c r="DM6" i="3"/>
  <c r="DP62" i="3"/>
  <c r="BC58" i="3"/>
  <c r="BE58" i="3"/>
  <c r="DB6" i="3"/>
  <c r="DB8" i="3"/>
  <c r="H65" i="14"/>
  <c r="DI6" i="3"/>
  <c r="DE58" i="3"/>
  <c r="CR58" i="3"/>
  <c r="CY57" i="3"/>
  <c r="CJ6" i="3"/>
  <c r="DP58" i="3"/>
  <c r="DM86" i="3"/>
  <c r="CY90" i="3"/>
  <c r="CF90" i="3"/>
  <c r="CJ62" i="3"/>
  <c r="CV58" i="3"/>
  <c r="DB58" i="3"/>
  <c r="DV58" i="3"/>
  <c r="DV62" i="3"/>
  <c r="CN62" i="3"/>
  <c r="CN58" i="3"/>
  <c r="CF58" i="3"/>
  <c r="DI90" i="3"/>
  <c r="CJ90" i="3"/>
  <c r="DP90" i="3"/>
  <c r="CF62" i="3"/>
  <c r="DE62" i="3"/>
  <c r="CJ58" i="3"/>
  <c r="DI58" i="3"/>
  <c r="DR90" i="3"/>
  <c r="DJ109" i="3"/>
  <c r="DI83" i="3"/>
  <c r="DF108" i="3"/>
  <c r="J70" i="14"/>
  <c r="AJ111" i="3"/>
  <c r="AJ115" i="3"/>
  <c r="DV102" i="3"/>
  <c r="DP57" i="3"/>
  <c r="AI111" i="3"/>
  <c r="AI115" i="3"/>
  <c r="CY102" i="3"/>
  <c r="DR102" i="3"/>
  <c r="DE57" i="3"/>
  <c r="DR12" i="3"/>
  <c r="CV57" i="3"/>
  <c r="CR12" i="3"/>
  <c r="CY59" i="3"/>
  <c r="CF55" i="3"/>
  <c r="DB40" i="3"/>
  <c r="CY95" i="3"/>
  <c r="CY72" i="3"/>
  <c r="CJ102" i="3"/>
  <c r="CY55" i="3"/>
  <c r="DE55" i="3"/>
  <c r="DB55" i="3"/>
  <c r="CR15" i="3"/>
  <c r="DV56" i="3"/>
  <c r="DE92" i="3"/>
  <c r="CR55" i="3"/>
  <c r="CJ55" i="3"/>
  <c r="DI102" i="3"/>
  <c r="CV100" i="3"/>
  <c r="DB54" i="3"/>
  <c r="CV102" i="3"/>
  <c r="DE72" i="3"/>
  <c r="BC102" i="3"/>
  <c r="DP102" i="3"/>
  <c r="DI57" i="3"/>
  <c r="CJ57" i="3"/>
  <c r="CF47" i="3"/>
  <c r="CF57" i="3"/>
  <c r="DB57" i="3"/>
  <c r="CR64" i="3"/>
  <c r="CR57" i="3"/>
  <c r="CV18" i="3"/>
  <c r="CF40" i="3"/>
  <c r="DR15" i="3"/>
  <c r="CY83" i="3"/>
  <c r="CN54" i="3"/>
  <c r="DI18" i="3"/>
  <c r="CJ92" i="3"/>
  <c r="CY56" i="3"/>
  <c r="CF92" i="3"/>
  <c r="DM72" i="3"/>
  <c r="CN15" i="3"/>
  <c r="DB26" i="3"/>
  <c r="CY54" i="3"/>
  <c r="CN57" i="3"/>
  <c r="DR57" i="3"/>
  <c r="CV40" i="3"/>
  <c r="DI26" i="3"/>
  <c r="DM56" i="3"/>
  <c r="CV92" i="3"/>
  <c r="CN92" i="3"/>
  <c r="CN72" i="3"/>
  <c r="CJ31" i="3"/>
  <c r="DI95" i="3"/>
  <c r="CN31" i="3"/>
  <c r="DV99" i="3"/>
  <c r="CF12" i="3"/>
  <c r="CV31" i="3"/>
  <c r="DR31" i="3"/>
  <c r="DV31" i="3"/>
  <c r="DB91" i="3"/>
  <c r="CR54" i="3"/>
  <c r="CR31" i="3"/>
  <c r="DE91" i="3"/>
  <c r="CR60" i="3"/>
  <c r="CV22" i="3"/>
  <c r="CN64" i="3"/>
  <c r="DE31" i="3"/>
  <c r="DB31" i="3"/>
  <c r="CF31" i="3"/>
  <c r="CY91" i="3"/>
  <c r="CJ4" i="3"/>
  <c r="DP91" i="3"/>
  <c r="DB95" i="3"/>
  <c r="CN95" i="3"/>
  <c r="DM22" i="3"/>
  <c r="DP12" i="3"/>
  <c r="DE12" i="3"/>
  <c r="DV12" i="3"/>
  <c r="CR34" i="3"/>
  <c r="CR20" i="3"/>
  <c r="G53" i="14"/>
  <c r="DM34" i="3"/>
  <c r="DE60" i="3"/>
  <c r="CJ40" i="3"/>
  <c r="DI15" i="3"/>
  <c r="DM15" i="3"/>
  <c r="DV15" i="3"/>
  <c r="CR95" i="3"/>
  <c r="DI12" i="3"/>
  <c r="DM91" i="3"/>
  <c r="DM12" i="3"/>
  <c r="CF91" i="3"/>
  <c r="CR91" i="3"/>
  <c r="CJ95" i="3"/>
  <c r="CN91" i="3"/>
  <c r="DR34" i="3"/>
  <c r="CV15" i="3"/>
  <c r="DB15" i="3"/>
  <c r="DE15" i="3"/>
  <c r="CF95" i="3"/>
  <c r="DR91" i="3"/>
  <c r="CJ91" i="3"/>
  <c r="DP95" i="3"/>
  <c r="CJ34" i="3"/>
  <c r="DI91" i="3"/>
  <c r="CN12" i="3"/>
  <c r="CJ12" i="3"/>
  <c r="CJ22" i="3"/>
  <c r="DB12" i="3"/>
  <c r="CN60" i="3"/>
  <c r="DV40" i="3"/>
  <c r="DP15" i="3"/>
  <c r="CF15" i="3"/>
  <c r="CY15" i="3"/>
  <c r="CV12" i="3"/>
  <c r="DM95" i="3"/>
  <c r="DV95" i="3"/>
  <c r="DV91" i="3"/>
  <c r="DE83" i="3"/>
  <c r="CF83" i="3"/>
  <c r="CN34" i="3"/>
  <c r="CV34" i="3"/>
  <c r="DV83" i="3"/>
  <c r="DV34" i="3"/>
  <c r="DP83" i="3"/>
  <c r="DM83" i="3"/>
  <c r="DP26" i="3"/>
  <c r="DR26" i="3"/>
  <c r="DI99" i="3"/>
  <c r="CJ56" i="3"/>
  <c r="DB56" i="3"/>
  <c r="DE56" i="3"/>
  <c r="CY34" i="3"/>
  <c r="DB72" i="3"/>
  <c r="DM92" i="3"/>
  <c r="DI92" i="3"/>
  <c r="DV92" i="3"/>
  <c r="DI34" i="3"/>
  <c r="CV55" i="3"/>
  <c r="CN55" i="3"/>
  <c r="DR55" i="3"/>
  <c r="CF72" i="3"/>
  <c r="DR72" i="3"/>
  <c r="CY24" i="3"/>
  <c r="C61" i="14"/>
  <c r="DP31" i="3"/>
  <c r="DR83" i="3"/>
  <c r="CN102" i="3"/>
  <c r="DM26" i="3"/>
  <c r="CR83" i="3"/>
  <c r="BB104" i="3"/>
  <c r="CY26" i="3"/>
  <c r="CV78" i="3"/>
  <c r="DE100" i="3"/>
  <c r="CF34" i="3"/>
  <c r="DR95" i="3"/>
  <c r="DE95" i="3"/>
  <c r="CR26" i="3"/>
  <c r="DB34" i="3"/>
  <c r="CJ82" i="3"/>
  <c r="CJ83" i="3"/>
  <c r="CN26" i="3"/>
  <c r="CF26" i="3"/>
  <c r="CV99" i="3"/>
  <c r="DI64" i="3"/>
  <c r="DE34" i="3"/>
  <c r="CR56" i="3"/>
  <c r="CV56" i="3"/>
  <c r="CF56" i="3"/>
  <c r="DI29" i="3"/>
  <c r="BC26" i="3"/>
  <c r="BE26" i="3"/>
  <c r="DR82" i="3"/>
  <c r="DB92" i="3"/>
  <c r="DP55" i="3"/>
  <c r="DI55" i="3"/>
  <c r="CR72" i="3"/>
  <c r="CV72" i="3"/>
  <c r="CF36" i="3"/>
  <c r="CT101" i="3"/>
  <c r="CT109" i="3"/>
  <c r="CV83" i="3"/>
  <c r="CN83" i="3"/>
  <c r="DI100" i="3"/>
  <c r="CJ100" i="3"/>
  <c r="CF4" i="3"/>
  <c r="DR54" i="3"/>
  <c r="DI54" i="3"/>
  <c r="DP54" i="3"/>
  <c r="CJ54" i="3"/>
  <c r="DP40" i="3"/>
  <c r="DE40" i="3"/>
  <c r="CT96" i="3"/>
  <c r="CT108" i="3"/>
  <c r="CV54" i="3"/>
  <c r="DM54" i="3"/>
  <c r="CF24" i="3"/>
  <c r="C41" i="14"/>
  <c r="DR40" i="3"/>
  <c r="DV78" i="3"/>
  <c r="CF54" i="3"/>
  <c r="DV54" i="3"/>
  <c r="CY4" i="3"/>
  <c r="DE4" i="3"/>
  <c r="DR4" i="3"/>
  <c r="CF59" i="3"/>
  <c r="CJ24" i="3"/>
  <c r="C45" i="14"/>
  <c r="DR24" i="3"/>
  <c r="CF103" i="3"/>
  <c r="DB60" i="3"/>
  <c r="DI22" i="3"/>
  <c r="DE47" i="3"/>
  <c r="CY60" i="3"/>
  <c r="CN59" i="3"/>
  <c r="CR59" i="3"/>
  <c r="CF60" i="3"/>
  <c r="DI60" i="3"/>
  <c r="DI24" i="3"/>
  <c r="C74" i="14"/>
  <c r="CN24" i="3"/>
  <c r="C49" i="14"/>
  <c r="CJ36" i="3"/>
  <c r="CN18" i="3"/>
  <c r="DP18" i="3"/>
  <c r="DV18" i="3"/>
  <c r="CR18" i="3"/>
  <c r="CJ18" i="3"/>
  <c r="DM18" i="3"/>
  <c r="DB18" i="3"/>
  <c r="DR18" i="3"/>
  <c r="CY18" i="3"/>
  <c r="CF18" i="3"/>
  <c r="DM102" i="3"/>
  <c r="DE102" i="3"/>
  <c r="CR102" i="3"/>
  <c r="CR104" i="3"/>
  <c r="CF102" i="3"/>
  <c r="DP59" i="3"/>
  <c r="DR47" i="3"/>
  <c r="DM24" i="3"/>
  <c r="C78" i="14"/>
  <c r="CV32" i="3"/>
  <c r="DM47" i="3"/>
  <c r="DB23" i="3"/>
  <c r="DM60" i="3"/>
  <c r="CR24" i="3"/>
  <c r="C53" i="14"/>
  <c r="DE24" i="3"/>
  <c r="C69" i="14"/>
  <c r="DE36" i="3"/>
  <c r="CJ26" i="3"/>
  <c r="CV26" i="3"/>
  <c r="DV26" i="3"/>
  <c r="CV4" i="3"/>
  <c r="BB8" i="3"/>
  <c r="DB4" i="3"/>
  <c r="DV4" i="3"/>
  <c r="DV8" i="3"/>
  <c r="DV106" i="3"/>
  <c r="DM4" i="3"/>
  <c r="DP4" i="3"/>
  <c r="DI4" i="3"/>
  <c r="CR4" i="3"/>
  <c r="DM21" i="3"/>
  <c r="CY9" i="3"/>
  <c r="DP64" i="3"/>
  <c r="DM64" i="3"/>
  <c r="DR64" i="3"/>
  <c r="DE33" i="3"/>
  <c r="CY36" i="3"/>
  <c r="DR36" i="3"/>
  <c r="DI36" i="3"/>
  <c r="CR40" i="3"/>
  <c r="DM40" i="3"/>
  <c r="DE63" i="3"/>
  <c r="DM63" i="3"/>
  <c r="DR63" i="3"/>
  <c r="DB63" i="3"/>
  <c r="DI63" i="3"/>
  <c r="CV63" i="3"/>
  <c r="DP63" i="3"/>
  <c r="CR63" i="3"/>
  <c r="DV63" i="3"/>
  <c r="CF63" i="3"/>
  <c r="CV103" i="3"/>
  <c r="CV104" i="3"/>
  <c r="L57" i="14"/>
  <c r="CN103" i="3"/>
  <c r="DE103" i="3"/>
  <c r="DP103" i="3"/>
  <c r="DB103" i="3"/>
  <c r="DB104" i="3"/>
  <c r="BB110" i="3"/>
  <c r="CJ103" i="3"/>
  <c r="DM103" i="3"/>
  <c r="CR103" i="3"/>
  <c r="DI103" i="3"/>
  <c r="CY103" i="3"/>
  <c r="DR103" i="3"/>
  <c r="DV103" i="3"/>
  <c r="DI59" i="3"/>
  <c r="DM59" i="3"/>
  <c r="CJ59" i="3"/>
  <c r="DB59" i="3"/>
  <c r="CV64" i="3"/>
  <c r="CN9" i="3"/>
  <c r="CV60" i="3"/>
  <c r="DR59" i="3"/>
  <c r="DV64" i="3"/>
  <c r="CJ64" i="3"/>
  <c r="DV72" i="3"/>
  <c r="DE59" i="3"/>
  <c r="DV59" i="3"/>
  <c r="DP72" i="3"/>
  <c r="CJ72" i="3"/>
  <c r="DV60" i="3"/>
  <c r="DB24" i="3"/>
  <c r="C65" i="14"/>
  <c r="DV24" i="3"/>
  <c r="CV24" i="3"/>
  <c r="C57" i="14"/>
  <c r="DP36" i="3"/>
  <c r="DV36" i="3"/>
  <c r="CR36" i="3"/>
  <c r="CY40" i="3"/>
  <c r="CN40" i="3"/>
  <c r="CV9" i="3"/>
  <c r="CF9" i="3"/>
  <c r="DE64" i="3"/>
  <c r="CF21" i="3"/>
  <c r="CF64" i="3"/>
  <c r="CY64" i="3"/>
  <c r="DB36" i="3"/>
  <c r="DM36" i="3"/>
  <c r="CN36" i="3"/>
  <c r="CN47" i="3"/>
  <c r="DB47" i="3"/>
  <c r="CJ47" i="3"/>
  <c r="DP47" i="3"/>
  <c r="DI47" i="3"/>
  <c r="DV47" i="3"/>
  <c r="CR47" i="3"/>
  <c r="CV47" i="3"/>
  <c r="DR99" i="3"/>
  <c r="DP99" i="3"/>
  <c r="CN99" i="3"/>
  <c r="CY99" i="3"/>
  <c r="CJ99" i="3"/>
  <c r="CF99" i="3"/>
  <c r="DM99" i="3"/>
  <c r="CR99" i="3"/>
  <c r="DB99" i="3"/>
  <c r="CJ60" i="3"/>
  <c r="DR60" i="3"/>
  <c r="CY92" i="3"/>
  <c r="CR92" i="3"/>
  <c r="DR92" i="3"/>
  <c r="BX57" i="3"/>
  <c r="CE6" i="3"/>
  <c r="BC6" i="3"/>
  <c r="BE6" i="3"/>
  <c r="DU6" i="3"/>
  <c r="CM6" i="3"/>
  <c r="CU6" i="3"/>
  <c r="BT6" i="3"/>
  <c r="CQ6" i="3"/>
  <c r="CI6" i="3"/>
  <c r="BV6" i="3"/>
  <c r="BJ6" i="3"/>
  <c r="BZ6" i="3"/>
  <c r="BX6" i="3"/>
  <c r="CB6" i="3"/>
  <c r="BR6" i="3"/>
  <c r="P111" i="3"/>
  <c r="P115" i="3"/>
  <c r="BZ59" i="3"/>
  <c r="BT59" i="3"/>
  <c r="CQ59" i="3"/>
  <c r="BX63" i="3"/>
  <c r="CI63" i="3"/>
  <c r="BX59" i="3"/>
  <c r="CE59" i="3"/>
  <c r="DL63" i="3"/>
  <c r="BJ57" i="3"/>
  <c r="BC59" i="3"/>
  <c r="BE59" i="3"/>
  <c r="CI57" i="3"/>
  <c r="BC57" i="3"/>
  <c r="BE57" i="3"/>
  <c r="BP59" i="3"/>
  <c r="BN59" i="3"/>
  <c r="BX40" i="3"/>
  <c r="DU59" i="3"/>
  <c r="BC56" i="3"/>
  <c r="BE56" i="3"/>
  <c r="BV56" i="3"/>
  <c r="BJ17" i="3"/>
  <c r="BR59" i="3"/>
  <c r="BJ59" i="3"/>
  <c r="DU4" i="3"/>
  <c r="DU8" i="3"/>
  <c r="DU106" i="3"/>
  <c r="BJ61" i="3"/>
  <c r="CU11" i="3"/>
  <c r="DU81" i="3"/>
  <c r="CE25" i="3"/>
  <c r="CB59" i="3"/>
  <c r="BZ63" i="3"/>
  <c r="DL11" i="3"/>
  <c r="BZ83" i="3"/>
  <c r="BJ64" i="3"/>
  <c r="BL83" i="3"/>
  <c r="CI11" i="3"/>
  <c r="BC17" i="3"/>
  <c r="BE17" i="3"/>
  <c r="BC12" i="3"/>
  <c r="BE12" i="3"/>
  <c r="BV12" i="3"/>
  <c r="CU63" i="3"/>
  <c r="BR63" i="3"/>
  <c r="CM17" i="3"/>
  <c r="BC63" i="3"/>
  <c r="BE63" i="3"/>
  <c r="BT103" i="3"/>
  <c r="BT104" i="3"/>
  <c r="L24" i="14"/>
  <c r="BX11" i="3"/>
  <c r="BN17" i="3"/>
  <c r="BV52" i="3"/>
  <c r="C15" i="14"/>
  <c r="BZ24" i="3"/>
  <c r="C33" i="14"/>
  <c r="BT25" i="3"/>
  <c r="BL63" i="3"/>
  <c r="BP17" i="3"/>
  <c r="CB63" i="3"/>
  <c r="BT63" i="3"/>
  <c r="CI31" i="3"/>
  <c r="BL103" i="3"/>
  <c r="BL104" i="3"/>
  <c r="BL110" i="3"/>
  <c r="CI84" i="3"/>
  <c r="BR11" i="3"/>
  <c r="CI60" i="3"/>
  <c r="DL17" i="3"/>
  <c r="CM64" i="3"/>
  <c r="BN103" i="3"/>
  <c r="BN104" i="3"/>
  <c r="BV103" i="3"/>
  <c r="BV104" i="3"/>
  <c r="BV110" i="3"/>
  <c r="BV60" i="3"/>
  <c r="CQ56" i="3"/>
  <c r="CM56" i="3"/>
  <c r="CQ61" i="3"/>
  <c r="CB103" i="3"/>
  <c r="CB104" i="3"/>
  <c r="L36" i="14"/>
  <c r="CE84" i="3"/>
  <c r="BV11" i="3"/>
  <c r="BA104" i="3"/>
  <c r="BR103" i="3"/>
  <c r="BP84" i="3"/>
  <c r="CM11" i="3"/>
  <c r="BJ56" i="3"/>
  <c r="BV17" i="3"/>
  <c r="CM60" i="3"/>
  <c r="BT17" i="3"/>
  <c r="CQ17" i="3"/>
  <c r="BR56" i="3"/>
  <c r="CB61" i="3"/>
  <c r="DL103" i="3"/>
  <c r="DL104" i="3"/>
  <c r="DL110" i="3"/>
  <c r="CI4" i="3"/>
  <c r="BJ92" i="3"/>
  <c r="BL92" i="3"/>
  <c r="CQ11" i="3"/>
  <c r="CE11" i="3"/>
  <c r="BJ84" i="3"/>
  <c r="BZ11" i="3"/>
  <c r="BP11" i="3"/>
  <c r="CM83" i="3"/>
  <c r="CB57" i="3"/>
  <c r="DL57" i="3"/>
  <c r="BP64" i="3"/>
  <c r="DU63" i="3"/>
  <c r="CE63" i="3"/>
  <c r="BN92" i="3"/>
  <c r="CI45" i="3"/>
  <c r="BN11" i="3"/>
  <c r="DU11" i="3"/>
  <c r="BC45" i="3"/>
  <c r="BE45" i="3"/>
  <c r="BJ11" i="3"/>
  <c r="BV84" i="3"/>
  <c r="CB11" i="3"/>
  <c r="BL11" i="3"/>
  <c r="BZ25" i="3"/>
  <c r="CQ25" i="3"/>
  <c r="CB52" i="3"/>
  <c r="BZ61" i="3"/>
  <c r="BL4" i="3"/>
  <c r="BZ4" i="3"/>
  <c r="CM4" i="3"/>
  <c r="BC4" i="3"/>
  <c r="BE4" i="3"/>
  <c r="BJ4" i="3"/>
  <c r="CE4" i="3"/>
  <c r="BT92" i="3"/>
  <c r="DU45" i="3"/>
  <c r="DU40" i="3"/>
  <c r="CU25" i="3"/>
  <c r="BL52" i="3"/>
  <c r="CQ92" i="3"/>
  <c r="CU100" i="3"/>
  <c r="CU92" i="3"/>
  <c r="BV92" i="3"/>
  <c r="DU92" i="3"/>
  <c r="BT45" i="3"/>
  <c r="BL40" i="3"/>
  <c r="BJ40" i="3"/>
  <c r="BT64" i="3"/>
  <c r="CB25" i="3"/>
  <c r="BP85" i="3"/>
  <c r="DU103" i="3"/>
  <c r="BZ103" i="3"/>
  <c r="BZ104" i="3"/>
  <c r="BZ110" i="3"/>
  <c r="BP103" i="3"/>
  <c r="BP104" i="3"/>
  <c r="L18" i="14"/>
  <c r="BP25" i="3"/>
  <c r="DU25" i="3"/>
  <c r="BV25" i="3"/>
  <c r="CM12" i="3"/>
  <c r="CB83" i="3"/>
  <c r="CQ57" i="3"/>
  <c r="BL57" i="3"/>
  <c r="BC83" i="3"/>
  <c r="BE83" i="3"/>
  <c r="BN57" i="3"/>
  <c r="BX83" i="3"/>
  <c r="BX25" i="3"/>
  <c r="BZ57" i="3"/>
  <c r="CE83" i="3"/>
  <c r="BZ64" i="3"/>
  <c r="BX92" i="3"/>
  <c r="CM63" i="3"/>
  <c r="BV83" i="3"/>
  <c r="BV63" i="3"/>
  <c r="DL83" i="3"/>
  <c r="CI103" i="3"/>
  <c r="CI104" i="3"/>
  <c r="CI110" i="3"/>
  <c r="CE92" i="3"/>
  <c r="BZ92" i="3"/>
  <c r="CB45" i="3"/>
  <c r="BL25" i="3"/>
  <c r="CE51" i="3"/>
  <c r="BJ25" i="3"/>
  <c r="BN52" i="3"/>
  <c r="BR25" i="3"/>
  <c r="CU83" i="3"/>
  <c r="DU83" i="3"/>
  <c r="CM25" i="3"/>
  <c r="BT83" i="3"/>
  <c r="BR92" i="3"/>
  <c r="CU12" i="3"/>
  <c r="CM100" i="3"/>
  <c r="CM92" i="3"/>
  <c r="BP92" i="3"/>
  <c r="CB92" i="3"/>
  <c r="CE40" i="3"/>
  <c r="CQ64" i="3"/>
  <c r="BJ52" i="3"/>
  <c r="BX103" i="3"/>
  <c r="BX104" i="3"/>
  <c r="L30" i="14"/>
  <c r="CU103" i="3"/>
  <c r="CQ103" i="3"/>
  <c r="CQ104" i="3"/>
  <c r="CQ110" i="3"/>
  <c r="CI25" i="3"/>
  <c r="BZ12" i="3"/>
  <c r="BN25" i="3"/>
  <c r="DU57" i="3"/>
  <c r="BP57" i="3"/>
  <c r="CQ83" i="3"/>
  <c r="CU57" i="3"/>
  <c r="CI83" i="3"/>
  <c r="BN83" i="3"/>
  <c r="BP83" i="3"/>
  <c r="BC64" i="3"/>
  <c r="BE64" i="3"/>
  <c r="BC92" i="3"/>
  <c r="BE92" i="3"/>
  <c r="CM103" i="3"/>
  <c r="CM104" i="3"/>
  <c r="CM110" i="3"/>
  <c r="BC103" i="3"/>
  <c r="BE103" i="3"/>
  <c r="BJ83" i="3"/>
  <c r="BJ103" i="3"/>
  <c r="BJ104" i="3"/>
  <c r="L9" i="14"/>
  <c r="BJ63" i="3"/>
  <c r="BP63" i="3"/>
  <c r="BV4" i="3"/>
  <c r="CU4" i="3"/>
  <c r="BX4" i="3"/>
  <c r="BT4" i="3"/>
  <c r="BP4" i="3"/>
  <c r="CB4" i="3"/>
  <c r="BN4" i="3"/>
  <c r="BR4" i="3"/>
  <c r="DL4" i="3"/>
  <c r="BR24" i="3"/>
  <c r="C21" i="14"/>
  <c r="DU52" i="3"/>
  <c r="BJ24" i="3"/>
  <c r="C9" i="14"/>
  <c r="BT39" i="3"/>
  <c r="DL60" i="3"/>
  <c r="CB60" i="3"/>
  <c r="BJ60" i="3"/>
  <c r="C24" i="14"/>
  <c r="CE52" i="3"/>
  <c r="DL52" i="3"/>
  <c r="CI61" i="3"/>
  <c r="BL61" i="3"/>
  <c r="CU61" i="3"/>
  <c r="BN61" i="3"/>
  <c r="BT61" i="3"/>
  <c r="CI17" i="3"/>
  <c r="CB17" i="3"/>
  <c r="CU17" i="3"/>
  <c r="BL64" i="3"/>
  <c r="BZ17" i="3"/>
  <c r="BP24" i="3"/>
  <c r="C18" i="14"/>
  <c r="CM52" i="3"/>
  <c r="CQ52" i="3"/>
  <c r="CU52" i="3"/>
  <c r="CE104" i="3"/>
  <c r="CE110" i="3"/>
  <c r="BV13" i="3"/>
  <c r="CU29" i="3"/>
  <c r="CI24" i="3"/>
  <c r="C36" i="14"/>
  <c r="BL24" i="3"/>
  <c r="C12" i="14"/>
  <c r="DU13" i="3"/>
  <c r="BT60" i="3"/>
  <c r="BC60" i="3"/>
  <c r="BE60" i="3"/>
  <c r="BX56" i="3"/>
  <c r="BL17" i="3"/>
  <c r="BL56" i="3"/>
  <c r="BN56" i="3"/>
  <c r="CI52" i="3"/>
  <c r="BR52" i="3"/>
  <c r="DU64" i="3"/>
  <c r="BX64" i="3"/>
  <c r="BV61" i="3"/>
  <c r="BP61" i="3"/>
  <c r="BR61" i="3"/>
  <c r="CE61" i="3"/>
  <c r="BZ52" i="3"/>
  <c r="BX52" i="3"/>
  <c r="BV24" i="3"/>
  <c r="C27" i="14"/>
  <c r="BJ85" i="3"/>
  <c r="BX33" i="3"/>
  <c r="CU64" i="3"/>
  <c r="BR64" i="3"/>
  <c r="BR17" i="3"/>
  <c r="CE17" i="3"/>
  <c r="BJ13" i="3"/>
  <c r="BC52" i="3"/>
  <c r="BE52" i="3"/>
  <c r="C30" i="14"/>
  <c r="CM24" i="3"/>
  <c r="DU56" i="3"/>
  <c r="BL60" i="3"/>
  <c r="CE60" i="3"/>
  <c r="BP60" i="3"/>
  <c r="DU17" i="3"/>
  <c r="BP56" i="3"/>
  <c r="CI56" i="3"/>
  <c r="CU56" i="3"/>
  <c r="BT52" i="3"/>
  <c r="DL64" i="3"/>
  <c r="BN64" i="3"/>
  <c r="CI64" i="3"/>
  <c r="DL61" i="3"/>
  <c r="CM61" i="3"/>
  <c r="BX61" i="3"/>
  <c r="BV57" i="3"/>
  <c r="BR57" i="3"/>
  <c r="BT57" i="3"/>
  <c r="BN100" i="3"/>
  <c r="CI100" i="3"/>
  <c r="CQ100" i="3"/>
  <c r="BT100" i="3"/>
  <c r="BJ100" i="3"/>
  <c r="BX100" i="3"/>
  <c r="BV100" i="3"/>
  <c r="BV9" i="3"/>
  <c r="BT84" i="3"/>
  <c r="BN84" i="3"/>
  <c r="DU84" i="3"/>
  <c r="CE100" i="3"/>
  <c r="CB100" i="3"/>
  <c r="CE12" i="3"/>
  <c r="DL12" i="3"/>
  <c r="CM84" i="3"/>
  <c r="BL12" i="3"/>
  <c r="CU51" i="3"/>
  <c r="DU12" i="3"/>
  <c r="BT13" i="3"/>
  <c r="BR84" i="3"/>
  <c r="CU84" i="3"/>
  <c r="BZ84" i="3"/>
  <c r="BJ12" i="3"/>
  <c r="BT12" i="3"/>
  <c r="CE56" i="3"/>
  <c r="DL56" i="3"/>
  <c r="BV64" i="3"/>
  <c r="CE64" i="3"/>
  <c r="BP100" i="3"/>
  <c r="DU100" i="3"/>
  <c r="DL100" i="3"/>
  <c r="CQ84" i="3"/>
  <c r="DL51" i="3"/>
  <c r="CI85" i="3"/>
  <c r="BC100" i="3"/>
  <c r="BE100" i="3"/>
  <c r="BL100" i="3"/>
  <c r="CI12" i="3"/>
  <c r="BN12" i="3"/>
  <c r="BR85" i="3"/>
  <c r="CQ12" i="3"/>
  <c r="DL84" i="3"/>
  <c r="BX84" i="3"/>
  <c r="CB84" i="3"/>
  <c r="BR12" i="3"/>
  <c r="BX12" i="3"/>
  <c r="CB12" i="3"/>
  <c r="BZ100" i="3"/>
  <c r="BZ56" i="3"/>
  <c r="BT56" i="3"/>
  <c r="BX60" i="3"/>
  <c r="CQ60" i="3"/>
  <c r="BZ60" i="3"/>
  <c r="BN60" i="3"/>
  <c r="BR60" i="3"/>
  <c r="CU60" i="3"/>
  <c r="CB93" i="3"/>
  <c r="CE93" i="3"/>
  <c r="CM93" i="3"/>
  <c r="BR93" i="3"/>
  <c r="BN93" i="3"/>
  <c r="CI93" i="3"/>
  <c r="DL93" i="3"/>
  <c r="BL93" i="3"/>
  <c r="BT93" i="3"/>
  <c r="DU93" i="3"/>
  <c r="BX93" i="3"/>
  <c r="BZ93" i="3"/>
  <c r="BC93" i="3"/>
  <c r="BE93" i="3"/>
  <c r="CU93" i="3"/>
  <c r="CQ93" i="3"/>
  <c r="BV93" i="3"/>
  <c r="BP93" i="3"/>
  <c r="BT55" i="3"/>
  <c r="BL13" i="3"/>
  <c r="CU20" i="3"/>
  <c r="BL81" i="3"/>
  <c r="CU30" i="3"/>
  <c r="CQ30" i="3"/>
  <c r="BZ13" i="3"/>
  <c r="CQ81" i="3"/>
  <c r="BP13" i="3"/>
  <c r="BN34" i="3"/>
  <c r="BC81" i="3"/>
  <c r="BE81" i="3"/>
  <c r="CQ13" i="3"/>
  <c r="CI33" i="3"/>
  <c r="CU33" i="3"/>
  <c r="CQ31" i="3"/>
  <c r="BX81" i="3"/>
  <c r="CE81" i="3"/>
  <c r="BZ81" i="3"/>
  <c r="CU31" i="3"/>
  <c r="BL85" i="3"/>
  <c r="BX13" i="3"/>
  <c r="BN13" i="3"/>
  <c r="BV65" i="3"/>
  <c r="BZ65" i="3"/>
  <c r="DL65" i="3"/>
  <c r="CB13" i="3"/>
  <c r="CM13" i="3"/>
  <c r="CE13" i="3"/>
  <c r="BR13" i="3"/>
  <c r="BV81" i="3"/>
  <c r="BT81" i="3"/>
  <c r="BR81" i="3"/>
  <c r="CI77" i="3"/>
  <c r="CU13" i="3"/>
  <c r="DL81" i="3"/>
  <c r="BC13" i="3"/>
  <c r="BE13" i="3"/>
  <c r="BN85" i="3"/>
  <c r="CB85" i="3"/>
  <c r="BX85" i="3"/>
  <c r="BZ85" i="3"/>
  <c r="CQ85" i="3"/>
  <c r="CU85" i="3"/>
  <c r="BV85" i="3"/>
  <c r="DL85" i="3"/>
  <c r="BT85" i="3"/>
  <c r="CM85" i="3"/>
  <c r="BP49" i="3"/>
  <c r="BN81" i="3"/>
  <c r="CU81" i="3"/>
  <c r="CM81" i="3"/>
  <c r="BJ81" i="3"/>
  <c r="CE85" i="3"/>
  <c r="CI13" i="3"/>
  <c r="BV45" i="3"/>
  <c r="BR45" i="3"/>
  <c r="BL45" i="3"/>
  <c r="CQ45" i="3"/>
  <c r="DL45" i="3"/>
  <c r="BP45" i="3"/>
  <c r="CU45" i="3"/>
  <c r="BX45" i="3"/>
  <c r="CE45" i="3"/>
  <c r="BZ45" i="3"/>
  <c r="BN45" i="3"/>
  <c r="BV40" i="3"/>
  <c r="BT40" i="3"/>
  <c r="BZ40" i="3"/>
  <c r="CB40" i="3"/>
  <c r="CU40" i="3"/>
  <c r="BJ45" i="3"/>
  <c r="CU9" i="3"/>
  <c r="DP50" i="3"/>
  <c r="CR50" i="3"/>
  <c r="CJ50" i="3"/>
  <c r="DR50" i="3"/>
  <c r="CF50" i="3"/>
  <c r="CY50" i="3"/>
  <c r="CN50" i="3"/>
  <c r="DV50" i="3"/>
  <c r="DB50" i="3"/>
  <c r="DM50" i="3"/>
  <c r="CV50" i="3"/>
  <c r="DI50" i="3"/>
  <c r="DE50" i="3"/>
  <c r="DU44" i="3"/>
  <c r="BJ44" i="3"/>
  <c r="BP44" i="3"/>
  <c r="BL44" i="3"/>
  <c r="CM44" i="3"/>
  <c r="BT44" i="3"/>
  <c r="CI44" i="3"/>
  <c r="CB44" i="3"/>
  <c r="BZ44" i="3"/>
  <c r="BN44" i="3"/>
  <c r="BR44" i="3"/>
  <c r="BV44" i="3"/>
  <c r="BX44" i="3"/>
  <c r="CU44" i="3"/>
  <c r="DL44" i="3"/>
  <c r="CM15" i="3"/>
  <c r="CE15" i="3"/>
  <c r="BJ15" i="3"/>
  <c r="DU15" i="3"/>
  <c r="BX15" i="3"/>
  <c r="CI15" i="3"/>
  <c r="BZ15" i="3"/>
  <c r="CU15" i="3"/>
  <c r="BR15" i="3"/>
  <c r="BT15" i="3"/>
  <c r="BN15" i="3"/>
  <c r="CB15" i="3"/>
  <c r="BP15" i="3"/>
  <c r="DL15" i="3"/>
  <c r="BC15" i="3"/>
  <c r="BE15" i="3"/>
  <c r="BL15" i="3"/>
  <c r="CQ15" i="3"/>
  <c r="CN11" i="3"/>
  <c r="CJ11" i="3"/>
  <c r="DB11" i="3"/>
  <c r="DM11" i="3"/>
  <c r="CY11" i="3"/>
  <c r="DP11" i="3"/>
  <c r="CR11" i="3"/>
  <c r="BC11" i="3"/>
  <c r="BE11" i="3"/>
  <c r="DV11" i="3"/>
  <c r="DR11" i="3"/>
  <c r="CF11" i="3"/>
  <c r="DE11" i="3"/>
  <c r="DI11" i="3"/>
  <c r="CV11" i="3"/>
  <c r="BZ32" i="3"/>
  <c r="BN32" i="3"/>
  <c r="BV32" i="3"/>
  <c r="CQ32" i="3"/>
  <c r="BL32" i="3"/>
  <c r="CE32" i="3"/>
  <c r="BJ32" i="3"/>
  <c r="CI32" i="3"/>
  <c r="CU32" i="3"/>
  <c r="BP28" i="3"/>
  <c r="CE28" i="3"/>
  <c r="DU28" i="3"/>
  <c r="BJ28" i="3"/>
  <c r="CI28" i="3"/>
  <c r="CQ28" i="3"/>
  <c r="CM28" i="3"/>
  <c r="BN28" i="3"/>
  <c r="BV28" i="3"/>
  <c r="BR28" i="3"/>
  <c r="BZ28" i="3"/>
  <c r="BT28" i="3"/>
  <c r="CU28" i="3"/>
  <c r="BX28" i="3"/>
  <c r="BL28" i="3"/>
  <c r="DL28" i="3"/>
  <c r="BL76" i="3"/>
  <c r="BR76" i="3"/>
  <c r="DU76" i="3"/>
  <c r="CM76" i="3"/>
  <c r="BV76" i="3"/>
  <c r="CB76" i="3"/>
  <c r="BT76" i="3"/>
  <c r="CI76" i="3"/>
  <c r="BC76" i="3"/>
  <c r="BE76" i="3"/>
  <c r="BP76" i="3"/>
  <c r="BN76" i="3"/>
  <c r="CQ76" i="3"/>
  <c r="BJ76" i="3"/>
  <c r="BX76" i="3"/>
  <c r="BZ76" i="3"/>
  <c r="CU76" i="3"/>
  <c r="CE76" i="3"/>
  <c r="CQ37" i="3"/>
  <c r="CE37" i="3"/>
  <c r="DU37" i="3"/>
  <c r="BR37" i="3"/>
  <c r="BT37" i="3"/>
  <c r="CB37" i="3"/>
  <c r="CI37" i="3"/>
  <c r="BC37" i="3"/>
  <c r="BE37" i="3"/>
  <c r="BJ37" i="3"/>
  <c r="DL37" i="3"/>
  <c r="BX37" i="3"/>
  <c r="BV37" i="3"/>
  <c r="BN37" i="3"/>
  <c r="BZ37" i="3"/>
  <c r="BP37" i="3"/>
  <c r="BL37" i="3"/>
  <c r="CM37" i="3"/>
  <c r="DB38" i="3"/>
  <c r="BD111" i="3"/>
  <c r="BD115" i="3"/>
  <c r="DY110" i="3"/>
  <c r="L85" i="14"/>
  <c r="BL75" i="3"/>
  <c r="BJ75" i="3"/>
  <c r="DU75" i="3"/>
  <c r="CE75" i="3"/>
  <c r="BC75" i="3"/>
  <c r="BE75" i="3"/>
  <c r="BV75" i="3"/>
  <c r="BZ75" i="3"/>
  <c r="BT75" i="3"/>
  <c r="BX75" i="3"/>
  <c r="BR75" i="3"/>
  <c r="CI75" i="3"/>
  <c r="CM75" i="3"/>
  <c r="CB75" i="3"/>
  <c r="BP75" i="3"/>
  <c r="CQ75" i="3"/>
  <c r="DL75" i="3"/>
  <c r="BN75" i="3"/>
  <c r="CX110" i="3"/>
  <c r="CU91" i="3"/>
  <c r="BT91" i="3"/>
  <c r="BP91" i="3"/>
  <c r="BV91" i="3"/>
  <c r="DU91" i="3"/>
  <c r="BR91" i="3"/>
  <c r="BX91" i="3"/>
  <c r="BN91" i="3"/>
  <c r="CB91" i="3"/>
  <c r="BJ91" i="3"/>
  <c r="CM91" i="3"/>
  <c r="BL91" i="3"/>
  <c r="BC91" i="3"/>
  <c r="BE91" i="3"/>
  <c r="DL91" i="3"/>
  <c r="BZ91" i="3"/>
  <c r="CI91" i="3"/>
  <c r="CQ91" i="3"/>
  <c r="CE91" i="3"/>
  <c r="CQ27" i="3"/>
  <c r="BR27" i="3"/>
  <c r="CM27" i="3"/>
  <c r="CI27" i="3"/>
  <c r="BP27" i="3"/>
  <c r="CE27" i="3"/>
  <c r="CB27" i="3"/>
  <c r="CU27" i="3"/>
  <c r="BL27" i="3"/>
  <c r="BJ27" i="3"/>
  <c r="BN27" i="3"/>
  <c r="BV27" i="3"/>
  <c r="BZ27" i="3"/>
  <c r="BC27" i="3"/>
  <c r="BE27" i="3"/>
  <c r="BX27" i="3"/>
  <c r="BT27" i="3"/>
  <c r="DL27" i="3"/>
  <c r="DU27" i="3"/>
  <c r="DF109" i="3"/>
  <c r="K70" i="14"/>
  <c r="CM23" i="3"/>
  <c r="BN23" i="3"/>
  <c r="CB23" i="3"/>
  <c r="CI23" i="3"/>
  <c r="BV23" i="3"/>
  <c r="BP23" i="3"/>
  <c r="BZ23" i="3"/>
  <c r="BC23" i="3"/>
  <c r="BE23" i="3"/>
  <c r="CQ23" i="3"/>
  <c r="BX23" i="3"/>
  <c r="CE23" i="3"/>
  <c r="DL23" i="3"/>
  <c r="BL23" i="3"/>
  <c r="BT23" i="3"/>
  <c r="BJ23" i="3"/>
  <c r="DU23" i="3"/>
  <c r="BR23" i="3"/>
  <c r="CP109" i="3"/>
  <c r="DR32" i="3"/>
  <c r="CJ32" i="3"/>
  <c r="DV32" i="3"/>
  <c r="DP32" i="3"/>
  <c r="CR32" i="3"/>
  <c r="DE32" i="3"/>
  <c r="DM32" i="3"/>
  <c r="DB32" i="3"/>
  <c r="DI32" i="3"/>
  <c r="CF32" i="3"/>
  <c r="DV35" i="3"/>
  <c r="DI35" i="3"/>
  <c r="CJ35" i="3"/>
  <c r="DP35" i="3"/>
  <c r="DM35" i="3"/>
  <c r="CR35" i="3"/>
  <c r="CY35" i="3"/>
  <c r="DR35" i="3"/>
  <c r="DE35" i="3"/>
  <c r="CF35" i="3"/>
  <c r="DB35" i="3"/>
  <c r="CV35" i="3"/>
  <c r="CN35" i="3"/>
  <c r="H75" i="14"/>
  <c r="DJ106" i="3"/>
  <c r="DV71" i="3"/>
  <c r="DM71" i="3"/>
  <c r="CR71" i="3"/>
  <c r="DR71" i="3"/>
  <c r="DB71" i="3"/>
  <c r="DP71" i="3"/>
  <c r="DE71" i="3"/>
  <c r="DI71" i="3"/>
  <c r="CN71" i="3"/>
  <c r="CV71" i="3"/>
  <c r="CY71" i="3"/>
  <c r="CF71" i="3"/>
  <c r="CJ71" i="3"/>
  <c r="DV70" i="3"/>
  <c r="CJ70" i="3"/>
  <c r="CF70" i="3"/>
  <c r="DP70" i="3"/>
  <c r="DB70" i="3"/>
  <c r="CR70" i="3"/>
  <c r="DI70" i="3"/>
  <c r="DR70" i="3"/>
  <c r="CV70" i="3"/>
  <c r="DE70" i="3"/>
  <c r="BC70" i="3"/>
  <c r="BE70" i="3"/>
  <c r="DM70" i="3"/>
  <c r="CN70" i="3"/>
  <c r="CY70" i="3"/>
  <c r="CE44" i="3"/>
  <c r="CM72" i="3"/>
  <c r="DU72" i="3"/>
  <c r="CI72" i="3"/>
  <c r="CU72" i="3"/>
  <c r="BR72" i="3"/>
  <c r="BJ72" i="3"/>
  <c r="BX72" i="3"/>
  <c r="BP72" i="3"/>
  <c r="CB72" i="3"/>
  <c r="DL72" i="3"/>
  <c r="BV72" i="3"/>
  <c r="BC72" i="3"/>
  <c r="BE72" i="3"/>
  <c r="BZ72" i="3"/>
  <c r="BL72" i="3"/>
  <c r="CE72" i="3"/>
  <c r="BT72" i="3"/>
  <c r="CQ72" i="3"/>
  <c r="BN72" i="3"/>
  <c r="CB28" i="3"/>
  <c r="CE16" i="3"/>
  <c r="CB16" i="3"/>
  <c r="BJ16" i="3"/>
  <c r="BX16" i="3"/>
  <c r="BN16" i="3"/>
  <c r="BR16" i="3"/>
  <c r="DL16" i="3"/>
  <c r="BV16" i="3"/>
  <c r="BP16" i="3"/>
  <c r="BZ16" i="3"/>
  <c r="CQ16" i="3"/>
  <c r="CM16" i="3"/>
  <c r="CI16" i="3"/>
  <c r="BC16" i="3"/>
  <c r="BE16" i="3"/>
  <c r="CU16" i="3"/>
  <c r="DU16" i="3"/>
  <c r="BT16" i="3"/>
  <c r="BL16" i="3"/>
  <c r="DE29" i="3"/>
  <c r="CY29" i="3"/>
  <c r="DV29" i="3"/>
  <c r="CN29" i="3"/>
  <c r="DR29" i="3"/>
  <c r="CR29" i="3"/>
  <c r="CJ29" i="3"/>
  <c r="DP29" i="3"/>
  <c r="DM29" i="3"/>
  <c r="CF29" i="3"/>
  <c r="DB29" i="3"/>
  <c r="CI39" i="3"/>
  <c r="BV39" i="3"/>
  <c r="BN39" i="3"/>
  <c r="CE39" i="3"/>
  <c r="BP39" i="3"/>
  <c r="BJ39" i="3"/>
  <c r="BX39" i="3"/>
  <c r="DL39" i="3"/>
  <c r="BL39" i="3"/>
  <c r="CU39" i="3"/>
  <c r="BR39" i="3"/>
  <c r="CM39" i="3"/>
  <c r="CU23" i="3"/>
  <c r="DE38" i="3"/>
  <c r="DV38" i="3"/>
  <c r="CY38" i="3"/>
  <c r="DP38" i="3"/>
  <c r="DR38" i="3"/>
  <c r="CN38" i="3"/>
  <c r="CF38" i="3"/>
  <c r="DM38" i="3"/>
  <c r="CR38" i="3"/>
  <c r="DI38" i="3"/>
  <c r="BC38" i="3"/>
  <c r="BE38" i="3"/>
  <c r="CJ38" i="3"/>
  <c r="DV68" i="3"/>
  <c r="DB68" i="3"/>
  <c r="DI68" i="3"/>
  <c r="CJ68" i="3"/>
  <c r="DE68" i="3"/>
  <c r="CY68" i="3"/>
  <c r="DM68" i="3"/>
  <c r="DP68" i="3"/>
  <c r="DR68" i="3"/>
  <c r="CN68" i="3"/>
  <c r="CR68" i="3"/>
  <c r="CV68" i="3"/>
  <c r="CF68" i="3"/>
  <c r="BV15" i="3"/>
  <c r="DM94" i="3"/>
  <c r="DB94" i="3"/>
  <c r="CJ94" i="3"/>
  <c r="CR94" i="3"/>
  <c r="CN94" i="3"/>
  <c r="DR94" i="3"/>
  <c r="CF94" i="3"/>
  <c r="CY94" i="3"/>
  <c r="DV94" i="3"/>
  <c r="BC94" i="3"/>
  <c r="BE94" i="3"/>
  <c r="DP94" i="3"/>
  <c r="DE94" i="3"/>
  <c r="CV94" i="3"/>
  <c r="BB96" i="3"/>
  <c r="CU75" i="3"/>
  <c r="BL14" i="3"/>
  <c r="DL14" i="3"/>
  <c r="DU14" i="3"/>
  <c r="CI14" i="3"/>
  <c r="CQ14" i="3"/>
  <c r="BR14" i="3"/>
  <c r="BV14" i="3"/>
  <c r="BP14" i="3"/>
  <c r="BT14" i="3"/>
  <c r="BC14" i="3"/>
  <c r="BE14" i="3"/>
  <c r="CB14" i="3"/>
  <c r="BN14" i="3"/>
  <c r="CM14" i="3"/>
  <c r="CU14" i="3"/>
  <c r="BJ14" i="3"/>
  <c r="BX14" i="3"/>
  <c r="CE14" i="3"/>
  <c r="DR87" i="3"/>
  <c r="DE87" i="3"/>
  <c r="DB87" i="3"/>
  <c r="CF87" i="3"/>
  <c r="CJ87" i="3"/>
  <c r="DM87" i="3"/>
  <c r="CR87" i="3"/>
  <c r="CV87" i="3"/>
  <c r="DI87" i="3"/>
  <c r="CY87" i="3"/>
  <c r="CN87" i="3"/>
  <c r="DV87" i="3"/>
  <c r="DP87" i="3"/>
  <c r="CB71" i="3"/>
  <c r="CE71" i="3"/>
  <c r="BC71" i="3"/>
  <c r="BE71" i="3"/>
  <c r="DU71" i="3"/>
  <c r="BJ71" i="3"/>
  <c r="BV71" i="3"/>
  <c r="CM71" i="3"/>
  <c r="BZ71" i="3"/>
  <c r="BT71" i="3"/>
  <c r="BR71" i="3"/>
  <c r="BN71" i="3"/>
  <c r="BP71" i="3"/>
  <c r="BL71" i="3"/>
  <c r="CQ71" i="3"/>
  <c r="BX71" i="3"/>
  <c r="DL71" i="3"/>
  <c r="CI71" i="3"/>
  <c r="DI94" i="3"/>
  <c r="CF80" i="3"/>
  <c r="DI80" i="3"/>
  <c r="CJ80" i="3"/>
  <c r="CY80" i="3"/>
  <c r="CR80" i="3"/>
  <c r="CN80" i="3"/>
  <c r="DB80" i="3"/>
  <c r="CI42" i="3"/>
  <c r="CB42" i="3"/>
  <c r="BL42" i="3"/>
  <c r="BJ42" i="3"/>
  <c r="DL42" i="3"/>
  <c r="BV42" i="3"/>
  <c r="DU42" i="3"/>
  <c r="CM42" i="3"/>
  <c r="BP42" i="3"/>
  <c r="CQ42" i="3"/>
  <c r="BN42" i="3"/>
  <c r="BC42" i="3"/>
  <c r="BE42" i="3"/>
  <c r="BX42" i="3"/>
  <c r="BR42" i="3"/>
  <c r="CU42" i="3"/>
  <c r="BT42" i="3"/>
  <c r="BZ42" i="3"/>
  <c r="CV17" i="3"/>
  <c r="CN17" i="3"/>
  <c r="DB17" i="3"/>
  <c r="DI17" i="3"/>
  <c r="DE17" i="3"/>
  <c r="CF17" i="3"/>
  <c r="DP17" i="3"/>
  <c r="DV17" i="3"/>
  <c r="DM17" i="3"/>
  <c r="CJ17" i="3"/>
  <c r="CR17" i="3"/>
  <c r="DR17" i="3"/>
  <c r="DI19" i="3"/>
  <c r="DR19" i="3"/>
  <c r="CN19" i="3"/>
  <c r="DM19" i="3"/>
  <c r="CJ19" i="3"/>
  <c r="CR19" i="3"/>
  <c r="CY19" i="3"/>
  <c r="DE19" i="3"/>
  <c r="DP19" i="3"/>
  <c r="DB19" i="3"/>
  <c r="DV19" i="3"/>
  <c r="CF19" i="3"/>
  <c r="CU37" i="3"/>
  <c r="BJ22" i="3"/>
  <c r="CQ22" i="3"/>
  <c r="BN22" i="3"/>
  <c r="BR22" i="3"/>
  <c r="BP22" i="3"/>
  <c r="BT22" i="3"/>
  <c r="DU22" i="3"/>
  <c r="BZ22" i="3"/>
  <c r="CM22" i="3"/>
  <c r="CE22" i="3"/>
  <c r="BX22" i="3"/>
  <c r="BC22" i="3"/>
  <c r="BE22" i="3"/>
  <c r="CB22" i="3"/>
  <c r="BV22" i="3"/>
  <c r="CI22" i="3"/>
  <c r="BL22" i="3"/>
  <c r="CU22" i="3"/>
  <c r="BP21" i="3"/>
  <c r="BV21" i="3"/>
  <c r="CI21" i="3"/>
  <c r="BZ21" i="3"/>
  <c r="BN21" i="3"/>
  <c r="DU21" i="3"/>
  <c r="CQ21" i="3"/>
  <c r="BX21" i="3"/>
  <c r="CB21" i="3"/>
  <c r="CM21" i="3"/>
  <c r="BR21" i="3"/>
  <c r="CU21" i="3"/>
  <c r="BC21" i="3"/>
  <c r="BE21" i="3"/>
  <c r="BT21" i="3"/>
  <c r="BJ21" i="3"/>
  <c r="BL21" i="3"/>
  <c r="CE21" i="3"/>
  <c r="DL21" i="3"/>
  <c r="BZ69" i="3"/>
  <c r="BT69" i="3"/>
  <c r="BP69" i="3"/>
  <c r="CI69" i="3"/>
  <c r="BN69" i="3"/>
  <c r="DU69" i="3"/>
  <c r="CM69" i="3"/>
  <c r="CQ69" i="3"/>
  <c r="BL69" i="3"/>
  <c r="CE69" i="3"/>
  <c r="CU69" i="3"/>
  <c r="DL69" i="3"/>
  <c r="BV69" i="3"/>
  <c r="BJ69" i="3"/>
  <c r="BX69" i="3"/>
  <c r="BC69" i="3"/>
  <c r="BE69" i="3"/>
  <c r="CB69" i="3"/>
  <c r="BR69" i="3"/>
  <c r="BP54" i="3"/>
  <c r="BZ54" i="3"/>
  <c r="CM54" i="3"/>
  <c r="CU54" i="3"/>
  <c r="DL54" i="3"/>
  <c r="BV54" i="3"/>
  <c r="BN54" i="3"/>
  <c r="CI54" i="3"/>
  <c r="DU54" i="3"/>
  <c r="BT54" i="3"/>
  <c r="BL54" i="3"/>
  <c r="CQ54" i="3"/>
  <c r="BX54" i="3"/>
  <c r="BR54" i="3"/>
  <c r="CE54" i="3"/>
  <c r="CB54" i="3"/>
  <c r="BC54" i="3"/>
  <c r="BE54" i="3"/>
  <c r="BJ54" i="3"/>
  <c r="DV52" i="3"/>
  <c r="CR52" i="3"/>
  <c r="DP52" i="3"/>
  <c r="DR52" i="3"/>
  <c r="DE52" i="3"/>
  <c r="CY52" i="3"/>
  <c r="DM52" i="3"/>
  <c r="CN52" i="3"/>
  <c r="CF52" i="3"/>
  <c r="CV52" i="3"/>
  <c r="DB52" i="3"/>
  <c r="CJ52" i="3"/>
  <c r="DI52" i="3"/>
  <c r="BP110" i="3"/>
  <c r="BB108" i="3"/>
  <c r="CB32" i="3"/>
  <c r="CQ29" i="3"/>
  <c r="BP29" i="3"/>
  <c r="BV29" i="3"/>
  <c r="BC29" i="3"/>
  <c r="BE29" i="3"/>
  <c r="BT29" i="3"/>
  <c r="CI29" i="3"/>
  <c r="BZ29" i="3"/>
  <c r="DL29" i="3"/>
  <c r="CB29" i="3"/>
  <c r="DU29" i="3"/>
  <c r="CM29" i="3"/>
  <c r="BJ29" i="3"/>
  <c r="BN29" i="3"/>
  <c r="BL29" i="3"/>
  <c r="BX29" i="3"/>
  <c r="BR29" i="3"/>
  <c r="BZ14" i="3"/>
  <c r="DB77" i="3"/>
  <c r="CN77" i="3"/>
  <c r="DI77" i="3"/>
  <c r="CV77" i="3"/>
  <c r="DP77" i="3"/>
  <c r="CF77" i="3"/>
  <c r="DE77" i="3"/>
  <c r="CJ77" i="3"/>
  <c r="DV77" i="3"/>
  <c r="CR77" i="3"/>
  <c r="DR77" i="3"/>
  <c r="DM77" i="3"/>
  <c r="CY77" i="3"/>
  <c r="DL76" i="3"/>
  <c r="DM75" i="3"/>
  <c r="DP75" i="3"/>
  <c r="CJ75" i="3"/>
  <c r="DB75" i="3"/>
  <c r="CY75" i="3"/>
  <c r="DV75" i="3"/>
  <c r="CR75" i="3"/>
  <c r="DR75" i="3"/>
  <c r="CN75" i="3"/>
  <c r="DI75" i="3"/>
  <c r="CF75" i="3"/>
  <c r="CM68" i="3"/>
  <c r="BC68" i="3"/>
  <c r="BE68" i="3"/>
  <c r="BJ68" i="3"/>
  <c r="BV68" i="3"/>
  <c r="CE68" i="3"/>
  <c r="BZ68" i="3"/>
  <c r="CQ68" i="3"/>
  <c r="BR68" i="3"/>
  <c r="BL68" i="3"/>
  <c r="BX68" i="3"/>
  <c r="BN68" i="3"/>
  <c r="CI68" i="3"/>
  <c r="BP68" i="3"/>
  <c r="DU68" i="3"/>
  <c r="CB68" i="3"/>
  <c r="BT68" i="3"/>
  <c r="AO111" i="3"/>
  <c r="AO115" i="3"/>
  <c r="DE30" i="3"/>
  <c r="DV30" i="3"/>
  <c r="CF30" i="3"/>
  <c r="CN30" i="3"/>
  <c r="DI30" i="3"/>
  <c r="CJ30" i="3"/>
  <c r="DP30" i="3"/>
  <c r="CR30" i="3"/>
  <c r="CE87" i="3"/>
  <c r="CB87" i="3"/>
  <c r="BZ87" i="3"/>
  <c r="BX87" i="3"/>
  <c r="BJ87" i="3"/>
  <c r="BL87" i="3"/>
  <c r="CU87" i="3"/>
  <c r="BR87" i="3"/>
  <c r="BT87" i="3"/>
  <c r="CI87" i="3"/>
  <c r="BP87" i="3"/>
  <c r="BV87" i="3"/>
  <c r="CM87" i="3"/>
  <c r="BN87" i="3"/>
  <c r="DU87" i="3"/>
  <c r="BC87" i="3"/>
  <c r="BE87" i="3"/>
  <c r="DL87" i="3"/>
  <c r="CQ87" i="3"/>
  <c r="DE75" i="3"/>
  <c r="DV67" i="3"/>
  <c r="CJ67" i="3"/>
  <c r="CV67" i="3"/>
  <c r="CR67" i="3"/>
  <c r="DI67" i="3"/>
  <c r="CF67" i="3"/>
  <c r="DM67" i="3"/>
  <c r="CY67" i="3"/>
  <c r="DE67" i="3"/>
  <c r="DR67" i="3"/>
  <c r="DP67" i="3"/>
  <c r="CN67" i="3"/>
  <c r="BZ89" i="3"/>
  <c r="BX89" i="3"/>
  <c r="DL89" i="3"/>
  <c r="CI89" i="3"/>
  <c r="BT89" i="3"/>
  <c r="BN89" i="3"/>
  <c r="BL89" i="3"/>
  <c r="BV89" i="3"/>
  <c r="CU89" i="3"/>
  <c r="BP89" i="3"/>
  <c r="BJ89" i="3"/>
  <c r="BR89" i="3"/>
  <c r="CM89" i="3"/>
  <c r="DU89" i="3"/>
  <c r="CQ89" i="3"/>
  <c r="CE89" i="3"/>
  <c r="CB89" i="3"/>
  <c r="BC89" i="3"/>
  <c r="BX79" i="3"/>
  <c r="DL79" i="3"/>
  <c r="BC79" i="3"/>
  <c r="BE79" i="3"/>
  <c r="BV79" i="3"/>
  <c r="CI79" i="3"/>
  <c r="BJ79" i="3"/>
  <c r="BN79" i="3"/>
  <c r="BP79" i="3"/>
  <c r="CB79" i="3"/>
  <c r="BR79" i="3"/>
  <c r="CE79" i="3"/>
  <c r="CQ79" i="3"/>
  <c r="CU79" i="3"/>
  <c r="DU79" i="3"/>
  <c r="BT79" i="3"/>
  <c r="BZ79" i="3"/>
  <c r="CM79" i="3"/>
  <c r="BL79" i="3"/>
  <c r="DL68" i="3"/>
  <c r="CY48" i="3"/>
  <c r="DP48" i="3"/>
  <c r="DI48" i="3"/>
  <c r="DV48" i="3"/>
  <c r="CF48" i="3"/>
  <c r="DB48" i="3"/>
  <c r="DE48" i="3"/>
  <c r="CN48" i="3"/>
  <c r="CV48" i="3"/>
  <c r="DM48" i="3"/>
  <c r="CJ48" i="3"/>
  <c r="CR48" i="3"/>
  <c r="CI48" i="3"/>
  <c r="BV48" i="3"/>
  <c r="BT48" i="3"/>
  <c r="BX48" i="3"/>
  <c r="BL48" i="3"/>
  <c r="DU48" i="3"/>
  <c r="CE48" i="3"/>
  <c r="CU48" i="3"/>
  <c r="BC48" i="3"/>
  <c r="BE48" i="3"/>
  <c r="BN48" i="3"/>
  <c r="BR48" i="3"/>
  <c r="CM48" i="3"/>
  <c r="DL48" i="3"/>
  <c r="BP48" i="3"/>
  <c r="CQ48" i="3"/>
  <c r="CB48" i="3"/>
  <c r="BJ48" i="3"/>
  <c r="DM42" i="3"/>
  <c r="DV42" i="3"/>
  <c r="DE42" i="3"/>
  <c r="CR42" i="3"/>
  <c r="CY42" i="3"/>
  <c r="DI42" i="3"/>
  <c r="DB42" i="3"/>
  <c r="DP42" i="3"/>
  <c r="CN42" i="3"/>
  <c r="CJ42" i="3"/>
  <c r="CF42" i="3"/>
  <c r="DM39" i="3"/>
  <c r="DB39" i="3"/>
  <c r="CF39" i="3"/>
  <c r="DV39" i="3"/>
  <c r="CV39" i="3"/>
  <c r="DE39" i="3"/>
  <c r="DI39" i="3"/>
  <c r="DR39" i="3"/>
  <c r="CN39" i="3"/>
  <c r="CJ39" i="3"/>
  <c r="CR39" i="3"/>
  <c r="DP39" i="3"/>
  <c r="Y111" i="3"/>
  <c r="Y115" i="3"/>
  <c r="CE9" i="3"/>
  <c r="CI9" i="3"/>
  <c r="DL9" i="3"/>
  <c r="BL9" i="3"/>
  <c r="DU9" i="3"/>
  <c r="DU88" i="3"/>
  <c r="DU107" i="3"/>
  <c r="BX9" i="3"/>
  <c r="CM9" i="3"/>
  <c r="BJ9" i="3"/>
  <c r="BC9" i="3"/>
  <c r="BE9" i="3"/>
  <c r="BZ9" i="3"/>
  <c r="BT9" i="3"/>
  <c r="CB9" i="3"/>
  <c r="BN9" i="3"/>
  <c r="BR9" i="3"/>
  <c r="CQ9" i="3"/>
  <c r="CV75" i="3"/>
  <c r="BC18" i="3"/>
  <c r="BE18" i="3"/>
  <c r="DL18" i="3"/>
  <c r="CM18" i="3"/>
  <c r="CI18" i="3"/>
  <c r="BV18" i="3"/>
  <c r="CU18" i="3"/>
  <c r="CQ18" i="3"/>
  <c r="BJ18" i="3"/>
  <c r="BT18" i="3"/>
  <c r="BR18" i="3"/>
  <c r="BX18" i="3"/>
  <c r="BN18" i="3"/>
  <c r="BZ18" i="3"/>
  <c r="CE18" i="3"/>
  <c r="BL18" i="3"/>
  <c r="DU18" i="3"/>
  <c r="CB18" i="3"/>
  <c r="BP18" i="3"/>
  <c r="DV74" i="3"/>
  <c r="DB74" i="3"/>
  <c r="CR74" i="3"/>
  <c r="CF74" i="3"/>
  <c r="DI74" i="3"/>
  <c r="CJ74" i="3"/>
  <c r="DM74" i="3"/>
  <c r="CY74" i="3"/>
  <c r="CV74" i="3"/>
  <c r="DP74" i="3"/>
  <c r="CN74" i="3"/>
  <c r="DE74" i="3"/>
  <c r="DE79" i="3"/>
  <c r="CR79" i="3"/>
  <c r="DR79" i="3"/>
  <c r="DB79" i="3"/>
  <c r="CJ79" i="3"/>
  <c r="CN79" i="3"/>
  <c r="CF79" i="3"/>
  <c r="DI79" i="3"/>
  <c r="DM79" i="3"/>
  <c r="CV79" i="3"/>
  <c r="DV79" i="3"/>
  <c r="CY79" i="3"/>
  <c r="AP111" i="3"/>
  <c r="AP115" i="3"/>
  <c r="BP73" i="3"/>
  <c r="E18" i="14"/>
  <c r="BR73" i="3"/>
  <c r="E21" i="14"/>
  <c r="CU73" i="3"/>
  <c r="BL73" i="3"/>
  <c r="E12" i="14"/>
  <c r="BJ73" i="3"/>
  <c r="E9" i="14"/>
  <c r="CI73" i="3"/>
  <c r="BV73" i="3"/>
  <c r="E27" i="14"/>
  <c r="BC73" i="3"/>
  <c r="BE73" i="3"/>
  <c r="CQ73" i="3"/>
  <c r="BN73" i="3"/>
  <c r="E15" i="14"/>
  <c r="CE73" i="3"/>
  <c r="DU73" i="3"/>
  <c r="DL73" i="3"/>
  <c r="CM73" i="3"/>
  <c r="CB73" i="3"/>
  <c r="E36" i="14"/>
  <c r="BZ73" i="3"/>
  <c r="E33" i="14"/>
  <c r="BT73" i="3"/>
  <c r="E24" i="14"/>
  <c r="DM30" i="3"/>
  <c r="CE62" i="3"/>
  <c r="BN62" i="3"/>
  <c r="BL62" i="3"/>
  <c r="CQ62" i="3"/>
  <c r="BX62" i="3"/>
  <c r="CI62" i="3"/>
  <c r="BV62" i="3"/>
  <c r="CM62" i="3"/>
  <c r="DL62" i="3"/>
  <c r="BC62" i="3"/>
  <c r="BE62" i="3"/>
  <c r="DU62" i="3"/>
  <c r="BJ62" i="3"/>
  <c r="BR62" i="3"/>
  <c r="BT62" i="3"/>
  <c r="CB62" i="3"/>
  <c r="BP62" i="3"/>
  <c r="BZ62" i="3"/>
  <c r="CU62" i="3"/>
  <c r="DE51" i="3"/>
  <c r="DV51" i="3"/>
  <c r="CN51" i="3"/>
  <c r="CJ51" i="3"/>
  <c r="CF51" i="3"/>
  <c r="CY51" i="3"/>
  <c r="DP51" i="3"/>
  <c r="DB51" i="3"/>
  <c r="DR51" i="3"/>
  <c r="DI51" i="3"/>
  <c r="CV51" i="3"/>
  <c r="CM31" i="3"/>
  <c r="DL31" i="3"/>
  <c r="BT31" i="3"/>
  <c r="BZ31" i="3"/>
  <c r="CE31" i="3"/>
  <c r="BX31" i="3"/>
  <c r="DU31" i="3"/>
  <c r="BL31" i="3"/>
  <c r="BP31" i="3"/>
  <c r="BJ31" i="3"/>
  <c r="BN31" i="3"/>
  <c r="CB31" i="3"/>
  <c r="BC31" i="3"/>
  <c r="BE31" i="3"/>
  <c r="CY30" i="3"/>
  <c r="CR16" i="3"/>
  <c r="DE16" i="3"/>
  <c r="DM16" i="3"/>
  <c r="DB16" i="3"/>
  <c r="DP16" i="3"/>
  <c r="DR16" i="3"/>
  <c r="DI16" i="3"/>
  <c r="CN16" i="3"/>
  <c r="CF16" i="3"/>
  <c r="CJ16" i="3"/>
  <c r="DV16" i="3"/>
  <c r="CY16" i="3"/>
  <c r="DL55" i="3"/>
  <c r="BC55" i="3"/>
  <c r="BE55" i="3"/>
  <c r="CU55" i="3"/>
  <c r="BL55" i="3"/>
  <c r="BV55" i="3"/>
  <c r="BZ55" i="3"/>
  <c r="DU55" i="3"/>
  <c r="BP55" i="3"/>
  <c r="BR55" i="3"/>
  <c r="CE55" i="3"/>
  <c r="CM55" i="3"/>
  <c r="BX55" i="3"/>
  <c r="CI55" i="3"/>
  <c r="CQ55" i="3"/>
  <c r="BJ55" i="3"/>
  <c r="CB55" i="3"/>
  <c r="BV31" i="3"/>
  <c r="DM14" i="3"/>
  <c r="DP14" i="3"/>
  <c r="CY14" i="3"/>
  <c r="DB14" i="3"/>
  <c r="CN14" i="3"/>
  <c r="CJ14" i="3"/>
  <c r="DR14" i="3"/>
  <c r="DI14" i="3"/>
  <c r="DV14" i="3"/>
  <c r="CV14" i="3"/>
  <c r="CR14" i="3"/>
  <c r="CY20" i="3"/>
  <c r="G61" i="14"/>
  <c r="DR20" i="3"/>
  <c r="DV20" i="3"/>
  <c r="CJ20" i="3"/>
  <c r="G45" i="14"/>
  <c r="DB20" i="3"/>
  <c r="G65" i="14"/>
  <c r="CV20" i="3"/>
  <c r="G57" i="14"/>
  <c r="DE20" i="3"/>
  <c r="G69" i="14"/>
  <c r="CN20" i="3"/>
  <c r="G49" i="14"/>
  <c r="DM20" i="3"/>
  <c r="G78" i="14"/>
  <c r="DI20" i="3"/>
  <c r="G74" i="14"/>
  <c r="CF20" i="3"/>
  <c r="G41" i="14"/>
  <c r="CY23" i="3"/>
  <c r="CN23" i="3"/>
  <c r="CR23" i="3"/>
  <c r="DP23" i="3"/>
  <c r="DR23" i="3"/>
  <c r="DM23" i="3"/>
  <c r="DE23" i="3"/>
  <c r="CJ23" i="3"/>
  <c r="CF23" i="3"/>
  <c r="DI23" i="3"/>
  <c r="DV23" i="3"/>
  <c r="DJ108" i="3"/>
  <c r="J75" i="14"/>
  <c r="BC50" i="3"/>
  <c r="BE50" i="3"/>
  <c r="BT50" i="3"/>
  <c r="DL50" i="3"/>
  <c r="BN50" i="3"/>
  <c r="CB50" i="3"/>
  <c r="BX50" i="3"/>
  <c r="BV50" i="3"/>
  <c r="DU50" i="3"/>
  <c r="BJ50" i="3"/>
  <c r="CM50" i="3"/>
  <c r="CI50" i="3"/>
  <c r="CE50" i="3"/>
  <c r="BP50" i="3"/>
  <c r="CJ84" i="3"/>
  <c r="CR84" i="3"/>
  <c r="DM84" i="3"/>
  <c r="DR84" i="3"/>
  <c r="CY84" i="3"/>
  <c r="DB84" i="3"/>
  <c r="DV84" i="3"/>
  <c r="DE84" i="3"/>
  <c r="DM66" i="3"/>
  <c r="DI66" i="3"/>
  <c r="DB66" i="3"/>
  <c r="CR66" i="3"/>
  <c r="CN66" i="3"/>
  <c r="CY66" i="3"/>
  <c r="CF66" i="3"/>
  <c r="CV66" i="3"/>
  <c r="DE66" i="3"/>
  <c r="DV66" i="3"/>
  <c r="DR66" i="3"/>
  <c r="CJ66" i="3"/>
  <c r="DP66" i="3"/>
  <c r="L111" i="3"/>
  <c r="L115" i="3"/>
  <c r="CZ106" i="3"/>
  <c r="H62" i="14"/>
  <c r="BC67" i="3"/>
  <c r="BE67" i="3"/>
  <c r="CQ67" i="3"/>
  <c r="BL67" i="3"/>
  <c r="CM67" i="3"/>
  <c r="CU67" i="3"/>
  <c r="BR67" i="3"/>
  <c r="DL67" i="3"/>
  <c r="BT67" i="3"/>
  <c r="BZ67" i="3"/>
  <c r="CE67" i="3"/>
  <c r="BX67" i="3"/>
  <c r="CI67" i="3"/>
  <c r="BN67" i="3"/>
  <c r="BJ67" i="3"/>
  <c r="CB67" i="3"/>
  <c r="BP67" i="3"/>
  <c r="DU67" i="3"/>
  <c r="BV67" i="3"/>
  <c r="DB81" i="3"/>
  <c r="DV81" i="3"/>
  <c r="DR81" i="3"/>
  <c r="CJ81" i="3"/>
  <c r="DM81" i="3"/>
  <c r="DP81" i="3"/>
  <c r="DI81" i="3"/>
  <c r="CR81" i="3"/>
  <c r="CN81" i="3"/>
  <c r="DE81" i="3"/>
  <c r="CF81" i="3"/>
  <c r="CY81" i="3"/>
  <c r="CV81" i="3"/>
  <c r="BP78" i="3"/>
  <c r="CE78" i="3"/>
  <c r="BC78" i="3"/>
  <c r="BE78" i="3"/>
  <c r="BJ78" i="3"/>
  <c r="BT78" i="3"/>
  <c r="CQ78" i="3"/>
  <c r="BL78" i="3"/>
  <c r="DL78" i="3"/>
  <c r="CI78" i="3"/>
  <c r="BN78" i="3"/>
  <c r="DU78" i="3"/>
  <c r="BR78" i="3"/>
  <c r="BV78" i="3"/>
  <c r="BZ78" i="3"/>
  <c r="BX78" i="3"/>
  <c r="CB78" i="3"/>
  <c r="CU78" i="3"/>
  <c r="CM78" i="3"/>
  <c r="BR50" i="3"/>
  <c r="BT49" i="3"/>
  <c r="CM49" i="3"/>
  <c r="CE49" i="3"/>
  <c r="DL49" i="3"/>
  <c r="CQ49" i="3"/>
  <c r="CI49" i="3"/>
  <c r="CU49" i="3"/>
  <c r="BX49" i="3"/>
  <c r="DU49" i="3"/>
  <c r="BZ49" i="3"/>
  <c r="CB49" i="3"/>
  <c r="BR49" i="3"/>
  <c r="BN49" i="3"/>
  <c r="BC49" i="3"/>
  <c r="BE49" i="3"/>
  <c r="BJ49" i="3"/>
  <c r="BL49" i="3"/>
  <c r="CF27" i="3"/>
  <c r="DE27" i="3"/>
  <c r="DP27" i="3"/>
  <c r="CY27" i="3"/>
  <c r="CR27" i="3"/>
  <c r="CN27" i="3"/>
  <c r="CV27" i="3"/>
  <c r="DI27" i="3"/>
  <c r="DV27" i="3"/>
  <c r="DM27" i="3"/>
  <c r="DB27" i="3"/>
  <c r="CJ27" i="3"/>
  <c r="DR27" i="3"/>
  <c r="CI20" i="3"/>
  <c r="BN20" i="3"/>
  <c r="G15" i="14"/>
  <c r="BZ20" i="3"/>
  <c r="G33" i="14"/>
  <c r="BP20" i="3"/>
  <c r="G18" i="14"/>
  <c r="CB20" i="3"/>
  <c r="G36" i="14"/>
  <c r="DU20" i="3"/>
  <c r="CM20" i="3"/>
  <c r="BL20" i="3"/>
  <c r="G12" i="14"/>
  <c r="CE20" i="3"/>
  <c r="DL20" i="3"/>
  <c r="BV20" i="3"/>
  <c r="G27" i="14"/>
  <c r="BT20" i="3"/>
  <c r="G24" i="14"/>
  <c r="BC20" i="3"/>
  <c r="BE20" i="3"/>
  <c r="BJ20" i="3"/>
  <c r="G9" i="14"/>
  <c r="BR20" i="3"/>
  <c r="G21" i="14"/>
  <c r="DP9" i="3"/>
  <c r="CR9" i="3"/>
  <c r="DB9" i="3"/>
  <c r="DR9" i="3"/>
  <c r="DV9" i="3"/>
  <c r="DV88" i="3"/>
  <c r="DV107" i="3"/>
  <c r="CJ9" i="3"/>
  <c r="DI9" i="3"/>
  <c r="DM9" i="3"/>
  <c r="CE30" i="3"/>
  <c r="CI30" i="3"/>
  <c r="BN30" i="3"/>
  <c r="BT30" i="3"/>
  <c r="BV30" i="3"/>
  <c r="BX30" i="3"/>
  <c r="BP30" i="3"/>
  <c r="BC30" i="3"/>
  <c r="BE30" i="3"/>
  <c r="DU30" i="3"/>
  <c r="BJ30" i="3"/>
  <c r="BL30" i="3"/>
  <c r="BR30" i="3"/>
  <c r="CB30" i="3"/>
  <c r="CM30" i="3"/>
  <c r="DR42" i="3"/>
  <c r="CR7" i="3"/>
  <c r="CF7" i="3"/>
  <c r="CJ7" i="3"/>
  <c r="DV7" i="3"/>
  <c r="DI7" i="3"/>
  <c r="DB7" i="3"/>
  <c r="DE7" i="3"/>
  <c r="CV7" i="3"/>
  <c r="CY7" i="3"/>
  <c r="DR7" i="3"/>
  <c r="BB106" i="3"/>
  <c r="CN7" i="3"/>
  <c r="DM7" i="3"/>
  <c r="CN33" i="3"/>
  <c r="DI33" i="3"/>
  <c r="DV33" i="3"/>
  <c r="DM33" i="3"/>
  <c r="DR33" i="3"/>
  <c r="CR33" i="3"/>
  <c r="CF33" i="3"/>
  <c r="CY33" i="3"/>
  <c r="CR21" i="3"/>
  <c r="DB21" i="3"/>
  <c r="DR21" i="3"/>
  <c r="DV21" i="3"/>
  <c r="CY21" i="3"/>
  <c r="DP21" i="3"/>
  <c r="CN21" i="3"/>
  <c r="CV21" i="3"/>
  <c r="DI21" i="3"/>
  <c r="CJ21" i="3"/>
  <c r="G111" i="3"/>
  <c r="G115" i="3"/>
  <c r="BT77" i="3"/>
  <c r="BZ77" i="3"/>
  <c r="BJ77" i="3"/>
  <c r="BN77" i="3"/>
  <c r="CB77" i="3"/>
  <c r="CE77" i="3"/>
  <c r="BP77" i="3"/>
  <c r="BL77" i="3"/>
  <c r="BX77" i="3"/>
  <c r="DU77" i="3"/>
  <c r="CM77" i="3"/>
  <c r="BV77" i="3"/>
  <c r="BC77" i="3"/>
  <c r="BE77" i="3"/>
  <c r="DL77" i="3"/>
  <c r="CQ77" i="3"/>
  <c r="CU77" i="3"/>
  <c r="CI34" i="3"/>
  <c r="BL34" i="3"/>
  <c r="CU34" i="3"/>
  <c r="CM34" i="3"/>
  <c r="CB34" i="3"/>
  <c r="BV34" i="3"/>
  <c r="DU34" i="3"/>
  <c r="BZ34" i="3"/>
  <c r="BX34" i="3"/>
  <c r="BC34" i="3"/>
  <c r="BE34" i="3"/>
  <c r="CQ34" i="3"/>
  <c r="BT34" i="3"/>
  <c r="BJ34" i="3"/>
  <c r="CE34" i="3"/>
  <c r="BP34" i="3"/>
  <c r="DL34" i="3"/>
  <c r="CY22" i="3"/>
  <c r="DV22" i="3"/>
  <c r="DE22" i="3"/>
  <c r="DR22" i="3"/>
  <c r="CR22" i="3"/>
  <c r="CF22" i="3"/>
  <c r="DB22" i="3"/>
  <c r="DP22" i="3"/>
  <c r="DM51" i="3"/>
  <c r="BJ51" i="3"/>
  <c r="BN51" i="3"/>
  <c r="CM51" i="3"/>
  <c r="DU51" i="3"/>
  <c r="BV51" i="3"/>
  <c r="BC51" i="3"/>
  <c r="BE51" i="3"/>
  <c r="BZ51" i="3"/>
  <c r="BR51" i="3"/>
  <c r="BL51" i="3"/>
  <c r="BT51" i="3"/>
  <c r="CI51" i="3"/>
  <c r="BP51" i="3"/>
  <c r="CQ51" i="3"/>
  <c r="CB51" i="3"/>
  <c r="CF43" i="3"/>
  <c r="DV43" i="3"/>
  <c r="DM43" i="3"/>
  <c r="CY43" i="3"/>
  <c r="CJ43" i="3"/>
  <c r="CR43" i="3"/>
  <c r="DP43" i="3"/>
  <c r="CV43" i="3"/>
  <c r="DR43" i="3"/>
  <c r="DB30" i="3"/>
  <c r="CV30" i="3"/>
  <c r="CE33" i="3"/>
  <c r="CM33" i="3"/>
  <c r="DL33" i="3"/>
  <c r="BC33" i="3"/>
  <c r="BE33" i="3"/>
  <c r="BR33" i="3"/>
  <c r="BL33" i="3"/>
  <c r="BV33" i="3"/>
  <c r="BJ33" i="3"/>
  <c r="DU33" i="3"/>
  <c r="BP33" i="3"/>
  <c r="CB33" i="3"/>
  <c r="BN33" i="3"/>
  <c r="CQ33" i="3"/>
  <c r="BZ33" i="3"/>
  <c r="CQ20" i="3"/>
  <c r="CR82" i="3"/>
  <c r="CY82" i="3"/>
  <c r="CF82" i="3"/>
  <c r="DV82" i="3"/>
  <c r="DI82" i="3"/>
  <c r="DP82" i="3"/>
  <c r="DE82" i="3"/>
  <c r="DB82" i="3"/>
  <c r="CN82" i="3"/>
  <c r="DM82" i="3"/>
  <c r="BC82" i="3"/>
  <c r="BE82" i="3"/>
  <c r="DR98" i="3"/>
  <c r="CN98" i="3"/>
  <c r="CJ98" i="3"/>
  <c r="CR98" i="3"/>
  <c r="CY98" i="3"/>
  <c r="CV98" i="3"/>
  <c r="CV101" i="3"/>
  <c r="CV109" i="3"/>
  <c r="DV98" i="3"/>
  <c r="DP98" i="3"/>
  <c r="DE98" i="3"/>
  <c r="DE101" i="3"/>
  <c r="K69" i="14"/>
  <c r="DB98" i="3"/>
  <c r="CF98" i="3"/>
  <c r="DI98" i="3"/>
  <c r="BB109" i="3"/>
  <c r="BB101" i="3"/>
  <c r="DM98" i="3"/>
  <c r="CN76" i="3"/>
  <c r="DI76" i="3"/>
  <c r="DP76" i="3"/>
  <c r="DB76" i="3"/>
  <c r="DR76" i="3"/>
  <c r="CR76" i="3"/>
  <c r="DE76" i="3"/>
  <c r="CY76" i="3"/>
  <c r="CJ76" i="3"/>
  <c r="DV76" i="3"/>
  <c r="BZ30" i="3"/>
  <c r="DM76" i="3"/>
  <c r="DL36" i="3"/>
  <c r="CI36" i="3"/>
  <c r="BL36" i="3"/>
  <c r="BZ36" i="3"/>
  <c r="BC36" i="3"/>
  <c r="BE36" i="3"/>
  <c r="BN36" i="3"/>
  <c r="BR36" i="3"/>
  <c r="DU36" i="3"/>
  <c r="BT36" i="3"/>
  <c r="CU36" i="3"/>
  <c r="CB36" i="3"/>
  <c r="CM36" i="3"/>
  <c r="BJ36" i="3"/>
  <c r="BV36" i="3"/>
  <c r="CE36" i="3"/>
  <c r="BX36" i="3"/>
  <c r="CQ36" i="3"/>
  <c r="DE14" i="3"/>
  <c r="CJ104" i="3"/>
  <c r="DR104" i="3"/>
  <c r="DR110" i="3"/>
  <c r="DV104" i="3"/>
  <c r="DV110" i="3"/>
  <c r="CY104" i="3"/>
  <c r="CY110" i="3"/>
  <c r="DI101" i="3"/>
  <c r="K74" i="14"/>
  <c r="DI104" i="3"/>
  <c r="L74" i="14"/>
  <c r="DP104" i="3"/>
  <c r="DP110" i="3"/>
  <c r="DI96" i="3"/>
  <c r="DI108" i="3"/>
  <c r="CN104" i="3"/>
  <c r="CN110" i="3"/>
  <c r="L49" i="14"/>
  <c r="DP96" i="3"/>
  <c r="DP108" i="3"/>
  <c r="J56" i="14"/>
  <c r="H56" i="14"/>
  <c r="DM8" i="3"/>
  <c r="DM106" i="3"/>
  <c r="CJ101" i="3"/>
  <c r="K45" i="14"/>
  <c r="CR110" i="3"/>
  <c r="K56" i="14"/>
  <c r="CV8" i="3"/>
  <c r="DE104" i="3"/>
  <c r="L69" i="14"/>
  <c r="CF104" i="3"/>
  <c r="DM104" i="3"/>
  <c r="DM110" i="3"/>
  <c r="DR96" i="3"/>
  <c r="DR108" i="3"/>
  <c r="DI8" i="3"/>
  <c r="DI106" i="3"/>
  <c r="DB110" i="3"/>
  <c r="L65" i="14"/>
  <c r="L12" i="14"/>
  <c r="L27" i="14"/>
  <c r="L33" i="14"/>
  <c r="BT110" i="3"/>
  <c r="BX110" i="3"/>
  <c r="BJ110" i="3"/>
  <c r="BE89" i="3"/>
  <c r="L61" i="14"/>
  <c r="CV110" i="3"/>
  <c r="DI110" i="3"/>
  <c r="L53" i="14"/>
  <c r="J82" i="14"/>
  <c r="DE110" i="3"/>
  <c r="CJ109" i="3"/>
  <c r="L41" i="14"/>
  <c r="CF110" i="3"/>
  <c r="CV108" i="3"/>
  <c r="J57" i="14"/>
  <c r="J74" i="14"/>
  <c r="H57" i="14"/>
  <c r="CV106" i="3"/>
  <c r="L82" i="14"/>
  <c r="DI109" i="3"/>
  <c r="CN101" i="3"/>
  <c r="L15" i="14"/>
  <c r="BN110" i="3"/>
  <c r="CJ8" i="3"/>
  <c r="BE102" i="3"/>
  <c r="BC104" i="3"/>
  <c r="BC110" i="3"/>
  <c r="DK109" i="3"/>
  <c r="K77" i="14"/>
  <c r="BT66" i="3"/>
  <c r="CM66" i="3"/>
  <c r="BV66" i="3"/>
  <c r="BZ66" i="3"/>
  <c r="DU66" i="3"/>
  <c r="CB66" i="3"/>
  <c r="BN66" i="3"/>
  <c r="BJ66" i="3"/>
  <c r="BP66" i="3"/>
  <c r="CQ66" i="3"/>
  <c r="BX66" i="3"/>
  <c r="DL66" i="3"/>
  <c r="BL66" i="3"/>
  <c r="CI66" i="3"/>
  <c r="CE66" i="3"/>
  <c r="CU66" i="3"/>
  <c r="BC66" i="3"/>
  <c r="BE66" i="3"/>
  <c r="DM61" i="3"/>
  <c r="CJ61" i="3"/>
  <c r="DI61" i="3"/>
  <c r="DP61" i="3"/>
  <c r="DE61" i="3"/>
  <c r="CF61" i="3"/>
  <c r="CV61" i="3"/>
  <c r="CY61" i="3"/>
  <c r="CR61" i="3"/>
  <c r="DV61" i="3"/>
  <c r="DB61" i="3"/>
  <c r="DR61" i="3"/>
  <c r="BC61" i="3"/>
  <c r="BE61" i="3"/>
  <c r="CN61" i="3"/>
  <c r="CL8" i="3"/>
  <c r="DI44" i="3"/>
  <c r="DB44" i="3"/>
  <c r="CN44" i="3"/>
  <c r="DM44" i="3"/>
  <c r="CR44" i="3"/>
  <c r="DR44" i="3"/>
  <c r="DV44" i="3"/>
  <c r="CJ44" i="3"/>
  <c r="DE44" i="3"/>
  <c r="CF44" i="3"/>
  <c r="DP44" i="3"/>
  <c r="BC44" i="3"/>
  <c r="BE44" i="3"/>
  <c r="I75" i="14"/>
  <c r="CY44" i="3"/>
  <c r="BJ65" i="3"/>
  <c r="BL65" i="3"/>
  <c r="BN65" i="3"/>
  <c r="CE65" i="3"/>
  <c r="BX65" i="3"/>
  <c r="DU65" i="3"/>
  <c r="BP65" i="3"/>
  <c r="BR65" i="3"/>
  <c r="CB65" i="3"/>
  <c r="CI65" i="3"/>
  <c r="BC65" i="3"/>
  <c r="BE65" i="3"/>
  <c r="CM65" i="3"/>
  <c r="CU65" i="3"/>
  <c r="CQ65" i="3"/>
  <c r="BT65" i="3"/>
  <c r="L78" i="14"/>
  <c r="H74" i="14"/>
  <c r="K57" i="14"/>
  <c r="CJ110" i="3"/>
  <c r="L45" i="14"/>
  <c r="DB106" i="3"/>
  <c r="H78" i="14"/>
  <c r="DE109" i="3"/>
  <c r="CF96" i="3"/>
  <c r="CB110" i="3"/>
  <c r="DE80" i="3"/>
  <c r="DM80" i="3"/>
  <c r="DP80" i="3"/>
  <c r="CV80" i="3"/>
  <c r="CJ33" i="3"/>
  <c r="CV33" i="3"/>
  <c r="BR32" i="3"/>
  <c r="BC32" i="3"/>
  <c r="BE32" i="3"/>
  <c r="BT32" i="3"/>
  <c r="DU32" i="3"/>
  <c r="CI59" i="3"/>
  <c r="CU59" i="3"/>
  <c r="DL59" i="3"/>
  <c r="DP86" i="3"/>
  <c r="CN86" i="3"/>
  <c r="DB86" i="3"/>
  <c r="CJ86" i="3"/>
  <c r="CF86" i="3"/>
  <c r="DV86" i="3"/>
  <c r="CR86" i="3"/>
  <c r="CY86" i="3"/>
  <c r="DI86" i="3"/>
  <c r="CV86" i="3"/>
  <c r="CL79" i="3"/>
  <c r="CP79" i="3"/>
  <c r="CH79" i="3"/>
  <c r="DH79" i="3"/>
  <c r="CT79" i="3"/>
  <c r="DD79" i="3"/>
  <c r="DT79" i="3"/>
  <c r="CX79" i="3"/>
  <c r="DK79" i="3"/>
  <c r="CP76" i="3"/>
  <c r="CX76" i="3"/>
  <c r="CH76" i="3"/>
  <c r="CT76" i="3"/>
  <c r="DO76" i="3"/>
  <c r="DH76" i="3"/>
  <c r="CL76" i="3"/>
  <c r="DD76" i="3"/>
  <c r="DK76" i="3"/>
  <c r="CD76" i="3"/>
  <c r="DD72" i="3"/>
  <c r="DO72" i="3"/>
  <c r="CH72" i="3"/>
  <c r="CD72" i="3"/>
  <c r="CX72" i="3"/>
  <c r="CT72" i="3"/>
  <c r="DH68" i="3"/>
  <c r="DO68" i="3"/>
  <c r="CP68" i="3"/>
  <c r="CT68" i="3"/>
  <c r="CX68" i="3"/>
  <c r="CD68" i="3"/>
  <c r="DD68" i="3"/>
  <c r="CL68" i="3"/>
  <c r="DH64" i="3"/>
  <c r="CX64" i="3"/>
  <c r="CL64" i="3"/>
  <c r="DD64" i="3"/>
  <c r="CH64" i="3"/>
  <c r="CD64" i="3"/>
  <c r="CT64" i="3"/>
  <c r="DT64" i="3"/>
  <c r="DO64" i="3"/>
  <c r="DO60" i="3"/>
  <c r="CX60" i="3"/>
  <c r="CL60" i="3"/>
  <c r="DH60" i="3"/>
  <c r="DD60" i="3"/>
  <c r="CH60" i="3"/>
  <c r="DK60" i="3"/>
  <c r="CP60" i="3"/>
  <c r="CT60" i="3"/>
  <c r="CD60" i="3"/>
  <c r="DD56" i="3"/>
  <c r="DH56" i="3"/>
  <c r="CX56" i="3"/>
  <c r="CP56" i="3"/>
  <c r="CH56" i="3"/>
  <c r="CT56" i="3"/>
  <c r="DT56" i="3"/>
  <c r="CL56" i="3"/>
  <c r="DO56" i="3"/>
  <c r="DH53" i="3"/>
  <c r="DO53" i="3"/>
  <c r="CD53" i="3"/>
  <c r="CH53" i="3"/>
  <c r="CX53" i="3"/>
  <c r="DT53" i="3"/>
  <c r="CL53" i="3"/>
  <c r="DD53" i="3"/>
  <c r="CT53" i="3"/>
  <c r="DK49" i="3"/>
  <c r="CH49" i="3"/>
  <c r="DT49" i="3"/>
  <c r="DO49" i="3"/>
  <c r="CX49" i="3"/>
  <c r="DD49" i="3"/>
  <c r="CT49" i="3"/>
  <c r="DH49" i="3"/>
  <c r="CP49" i="3"/>
  <c r="CL49" i="3"/>
  <c r="CL43" i="3"/>
  <c r="CX43" i="3"/>
  <c r="DT43" i="3"/>
  <c r="DH43" i="3"/>
  <c r="DK43" i="3"/>
  <c r="CT43" i="3"/>
  <c r="DD43" i="3"/>
  <c r="DO43" i="3"/>
  <c r="CH43" i="3"/>
  <c r="BG107" i="3"/>
  <c r="CD43" i="3"/>
  <c r="BG88" i="3"/>
  <c r="BK35" i="3"/>
  <c r="BA35" i="3"/>
  <c r="D107" i="3"/>
  <c r="D111" i="3"/>
  <c r="D115" i="3"/>
  <c r="D88" i="3"/>
  <c r="BM47" i="3"/>
  <c r="BA47" i="3"/>
  <c r="E107" i="3"/>
  <c r="E111" i="3"/>
  <c r="E115" i="3"/>
  <c r="E88" i="3"/>
  <c r="BM43" i="3"/>
  <c r="BA43" i="3"/>
  <c r="BL43" i="3"/>
  <c r="BM7" i="3"/>
  <c r="E8" i="3"/>
  <c r="BA7" i="3"/>
  <c r="F101" i="3"/>
  <c r="BO99" i="3"/>
  <c r="F109" i="3"/>
  <c r="BA99" i="3"/>
  <c r="BO95" i="3"/>
  <c r="F96" i="3"/>
  <c r="BA95" i="3"/>
  <c r="BO19" i="3"/>
  <c r="BA19" i="3"/>
  <c r="BN19" i="3"/>
  <c r="F88" i="3"/>
  <c r="F107" i="3"/>
  <c r="AG111" i="3"/>
  <c r="AG115" i="3"/>
  <c r="BN40" i="3"/>
  <c r="BR40" i="3"/>
  <c r="BP40" i="3"/>
  <c r="CI40" i="3"/>
  <c r="CU24" i="3"/>
  <c r="BN24" i="3"/>
  <c r="CQ24" i="3"/>
  <c r="BC24" i="3"/>
  <c r="BE24" i="3"/>
  <c r="DL24" i="3"/>
  <c r="BX24" i="3"/>
  <c r="DI78" i="3"/>
  <c r="DB78" i="3"/>
  <c r="CY78" i="3"/>
  <c r="DP78" i="3"/>
  <c r="CJ78" i="3"/>
  <c r="DR78" i="3"/>
  <c r="DE78" i="3"/>
  <c r="CR78" i="3"/>
  <c r="CF78" i="3"/>
  <c r="DD110" i="3"/>
  <c r="L68" i="14"/>
  <c r="BC84" i="3"/>
  <c r="BE84" i="3"/>
  <c r="DI43" i="3"/>
  <c r="CN43" i="3"/>
  <c r="DE43" i="3"/>
  <c r="DP33" i="3"/>
  <c r="DB33" i="3"/>
  <c r="CN84" i="3"/>
  <c r="DI84" i="3"/>
  <c r="DP84" i="3"/>
  <c r="BL50" i="3"/>
  <c r="CQ50" i="3"/>
  <c r="BZ50" i="3"/>
  <c r="DR80" i="3"/>
  <c r="DV80" i="3"/>
  <c r="CM32" i="3"/>
  <c r="DL32" i="3"/>
  <c r="BP32" i="3"/>
  <c r="BX32" i="3"/>
  <c r="CQ40" i="3"/>
  <c r="CE24" i="3"/>
  <c r="CB24" i="3"/>
  <c r="BT24" i="3"/>
  <c r="DL40" i="3"/>
  <c r="CM40" i="3"/>
  <c r="BL59" i="3"/>
  <c r="BV59" i="3"/>
  <c r="CM59" i="3"/>
  <c r="DU24" i="3"/>
  <c r="CV84" i="3"/>
  <c r="DM78" i="3"/>
  <c r="CN78" i="3"/>
  <c r="DR86" i="3"/>
  <c r="BC86" i="3"/>
  <c r="BE86" i="3"/>
  <c r="BZ39" i="3"/>
  <c r="BC39" i="3"/>
  <c r="BE39" i="3"/>
  <c r="CB39" i="3"/>
  <c r="CQ39" i="3"/>
  <c r="DU39" i="3"/>
  <c r="CN63" i="3"/>
  <c r="CY63" i="3"/>
  <c r="CJ63" i="3"/>
  <c r="CY100" i="3"/>
  <c r="CY101" i="3"/>
  <c r="DR100" i="3"/>
  <c r="DP100" i="3"/>
  <c r="DP101" i="3"/>
  <c r="DV100" i="3"/>
  <c r="DV101" i="3"/>
  <c r="DV109" i="3"/>
  <c r="CR100" i="3"/>
  <c r="CR101" i="3"/>
  <c r="DB100" i="3"/>
  <c r="DB101" i="3"/>
  <c r="CN100" i="3"/>
  <c r="CF100" i="3"/>
  <c r="DM100" i="3"/>
  <c r="DM101" i="3"/>
  <c r="CL110" i="3"/>
  <c r="L48" i="14"/>
  <c r="CR10" i="3"/>
  <c r="DR10" i="3"/>
  <c r="CV10" i="3"/>
  <c r="DB10" i="3"/>
  <c r="DM10" i="3"/>
  <c r="BP94" i="3"/>
  <c r="BX94" i="3"/>
  <c r="BJ94" i="3"/>
  <c r="BR94" i="3"/>
  <c r="BZ94" i="3"/>
  <c r="CM94" i="3"/>
  <c r="DF88" i="3"/>
  <c r="F106" i="3"/>
  <c r="F111" i="3"/>
  <c r="F115" i="3"/>
  <c r="F8" i="3"/>
  <c r="BA41" i="3"/>
  <c r="BP41" i="3"/>
  <c r="G88" i="3"/>
  <c r="BS80" i="3"/>
  <c r="BA80" i="3"/>
  <c r="BA74" i="3"/>
  <c r="BR66" i="3"/>
  <c r="DA28" i="3"/>
  <c r="BB28" i="3"/>
  <c r="CZ25" i="3"/>
  <c r="CZ88" i="3"/>
  <c r="BB25" i="3"/>
  <c r="CX22" i="3"/>
  <c r="AF88" i="3"/>
  <c r="CN56" i="3"/>
  <c r="DI56" i="3"/>
  <c r="DR56" i="3"/>
  <c r="DP56" i="3"/>
  <c r="DI46" i="3"/>
  <c r="CR46" i="3"/>
  <c r="CQ26" i="3"/>
  <c r="BZ26" i="3"/>
  <c r="BN26" i="3"/>
  <c r="DL26" i="3"/>
  <c r="BV26" i="3"/>
  <c r="DU82" i="3"/>
  <c r="CQ82" i="3"/>
  <c r="BL82" i="3"/>
  <c r="BJ82" i="3"/>
  <c r="BV82" i="3"/>
  <c r="BN82" i="3"/>
  <c r="DH8" i="3"/>
  <c r="CR89" i="3"/>
  <c r="CR96" i="3"/>
  <c r="CN89" i="3"/>
  <c r="DE89" i="3"/>
  <c r="DE96" i="3"/>
  <c r="DV89" i="3"/>
  <c r="DV96" i="3"/>
  <c r="DV108" i="3"/>
  <c r="DB89" i="3"/>
  <c r="DB96" i="3"/>
  <c r="CJ89" i="3"/>
  <c r="CJ96" i="3"/>
  <c r="CY89" i="3"/>
  <c r="CY96" i="3"/>
  <c r="CZ96" i="3"/>
  <c r="DT72" i="3"/>
  <c r="DT60" i="3"/>
  <c r="CN32" i="3"/>
  <c r="AY111" i="3"/>
  <c r="AY115" i="3"/>
  <c r="I111" i="3"/>
  <c r="I115" i="3"/>
  <c r="DL6" i="3"/>
  <c r="BN6" i="3"/>
  <c r="DV57" i="3"/>
  <c r="DM57" i="3"/>
  <c r="DD101" i="3"/>
  <c r="H70" i="14"/>
  <c r="DF106" i="3"/>
  <c r="CF6" i="3"/>
  <c r="CN6" i="3"/>
  <c r="CN8" i="3"/>
  <c r="CR6" i="3"/>
  <c r="CR8" i="3"/>
  <c r="DP6" i="3"/>
  <c r="DP8" i="3"/>
  <c r="DR6" i="3"/>
  <c r="DR8" i="3"/>
  <c r="DR106" i="3"/>
  <c r="CY6" i="3"/>
  <c r="CY8" i="3"/>
  <c r="CF5" i="3"/>
  <c r="DE5" i="3"/>
  <c r="DE8" i="3"/>
  <c r="CY5" i="3"/>
  <c r="DV5" i="3"/>
  <c r="L73" i="14"/>
  <c r="DH110" i="3"/>
  <c r="CI97" i="3"/>
  <c r="CE97" i="3"/>
  <c r="BZ97" i="3"/>
  <c r="CU97" i="3"/>
  <c r="CQ97" i="3"/>
  <c r="BN97" i="3"/>
  <c r="BV97" i="3"/>
  <c r="BT97" i="3"/>
  <c r="DD6" i="3"/>
  <c r="DD8" i="3"/>
  <c r="DO6" i="3"/>
  <c r="DO8" i="3"/>
  <c r="CD82" i="3"/>
  <c r="DH82" i="3"/>
  <c r="CL82" i="3"/>
  <c r="BA5" i="3"/>
  <c r="R108" i="3"/>
  <c r="BB85" i="3"/>
  <c r="CT73" i="3"/>
  <c r="CD49" i="3"/>
  <c r="DP13" i="3"/>
  <c r="CV49" i="3"/>
  <c r="DM13" i="3"/>
  <c r="DB49" i="3"/>
  <c r="CF41" i="3"/>
  <c r="DP41" i="3"/>
  <c r="DY109" i="3"/>
  <c r="CP6" i="3"/>
  <c r="CP8" i="3"/>
  <c r="CL6" i="3"/>
  <c r="DK86" i="3"/>
  <c r="CX82" i="3"/>
  <c r="CH8" i="3"/>
  <c r="CP86" i="3"/>
  <c r="DH6" i="3"/>
  <c r="DT34" i="3"/>
  <c r="DT76" i="3"/>
  <c r="DH25" i="3"/>
  <c r="CP25" i="3"/>
  <c r="DK25" i="3"/>
  <c r="DO21" i="3"/>
  <c r="DT21" i="3"/>
  <c r="CX93" i="3"/>
  <c r="DD93" i="3"/>
  <c r="CD93" i="3"/>
  <c r="CD96" i="3"/>
  <c r="CL90" i="3"/>
  <c r="CL96" i="3"/>
  <c r="CH90" i="3"/>
  <c r="CX90" i="3"/>
  <c r="CX96" i="3"/>
  <c r="CH98" i="3"/>
  <c r="DO98" i="3"/>
  <c r="CD98" i="3"/>
  <c r="DH98" i="3"/>
  <c r="DH101" i="3"/>
  <c r="DT97" i="3"/>
  <c r="DT101" i="3"/>
  <c r="DT109" i="3"/>
  <c r="DW92" i="3"/>
  <c r="DT92" i="3"/>
  <c r="I104" i="3"/>
  <c r="CN93" i="3"/>
  <c r="CF65" i="3"/>
  <c r="DR49" i="3"/>
  <c r="CF49" i="3"/>
  <c r="CU86" i="3"/>
  <c r="BZ86" i="3"/>
  <c r="CQ10" i="3"/>
  <c r="DE13" i="3"/>
  <c r="BL86" i="3"/>
  <c r="BP86" i="3"/>
  <c r="BX86" i="3"/>
  <c r="BR102" i="3"/>
  <c r="BR104" i="3"/>
  <c r="DU102" i="3"/>
  <c r="DU104" i="3"/>
  <c r="DU110" i="3"/>
  <c r="CU102" i="3"/>
  <c r="CU104" i="3"/>
  <c r="CU110" i="3"/>
  <c r="BA110" i="3"/>
  <c r="DM93" i="3"/>
  <c r="DM96" i="3"/>
  <c r="DR97" i="3"/>
  <c r="DR101" i="3"/>
  <c r="DR109" i="3"/>
  <c r="CF97" i="3"/>
  <c r="CF101" i="3"/>
  <c r="DE93" i="3"/>
  <c r="CR41" i="3"/>
  <c r="CD86" i="3"/>
  <c r="CY41" i="3"/>
  <c r="DI41" i="3"/>
  <c r="CH86" i="3"/>
  <c r="CP82" i="3"/>
  <c r="CH21" i="3"/>
  <c r="CH88" i="3"/>
  <c r="CL17" i="3"/>
  <c r="DT90" i="3"/>
  <c r="CD25" i="3"/>
  <c r="DD90" i="3"/>
  <c r="DK82" i="3"/>
  <c r="CX6" i="3"/>
  <c r="CX8" i="3"/>
  <c r="DK10" i="3"/>
  <c r="CP17" i="3"/>
  <c r="CT21" i="3"/>
  <c r="DH21" i="3"/>
  <c r="DK90" i="3"/>
  <c r="CH93" i="3"/>
  <c r="DO93" i="3"/>
  <c r="DO40" i="3"/>
  <c r="DH40" i="3"/>
  <c r="DK40" i="3"/>
  <c r="CX40" i="3"/>
  <c r="CL40" i="3"/>
  <c r="CP40" i="3"/>
  <c r="CX36" i="3"/>
  <c r="DD36" i="3"/>
  <c r="DD32" i="3"/>
  <c r="CP32" i="3"/>
  <c r="DO32" i="3"/>
  <c r="BG109" i="3"/>
  <c r="DT10" i="3"/>
  <c r="BA98" i="3"/>
  <c r="D101" i="3"/>
  <c r="H106" i="3"/>
  <c r="H111" i="3"/>
  <c r="H115" i="3"/>
  <c r="H96" i="3"/>
  <c r="CL57" i="3"/>
  <c r="CH81" i="3"/>
  <c r="DO71" i="3"/>
  <c r="DH71" i="3"/>
  <c r="DO63" i="3"/>
  <c r="DH63" i="3"/>
  <c r="DK48" i="3"/>
  <c r="DH48" i="3"/>
  <c r="DT42" i="3"/>
  <c r="DK24" i="3"/>
  <c r="CH24" i="3"/>
  <c r="DK16" i="3"/>
  <c r="CL16" i="3"/>
  <c r="DO92" i="3"/>
  <c r="DO96" i="3"/>
  <c r="CX92" i="3"/>
  <c r="DT86" i="3"/>
  <c r="P96" i="3"/>
  <c r="CD99" i="3"/>
  <c r="CH67" i="3"/>
  <c r="CL12" i="3"/>
  <c r="DH95" i="3"/>
  <c r="DO95" i="3"/>
  <c r="I96" i="3"/>
  <c r="M96" i="3"/>
  <c r="CL15" i="3"/>
  <c r="CP24" i="3"/>
  <c r="DA91" i="3"/>
  <c r="AF96" i="3"/>
  <c r="CT102" i="3"/>
  <c r="CT104" i="3"/>
  <c r="CX97" i="3"/>
  <c r="CX101" i="3"/>
  <c r="CD97" i="3"/>
  <c r="CD101" i="3"/>
  <c r="CH95" i="3"/>
  <c r="CL38" i="3"/>
  <c r="CL30" i="3"/>
  <c r="DK4" i="3"/>
  <c r="DK8" i="3"/>
  <c r="DD48" i="3"/>
  <c r="DH89" i="3"/>
  <c r="DH96" i="3"/>
  <c r="CD5" i="3"/>
  <c r="CD8" i="3"/>
  <c r="CH102" i="3"/>
  <c r="CH104" i="3"/>
  <c r="DO97" i="3"/>
  <c r="CP95" i="3"/>
  <c r="CP96" i="3"/>
  <c r="CL51" i="3"/>
  <c r="DK95" i="3"/>
  <c r="CP75" i="3"/>
  <c r="CX20" i="3"/>
  <c r="DK59" i="3"/>
  <c r="CL13" i="3"/>
  <c r="CP38" i="3"/>
  <c r="DK102" i="3"/>
  <c r="DK104" i="3"/>
  <c r="DT38" i="3"/>
  <c r="DO67" i="3"/>
  <c r="H104" i="3"/>
  <c r="CD71" i="3"/>
  <c r="CH100" i="3"/>
  <c r="CL72" i="3"/>
  <c r="T96" i="3"/>
  <c r="CL84" i="3"/>
  <c r="CP64" i="3"/>
  <c r="AB104" i="3"/>
  <c r="CX55" i="3"/>
  <c r="DH24" i="3"/>
  <c r="DH20" i="3"/>
  <c r="DK92" i="3"/>
  <c r="DK7" i="3"/>
  <c r="DO24" i="3"/>
  <c r="DO12" i="3"/>
  <c r="P88" i="3"/>
  <c r="CH36" i="3"/>
  <c r="CL87" i="3"/>
  <c r="CL52" i="3"/>
  <c r="X88" i="3"/>
  <c r="CP67" i="3"/>
  <c r="CP43" i="3"/>
  <c r="CX44" i="3"/>
  <c r="DD91" i="3"/>
  <c r="DH23" i="3"/>
  <c r="DH15" i="3"/>
  <c r="DH88" i="3"/>
  <c r="DK64" i="3"/>
  <c r="DK56" i="3"/>
  <c r="DK52" i="3"/>
  <c r="DK28" i="3"/>
  <c r="DO103" i="3"/>
  <c r="DO104" i="3"/>
  <c r="DO15" i="3"/>
  <c r="DO11" i="3"/>
  <c r="DD47" i="3"/>
  <c r="DK47" i="3"/>
  <c r="CX11" i="3"/>
  <c r="CX88" i="3"/>
  <c r="DD11" i="3"/>
  <c r="R106" i="3"/>
  <c r="CH68" i="3"/>
  <c r="CH42" i="3"/>
  <c r="CL99" i="3"/>
  <c r="CL101" i="3"/>
  <c r="CP72" i="3"/>
  <c r="CP52" i="3"/>
  <c r="CP22" i="3"/>
  <c r="CX47" i="3"/>
  <c r="DK71" i="3"/>
  <c r="AG108" i="3"/>
  <c r="DC103" i="3"/>
  <c r="DH100" i="3"/>
  <c r="DO99" i="3"/>
  <c r="DS103" i="3"/>
  <c r="CD108" i="3"/>
  <c r="J40" i="14"/>
  <c r="H61" i="14"/>
  <c r="CY106" i="3"/>
  <c r="CR109" i="3"/>
  <c r="K53" i="14"/>
  <c r="I44" i="14"/>
  <c r="CH107" i="3"/>
  <c r="DM88" i="3"/>
  <c r="CN106" i="3"/>
  <c r="H49" i="14"/>
  <c r="K78" i="14"/>
  <c r="DM109" i="3"/>
  <c r="K61" i="14"/>
  <c r="CY109" i="3"/>
  <c r="CZ107" i="3"/>
  <c r="I62" i="14"/>
  <c r="DH107" i="3"/>
  <c r="I73" i="14"/>
  <c r="J81" i="14"/>
  <c r="DO108" i="3"/>
  <c r="J78" i="14"/>
  <c r="DM108" i="3"/>
  <c r="CL108" i="3"/>
  <c r="J48" i="14"/>
  <c r="CR106" i="3"/>
  <c r="H53" i="14"/>
  <c r="L44" i="14"/>
  <c r="CH110" i="3"/>
  <c r="CP88" i="3"/>
  <c r="J60" i="14"/>
  <c r="CX108" i="3"/>
  <c r="DD109" i="3"/>
  <c r="K68" i="14"/>
  <c r="J61" i="14"/>
  <c r="CY108" i="3"/>
  <c r="DH106" i="3"/>
  <c r="H73" i="14"/>
  <c r="CL106" i="3"/>
  <c r="H48" i="14"/>
  <c r="K49" i="14"/>
  <c r="CN109" i="3"/>
  <c r="H40" i="14"/>
  <c r="CD106" i="3"/>
  <c r="DK88" i="3"/>
  <c r="H81" i="14"/>
  <c r="DO106" i="3"/>
  <c r="CJ108" i="3"/>
  <c r="J45" i="14"/>
  <c r="CN96" i="3"/>
  <c r="DE28" i="3"/>
  <c r="DI28" i="3"/>
  <c r="CN28" i="3"/>
  <c r="BC28" i="3"/>
  <c r="BE28" i="3"/>
  <c r="DP28" i="3"/>
  <c r="CF28" i="3"/>
  <c r="DV28" i="3"/>
  <c r="CY28" i="3"/>
  <c r="DB28" i="3"/>
  <c r="CR28" i="3"/>
  <c r="DM28" i="3"/>
  <c r="CV28" i="3"/>
  <c r="CJ28" i="3"/>
  <c r="DR28" i="3"/>
  <c r="CB74" i="3"/>
  <c r="BX74" i="3"/>
  <c r="CI74" i="3"/>
  <c r="DU74" i="3"/>
  <c r="BL74" i="3"/>
  <c r="BP74" i="3"/>
  <c r="BJ74" i="3"/>
  <c r="BN74" i="3"/>
  <c r="BT74" i="3"/>
  <c r="DL74" i="3"/>
  <c r="BV74" i="3"/>
  <c r="CU74" i="3"/>
  <c r="CE74" i="3"/>
  <c r="BR74" i="3"/>
  <c r="CQ74" i="3"/>
  <c r="BC74" i="3"/>
  <c r="BE74" i="3"/>
  <c r="BZ74" i="3"/>
  <c r="CM74" i="3"/>
  <c r="K82" i="14"/>
  <c r="DP109" i="3"/>
  <c r="BJ99" i="3"/>
  <c r="CB99" i="3"/>
  <c r="CQ99" i="3"/>
  <c r="BX99" i="3"/>
  <c r="BT99" i="3"/>
  <c r="BV99" i="3"/>
  <c r="DU99" i="3"/>
  <c r="BL99" i="3"/>
  <c r="DL99" i="3"/>
  <c r="BN99" i="3"/>
  <c r="BZ99" i="3"/>
  <c r="BZ101" i="3"/>
  <c r="CU99" i="3"/>
  <c r="CE99" i="3"/>
  <c r="BR99" i="3"/>
  <c r="CI99" i="3"/>
  <c r="BP99" i="3"/>
  <c r="BC99" i="3"/>
  <c r="BE99" i="3"/>
  <c r="CM99" i="3"/>
  <c r="CB7" i="3"/>
  <c r="CI7" i="3"/>
  <c r="BZ7" i="3"/>
  <c r="CU7" i="3"/>
  <c r="DU7" i="3"/>
  <c r="BL7" i="3"/>
  <c r="BT7" i="3"/>
  <c r="BC7" i="3"/>
  <c r="BE7" i="3"/>
  <c r="DL7" i="3"/>
  <c r="BJ7" i="3"/>
  <c r="BP7" i="3"/>
  <c r="CE7" i="3"/>
  <c r="BN7" i="3"/>
  <c r="CM7" i="3"/>
  <c r="BR7" i="3"/>
  <c r="CQ7" i="3"/>
  <c r="BX7" i="3"/>
  <c r="BV7" i="3"/>
  <c r="BP43" i="3"/>
  <c r="CQ43" i="3"/>
  <c r="DL43" i="3"/>
  <c r="CI43" i="3"/>
  <c r="CU43" i="3"/>
  <c r="CE43" i="3"/>
  <c r="CB43" i="3"/>
  <c r="CM43" i="3"/>
  <c r="BV43" i="3"/>
  <c r="BN43" i="3"/>
  <c r="BT43" i="3"/>
  <c r="BJ43" i="3"/>
  <c r="BZ43" i="3"/>
  <c r="BC43" i="3"/>
  <c r="BE43" i="3"/>
  <c r="DU43" i="3"/>
  <c r="BX43" i="3"/>
  <c r="BR43" i="3"/>
  <c r="BZ47" i="3"/>
  <c r="BL47" i="3"/>
  <c r="DL47" i="3"/>
  <c r="BT47" i="3"/>
  <c r="BR47" i="3"/>
  <c r="BJ47" i="3"/>
  <c r="BX47" i="3"/>
  <c r="CE47" i="3"/>
  <c r="BC47" i="3"/>
  <c r="BE47" i="3"/>
  <c r="CB47" i="3"/>
  <c r="BV47" i="3"/>
  <c r="BN47" i="3"/>
  <c r="CM47" i="3"/>
  <c r="BP47" i="3"/>
  <c r="CQ47" i="3"/>
  <c r="CU47" i="3"/>
  <c r="DU47" i="3"/>
  <c r="CI47" i="3"/>
  <c r="DL35" i="3"/>
  <c r="BX35" i="3"/>
  <c r="CI35" i="3"/>
  <c r="BL35" i="3"/>
  <c r="BR35" i="3"/>
  <c r="BJ35" i="3"/>
  <c r="BP35" i="3"/>
  <c r="BN35" i="3"/>
  <c r="BN88" i="3"/>
  <c r="CQ35" i="3"/>
  <c r="CB35" i="3"/>
  <c r="BZ35" i="3"/>
  <c r="BC35" i="3"/>
  <c r="BE35" i="3"/>
  <c r="BT35" i="3"/>
  <c r="CM35" i="3"/>
  <c r="CE35" i="3"/>
  <c r="BV35" i="3"/>
  <c r="CU35" i="3"/>
  <c r="DU35" i="3"/>
  <c r="BG111" i="3"/>
  <c r="I60" i="14"/>
  <c r="CX107" i="3"/>
  <c r="DK106" i="3"/>
  <c r="H77" i="14"/>
  <c r="K41" i="14"/>
  <c r="CF109" i="3"/>
  <c r="J69" i="14"/>
  <c r="DE108" i="3"/>
  <c r="BE110" i="3"/>
  <c r="BE104" i="3"/>
  <c r="DO110" i="3"/>
  <c r="L81" i="14"/>
  <c r="CQ98" i="3"/>
  <c r="CQ101" i="3"/>
  <c r="CQ109" i="3"/>
  <c r="DU98" i="3"/>
  <c r="CU98" i="3"/>
  <c r="BR98" i="3"/>
  <c r="BR101" i="3"/>
  <c r="BP98" i="3"/>
  <c r="BP101" i="3"/>
  <c r="BJ98" i="3"/>
  <c r="BN98" i="3"/>
  <c r="BC98" i="3"/>
  <c r="BX98" i="3"/>
  <c r="BX101" i="3"/>
  <c r="DL98" i="3"/>
  <c r="CM98" i="3"/>
  <c r="CM101" i="3"/>
  <c r="CM109" i="3"/>
  <c r="BV98" i="3"/>
  <c r="BV101" i="3"/>
  <c r="BL98" i="3"/>
  <c r="BL101" i="3"/>
  <c r="BZ98" i="3"/>
  <c r="CI98" i="3"/>
  <c r="CE98" i="3"/>
  <c r="BA109" i="3"/>
  <c r="BA101" i="3"/>
  <c r="BT98" i="3"/>
  <c r="BT101" i="3"/>
  <c r="CB98" i="3"/>
  <c r="CB101" i="3"/>
  <c r="DK96" i="3"/>
  <c r="CH96" i="3"/>
  <c r="BZ5" i="3"/>
  <c r="BZ8" i="3"/>
  <c r="BV5" i="3"/>
  <c r="BV8" i="3"/>
  <c r="CU5" i="3"/>
  <c r="CU8" i="3"/>
  <c r="CU106" i="3"/>
  <c r="BX5" i="3"/>
  <c r="BR5" i="3"/>
  <c r="BR8" i="3"/>
  <c r="BC5" i="3"/>
  <c r="CB5" i="3"/>
  <c r="CB8" i="3"/>
  <c r="DL5" i="3"/>
  <c r="BN5" i="3"/>
  <c r="BL5" i="3"/>
  <c r="BL8" i="3"/>
  <c r="CI5" i="3"/>
  <c r="CI8" i="3"/>
  <c r="CI106" i="3"/>
  <c r="DU5" i="3"/>
  <c r="BT5" i="3"/>
  <c r="BT8" i="3"/>
  <c r="BP5" i="3"/>
  <c r="BP8" i="3"/>
  <c r="CM5" i="3"/>
  <c r="CM8" i="3"/>
  <c r="CM106" i="3"/>
  <c r="CE5" i="3"/>
  <c r="BA106" i="3"/>
  <c r="CQ5" i="3"/>
  <c r="CQ8" i="3"/>
  <c r="CQ106" i="3"/>
  <c r="BJ5" i="3"/>
  <c r="BJ8" i="3"/>
  <c r="BA8" i="3"/>
  <c r="BN101" i="3"/>
  <c r="R111" i="3"/>
  <c r="R115" i="3"/>
  <c r="L77" i="14"/>
  <c r="DK110" i="3"/>
  <c r="L56" i="14"/>
  <c r="CT110" i="3"/>
  <c r="DT96" i="3"/>
  <c r="DT108" i="3"/>
  <c r="H69" i="14"/>
  <c r="DE106" i="3"/>
  <c r="J65" i="14"/>
  <c r="DB108" i="3"/>
  <c r="CI95" i="3"/>
  <c r="CI96" i="3"/>
  <c r="CI108" i="3"/>
  <c r="BV95" i="3"/>
  <c r="BV96" i="3"/>
  <c r="BL95" i="3"/>
  <c r="BL96" i="3"/>
  <c r="BC95" i="3"/>
  <c r="DL95" i="3"/>
  <c r="DL96" i="3"/>
  <c r="DL108" i="3"/>
  <c r="BR95" i="3"/>
  <c r="BT95" i="3"/>
  <c r="BT96" i="3"/>
  <c r="CQ95" i="3"/>
  <c r="CQ96" i="3"/>
  <c r="CQ108" i="3"/>
  <c r="BJ95" i="3"/>
  <c r="BJ96" i="3"/>
  <c r="BZ95" i="3"/>
  <c r="BZ96" i="3"/>
  <c r="CE95" i="3"/>
  <c r="CE96" i="3"/>
  <c r="CE108" i="3"/>
  <c r="BX95" i="3"/>
  <c r="CU95" i="3"/>
  <c r="CU96" i="3"/>
  <c r="CU108" i="3"/>
  <c r="DU95" i="3"/>
  <c r="DU96" i="3"/>
  <c r="DU108" i="3"/>
  <c r="BN95" i="3"/>
  <c r="BN96" i="3"/>
  <c r="BA108" i="3"/>
  <c r="BA96" i="3"/>
  <c r="CM95" i="3"/>
  <c r="CM96" i="3"/>
  <c r="CM108" i="3"/>
  <c r="BP95" i="3"/>
  <c r="BP96" i="3"/>
  <c r="CB95" i="3"/>
  <c r="CB96" i="3"/>
  <c r="J41" i="14"/>
  <c r="CF108" i="3"/>
  <c r="CJ106" i="3"/>
  <c r="H45" i="14"/>
  <c r="CD109" i="3"/>
  <c r="K40" i="14"/>
  <c r="DD96" i="3"/>
  <c r="DH109" i="3"/>
  <c r="K73" i="14"/>
  <c r="BR96" i="3"/>
  <c r="CU19" i="3"/>
  <c r="CE19" i="3"/>
  <c r="BX19" i="3"/>
  <c r="CI19" i="3"/>
  <c r="CM19" i="3"/>
  <c r="CM88" i="3"/>
  <c r="CM107" i="3"/>
  <c r="CB19" i="3"/>
  <c r="DL19" i="3"/>
  <c r="BA88" i="3"/>
  <c r="BL19" i="3"/>
  <c r="BJ19" i="3"/>
  <c r="BC19" i="3"/>
  <c r="BZ19" i="3"/>
  <c r="CQ19" i="3"/>
  <c r="CQ88" i="3"/>
  <c r="CQ107" i="3"/>
  <c r="BP19" i="3"/>
  <c r="DU19" i="3"/>
  <c r="BA107" i="3"/>
  <c r="BR19" i="3"/>
  <c r="BV19" i="3"/>
  <c r="BT19" i="3"/>
  <c r="K60" i="14"/>
  <c r="CX109" i="3"/>
  <c r="CD88" i="3"/>
  <c r="CE101" i="3"/>
  <c r="CE109" i="3"/>
  <c r="J52" i="14"/>
  <c r="CP108" i="3"/>
  <c r="DH108" i="3"/>
  <c r="J73" i="14"/>
  <c r="H60" i="14"/>
  <c r="CX106" i="3"/>
  <c r="BR110" i="3"/>
  <c r="L21" i="14"/>
  <c r="CV85" i="3"/>
  <c r="DE85" i="3"/>
  <c r="CN85" i="3"/>
  <c r="DP85" i="3"/>
  <c r="CY85" i="3"/>
  <c r="DI85" i="3"/>
  <c r="DR85" i="3"/>
  <c r="CJ85" i="3"/>
  <c r="DV85" i="3"/>
  <c r="CF85" i="3"/>
  <c r="DB85" i="3"/>
  <c r="CR85" i="3"/>
  <c r="DM85" i="3"/>
  <c r="BC85" i="3"/>
  <c r="BE85" i="3"/>
  <c r="DD106" i="3"/>
  <c r="H68" i="14"/>
  <c r="CI101" i="3"/>
  <c r="CI109" i="3"/>
  <c r="H82" i="14"/>
  <c r="DP106" i="3"/>
  <c r="CR108" i="3"/>
  <c r="J53" i="14"/>
  <c r="CR25" i="3"/>
  <c r="CR88" i="3"/>
  <c r="DP25" i="3"/>
  <c r="DP88" i="3"/>
  <c r="DE25" i="3"/>
  <c r="DE88" i="3"/>
  <c r="DM25" i="3"/>
  <c r="DI25" i="3"/>
  <c r="DI88" i="3"/>
  <c r="CF25" i="3"/>
  <c r="CF88" i="3"/>
  <c r="CN25" i="3"/>
  <c r="DB25" i="3"/>
  <c r="CV25" i="3"/>
  <c r="CV88" i="3"/>
  <c r="CJ25" i="3"/>
  <c r="CJ88" i="3"/>
  <c r="CY25" i="3"/>
  <c r="BB107" i="3"/>
  <c r="BB111" i="3"/>
  <c r="DV25" i="3"/>
  <c r="BB88" i="3"/>
  <c r="BC25" i="3"/>
  <c r="BE25" i="3"/>
  <c r="DR25" i="3"/>
  <c r="DR88" i="3"/>
  <c r="DR107" i="3"/>
  <c r="BX96" i="3"/>
  <c r="K65" i="14"/>
  <c r="DB109" i="3"/>
  <c r="CL109" i="3"/>
  <c r="K48" i="14"/>
  <c r="DD88" i="3"/>
  <c r="DO88" i="3"/>
  <c r="DO101" i="3"/>
  <c r="CL88" i="3"/>
  <c r="CT88" i="3"/>
  <c r="CH101" i="3"/>
  <c r="CH106" i="3"/>
  <c r="H44" i="14"/>
  <c r="H52" i="14"/>
  <c r="CP106" i="3"/>
  <c r="CU101" i="3"/>
  <c r="CU109" i="3"/>
  <c r="CF8" i="3"/>
  <c r="J62" i="14"/>
  <c r="CZ108" i="3"/>
  <c r="BJ80" i="3"/>
  <c r="DL80" i="3"/>
  <c r="CB80" i="3"/>
  <c r="BT80" i="3"/>
  <c r="BL80" i="3"/>
  <c r="BC80" i="3"/>
  <c r="BE80" i="3"/>
  <c r="CM80" i="3"/>
  <c r="DU80" i="3"/>
  <c r="BR80" i="3"/>
  <c r="BX80" i="3"/>
  <c r="BP80" i="3"/>
  <c r="BV80" i="3"/>
  <c r="CE80" i="3"/>
  <c r="BZ80" i="3"/>
  <c r="CI80" i="3"/>
  <c r="BN80" i="3"/>
  <c r="CU80" i="3"/>
  <c r="CQ80" i="3"/>
  <c r="BC41" i="3"/>
  <c r="BE41" i="3"/>
  <c r="CU41" i="3"/>
  <c r="DL41" i="3"/>
  <c r="CM41" i="3"/>
  <c r="CI41" i="3"/>
  <c r="CB41" i="3"/>
  <c r="BN41" i="3"/>
  <c r="BJ41" i="3"/>
  <c r="BR41" i="3"/>
  <c r="BV41" i="3"/>
  <c r="CE41" i="3"/>
  <c r="BL41" i="3"/>
  <c r="CQ41" i="3"/>
  <c r="BZ41" i="3"/>
  <c r="BT41" i="3"/>
  <c r="DU41" i="3"/>
  <c r="BX41" i="3"/>
  <c r="I70" i="14"/>
  <c r="DF107" i="3"/>
  <c r="DP107" i="3"/>
  <c r="I82" i="14"/>
  <c r="BZ108" i="3"/>
  <c r="J33" i="14"/>
  <c r="CV107" i="3"/>
  <c r="I57" i="14"/>
  <c r="CR107" i="3"/>
  <c r="I53" i="14"/>
  <c r="J9" i="14"/>
  <c r="BJ108" i="3"/>
  <c r="K27" i="14"/>
  <c r="BV109" i="3"/>
  <c r="K24" i="14"/>
  <c r="BT109" i="3"/>
  <c r="BN107" i="3"/>
  <c r="I15" i="14"/>
  <c r="K33" i="14"/>
  <c r="BZ109" i="3"/>
  <c r="I69" i="14"/>
  <c r="DE107" i="3"/>
  <c r="BP108" i="3"/>
  <c r="J18" i="14"/>
  <c r="CF107" i="3"/>
  <c r="I41" i="14"/>
  <c r="DD108" i="3"/>
  <c r="J68" i="14"/>
  <c r="BL108" i="3"/>
  <c r="J12" i="14"/>
  <c r="DK108" i="3"/>
  <c r="J77" i="14"/>
  <c r="I52" i="14"/>
  <c r="CP107" i="3"/>
  <c r="I40" i="14"/>
  <c r="CD107" i="3"/>
  <c r="BZ88" i="3"/>
  <c r="CI88" i="3"/>
  <c r="CI107" i="3"/>
  <c r="BR108" i="3"/>
  <c r="J21" i="14"/>
  <c r="BV108" i="3"/>
  <c r="J27" i="14"/>
  <c r="H18" i="14"/>
  <c r="BP106" i="3"/>
  <c r="H12" i="14"/>
  <c r="BL106" i="3"/>
  <c r="BE5" i="3"/>
  <c r="BC106" i="3"/>
  <c r="BC8" i="3"/>
  <c r="H27" i="14"/>
  <c r="BV106" i="3"/>
  <c r="K36" i="14"/>
  <c r="CB109" i="3"/>
  <c r="BC109" i="3"/>
  <c r="BC101" i="3"/>
  <c r="BE98" i="3"/>
  <c r="K21" i="14"/>
  <c r="BR109" i="3"/>
  <c r="CJ107" i="3"/>
  <c r="I45" i="14"/>
  <c r="CU88" i="3"/>
  <c r="CU107" i="3"/>
  <c r="CB106" i="3"/>
  <c r="H36" i="14"/>
  <c r="BX109" i="3"/>
  <c r="K30" i="14"/>
  <c r="I77" i="14"/>
  <c r="DK107" i="3"/>
  <c r="DI107" i="3"/>
  <c r="I74" i="14"/>
  <c r="CT107" i="3"/>
  <c r="I56" i="14"/>
  <c r="BE19" i="3"/>
  <c r="BC107" i="3"/>
  <c r="BC88" i="3"/>
  <c r="BA111" i="3"/>
  <c r="H21" i="14"/>
  <c r="BR106" i="3"/>
  <c r="K44" i="14"/>
  <c r="CH109" i="3"/>
  <c r="DO109" i="3"/>
  <c r="K81" i="14"/>
  <c r="BR88" i="3"/>
  <c r="BL88" i="3"/>
  <c r="BN108" i="3"/>
  <c r="J15" i="14"/>
  <c r="J24" i="14"/>
  <c r="BT108" i="3"/>
  <c r="BJ106" i="3"/>
  <c r="H9" i="14"/>
  <c r="BL109" i="3"/>
  <c r="K12" i="14"/>
  <c r="BP109" i="3"/>
  <c r="K18" i="14"/>
  <c r="DM107" i="3"/>
  <c r="I78" i="14"/>
  <c r="I81" i="14"/>
  <c r="DO107" i="3"/>
  <c r="DD107" i="3"/>
  <c r="I68" i="14"/>
  <c r="DB88" i="3"/>
  <c r="BT88" i="3"/>
  <c r="DL88" i="3"/>
  <c r="DL107" i="3"/>
  <c r="BX88" i="3"/>
  <c r="K15" i="14"/>
  <c r="BN109" i="3"/>
  <c r="BT106" i="3"/>
  <c r="H24" i="14"/>
  <c r="BN8" i="3"/>
  <c r="BZ106" i="3"/>
  <c r="H33" i="14"/>
  <c r="H41" i="14"/>
  <c r="CF106" i="3"/>
  <c r="CL107" i="3"/>
  <c r="I48" i="14"/>
  <c r="BX108" i="3"/>
  <c r="J30" i="14"/>
  <c r="CY88" i="3"/>
  <c r="CN88" i="3"/>
  <c r="BV88" i="3"/>
  <c r="BP88" i="3"/>
  <c r="BJ88" i="3"/>
  <c r="CB88" i="3"/>
  <c r="CE88" i="3"/>
  <c r="CE107" i="3"/>
  <c r="CB108" i="3"/>
  <c r="J36" i="14"/>
  <c r="BE95" i="3"/>
  <c r="BC96" i="3"/>
  <c r="BC108" i="3"/>
  <c r="CE8" i="3"/>
  <c r="CE106" i="3"/>
  <c r="DL8" i="3"/>
  <c r="DL106" i="3"/>
  <c r="BX8" i="3"/>
  <c r="CH108" i="3"/>
  <c r="J44" i="14"/>
  <c r="DL101" i="3"/>
  <c r="DL109" i="3"/>
  <c r="BJ101" i="3"/>
  <c r="DU101" i="3"/>
  <c r="DU109" i="3"/>
  <c r="J49" i="14"/>
  <c r="CN108" i="3"/>
  <c r="BP107" i="3"/>
  <c r="I18" i="14"/>
  <c r="BJ109" i="3"/>
  <c r="K9" i="14"/>
  <c r="H30" i="14"/>
  <c r="BX106" i="3"/>
  <c r="I30" i="14"/>
  <c r="BX107" i="3"/>
  <c r="I33" i="14"/>
  <c r="BZ107" i="3"/>
  <c r="DB107" i="3"/>
  <c r="I65" i="14"/>
  <c r="BE96" i="3"/>
  <c r="BE108" i="3"/>
  <c r="CB107" i="3"/>
  <c r="I36" i="14"/>
  <c r="CN107" i="3"/>
  <c r="I49" i="14"/>
  <c r="BE107" i="3"/>
  <c r="BE88" i="3"/>
  <c r="BE109" i="3"/>
  <c r="BE101" i="3"/>
  <c r="BC111" i="3"/>
  <c r="H15" i="14"/>
  <c r="BN106" i="3"/>
  <c r="BR107" i="3"/>
  <c r="I21" i="14"/>
  <c r="BV107" i="3"/>
  <c r="I27" i="14"/>
  <c r="BJ107" i="3"/>
  <c r="I9" i="14"/>
  <c r="I61" i="14"/>
  <c r="CY107" i="3"/>
  <c r="I24" i="14"/>
  <c r="BT107" i="3"/>
  <c r="BL107" i="3"/>
  <c r="I12" i="14"/>
  <c r="BE106" i="3"/>
  <c r="BE8" i="3"/>
  <c r="BE111" i="3"/>
  <c r="L34" i="14" l="1"/>
  <c r="CA110" i="3"/>
  <c r="BM104" i="3"/>
  <c r="BK104" i="3"/>
  <c r="BK110" i="3" s="1"/>
  <c r="CO103" i="3"/>
  <c r="DQ103" i="3"/>
  <c r="CS103" i="3"/>
  <c r="DA103" i="3"/>
  <c r="DG104" i="3"/>
  <c r="L71" i="14" s="1"/>
  <c r="BQ103" i="3"/>
  <c r="BQ104" i="3" s="1"/>
  <c r="L19" i="14" s="1"/>
  <c r="BK103" i="3"/>
  <c r="BW103" i="3"/>
  <c r="DG110" i="3"/>
  <c r="L13" i="14"/>
  <c r="BM110" i="3"/>
  <c r="L10" i="14"/>
  <c r="BW102" i="3"/>
  <c r="BY102" i="3"/>
  <c r="BY104" i="3" s="1"/>
  <c r="CC102" i="3"/>
  <c r="CC104" i="3" s="1"/>
  <c r="BS102" i="3"/>
  <c r="BS104" i="3" s="1"/>
  <c r="BU102" i="3"/>
  <c r="BU104" i="3" s="1"/>
  <c r="BQ110" i="3"/>
  <c r="CG102" i="3"/>
  <c r="CG104" i="3" s="1"/>
  <c r="CS102" i="3"/>
  <c r="CS104" i="3" s="1"/>
  <c r="BO102" i="3"/>
  <c r="BO104" i="3" s="1"/>
  <c r="DA102" i="3"/>
  <c r="BF104" i="3"/>
  <c r="DW102" i="3"/>
  <c r="DW104" i="3" s="1"/>
  <c r="DW110" i="3" s="1"/>
  <c r="DC102" i="3"/>
  <c r="DC104" i="3" s="1"/>
  <c r="DN102" i="3"/>
  <c r="DN104" i="3" s="1"/>
  <c r="CK102" i="3"/>
  <c r="CK104" i="3" s="1"/>
  <c r="CO102" i="3"/>
  <c r="BF110" i="3"/>
  <c r="CW102" i="3"/>
  <c r="CW104" i="3" s="1"/>
  <c r="DQ102" i="3"/>
  <c r="DQ104" i="3" s="1"/>
  <c r="CC101" i="3"/>
  <c r="K37" i="14" s="1"/>
  <c r="BW98" i="3"/>
  <c r="BK101" i="3"/>
  <c r="BK109" i="3" s="1"/>
  <c r="DN98" i="3"/>
  <c r="CG98" i="3"/>
  <c r="DW98" i="3"/>
  <c r="DA98" i="3"/>
  <c r="DA101" i="3" s="1"/>
  <c r="DA109" i="3" s="1"/>
  <c r="BY98" i="3"/>
  <c r="BY101" i="3" s="1"/>
  <c r="DC98" i="3"/>
  <c r="DQ98" i="3"/>
  <c r="DQ101" i="3" s="1"/>
  <c r="BM98" i="3"/>
  <c r="BM101" i="3" s="1"/>
  <c r="BM109" i="3" s="1"/>
  <c r="CO98" i="3"/>
  <c r="CS101" i="3"/>
  <c r="CS109" i="3" s="1"/>
  <c r="BK98" i="3"/>
  <c r="CS98" i="3"/>
  <c r="CW98" i="3"/>
  <c r="BQ98" i="3"/>
  <c r="BQ101" i="3" s="1"/>
  <c r="CK98" i="3"/>
  <c r="BS98" i="3"/>
  <c r="BS101" i="3" s="1"/>
  <c r="K22" i="14" s="1"/>
  <c r="CA98" i="3"/>
  <c r="DG98" i="3"/>
  <c r="DG101" i="3" s="1"/>
  <c r="DS98" i="3"/>
  <c r="K54" i="14"/>
  <c r="K10" i="14"/>
  <c r="K63" i="14"/>
  <c r="BS109" i="3"/>
  <c r="BU97" i="3"/>
  <c r="BU101" i="3" s="1"/>
  <c r="BF101" i="3"/>
  <c r="BF109" i="3"/>
  <c r="K13" i="14"/>
  <c r="CK97" i="3"/>
  <c r="CK101" i="3" s="1"/>
  <c r="DN97" i="3"/>
  <c r="CW97" i="3"/>
  <c r="CW101" i="3" s="1"/>
  <c r="CA97" i="3"/>
  <c r="BW97" i="3"/>
  <c r="BW101" i="3" s="1"/>
  <c r="DS97" i="3"/>
  <c r="DS101" i="3" s="1"/>
  <c r="DS109" i="3" s="1"/>
  <c r="DW97" i="3"/>
  <c r="DW101" i="3" s="1"/>
  <c r="DW109" i="3" s="1"/>
  <c r="BO97" i="3"/>
  <c r="BO101" i="3" s="1"/>
  <c r="CG97" i="3"/>
  <c r="CG101" i="3" s="1"/>
  <c r="CO97" i="3"/>
  <c r="CO101" i="3" s="1"/>
  <c r="DC97" i="3"/>
  <c r="DC101" i="3" s="1"/>
  <c r="CW94" i="3"/>
  <c r="DN94" i="3"/>
  <c r="CO90" i="3"/>
  <c r="BM94" i="3"/>
  <c r="BO90" i="3"/>
  <c r="CO94" i="3"/>
  <c r="DQ90" i="3"/>
  <c r="BK94" i="3"/>
  <c r="CG90" i="3"/>
  <c r="CG94" i="3"/>
  <c r="BM90" i="3"/>
  <c r="CS90" i="3"/>
  <c r="DG94" i="3"/>
  <c r="BQ90" i="3"/>
  <c r="CC90" i="3"/>
  <c r="BS93" i="3"/>
  <c r="CC93" i="3"/>
  <c r="BQ94" i="3"/>
  <c r="BY94" i="3"/>
  <c r="DW90" i="3"/>
  <c r="BK93" i="3"/>
  <c r="BK90" i="3"/>
  <c r="CK90" i="3"/>
  <c r="CW90" i="3"/>
  <c r="BO94" i="3"/>
  <c r="DG90" i="3"/>
  <c r="BW94" i="3"/>
  <c r="BW96" i="3" s="1"/>
  <c r="DW93" i="3"/>
  <c r="DW94" i="3"/>
  <c r="DA90" i="3"/>
  <c r="BS90" i="3"/>
  <c r="CK93" i="3"/>
  <c r="CS94" i="3"/>
  <c r="DS93" i="3"/>
  <c r="BU90" i="3"/>
  <c r="BU93" i="3"/>
  <c r="CS93" i="3"/>
  <c r="BS94" i="3"/>
  <c r="CA94" i="3"/>
  <c r="CA93" i="3"/>
  <c r="BO89" i="3"/>
  <c r="BF108" i="3"/>
  <c r="BM10" i="3"/>
  <c r="CW38" i="3"/>
  <c r="DA34" i="3"/>
  <c r="CS78" i="3"/>
  <c r="BM38" i="3"/>
  <c r="CG73" i="3"/>
  <c r="CW82" i="3"/>
  <c r="DN53" i="3"/>
  <c r="CW50" i="3"/>
  <c r="BQ49" i="3"/>
  <c r="DC38" i="3"/>
  <c r="DG33" i="3"/>
  <c r="DG14" i="3"/>
  <c r="CW86" i="3"/>
  <c r="DC13" i="3"/>
  <c r="CO25" i="3"/>
  <c r="DA33" i="3"/>
  <c r="DA21" i="3"/>
  <c r="DW57" i="3"/>
  <c r="BS61" i="3"/>
  <c r="CA61" i="3"/>
  <c r="BW10" i="3"/>
  <c r="CK85" i="3"/>
  <c r="CO65" i="3"/>
  <c r="DA73" i="3"/>
  <c r="DA85" i="3"/>
  <c r="DA86" i="3"/>
  <c r="DG73" i="3"/>
  <c r="CK70" i="3"/>
  <c r="DQ81" i="3"/>
  <c r="BU10" i="3"/>
  <c r="BY13" i="3"/>
  <c r="CS37" i="3"/>
  <c r="DN46" i="3"/>
  <c r="CS49" i="3"/>
  <c r="DG61" i="3"/>
  <c r="CC73" i="3"/>
  <c r="DC78" i="3"/>
  <c r="DQ13" i="3"/>
  <c r="BW61" i="3"/>
  <c r="DA49" i="3"/>
  <c r="DN38" i="3"/>
  <c r="DS29" i="3"/>
  <c r="CO14" i="3"/>
  <c r="CW10" i="3"/>
  <c r="BU82" i="3"/>
  <c r="BM50" i="3"/>
  <c r="DA25" i="3"/>
  <c r="DN42" i="3"/>
  <c r="CO37" i="3"/>
  <c r="BO29" i="3"/>
  <c r="CW73" i="3"/>
  <c r="CO77" i="3"/>
  <c r="CK65" i="3"/>
  <c r="BO13" i="3"/>
  <c r="CC10" i="3"/>
  <c r="DW77" i="3"/>
  <c r="DG49" i="3"/>
  <c r="DA37" i="3"/>
  <c r="CG69" i="3"/>
  <c r="CS77" i="3"/>
  <c r="DA57" i="3"/>
  <c r="CG65" i="3"/>
  <c r="CK69" i="3"/>
  <c r="DG57" i="3"/>
  <c r="DN57" i="3"/>
  <c r="DC37" i="3"/>
  <c r="BW65" i="3"/>
  <c r="DN25" i="3"/>
  <c r="BM25" i="3"/>
  <c r="BQ69" i="3"/>
  <c r="CG57" i="3"/>
  <c r="CG9" i="3"/>
  <c r="CW9" i="3"/>
  <c r="DA9" i="3"/>
  <c r="BS9" i="3"/>
  <c r="BW9" i="3"/>
  <c r="DC9" i="3"/>
  <c r="CA5" i="3"/>
  <c r="BU4" i="3"/>
  <c r="DQ4" i="3"/>
  <c r="DQ8" i="3" s="1"/>
  <c r="H83" i="14" s="1"/>
  <c r="CO89" i="3"/>
  <c r="CO96" i="3" s="1"/>
  <c r="CS89" i="3"/>
  <c r="CS96" i="3" s="1"/>
  <c r="BY89" i="3"/>
  <c r="DN89" i="3"/>
  <c r="DN96" i="3" s="1"/>
  <c r="CK89" i="3"/>
  <c r="BQ89" i="3"/>
  <c r="BQ96" i="3" s="1"/>
  <c r="DS89" i="3"/>
  <c r="DW89" i="3"/>
  <c r="BK89" i="3"/>
  <c r="CW89" i="3"/>
  <c r="CW96" i="3" s="1"/>
  <c r="CG89" i="3"/>
  <c r="DG89" i="3"/>
  <c r="BS89" i="3"/>
  <c r="BS96" i="3" s="1"/>
  <c r="CC89" i="3"/>
  <c r="CC96" i="3" s="1"/>
  <c r="BF96" i="3"/>
  <c r="DQ89" i="3"/>
  <c r="DQ96" i="3" s="1"/>
  <c r="CA89" i="3"/>
  <c r="BM89" i="3"/>
  <c r="BM96" i="3" s="1"/>
  <c r="DA89" i="3"/>
  <c r="BU89" i="3"/>
  <c r="DC89" i="3"/>
  <c r="DC96" i="3" s="1"/>
  <c r="DW82" i="3"/>
  <c r="BW82" i="3"/>
  <c r="CA82" i="3"/>
  <c r="DC82" i="3"/>
  <c r="BS82" i="3"/>
  <c r="BO82" i="3"/>
  <c r="DQ82" i="3"/>
  <c r="BY82" i="3"/>
  <c r="BK82" i="3"/>
  <c r="CK82" i="3"/>
  <c r="CC82" i="3"/>
  <c r="BM82" i="3"/>
  <c r="CS82" i="3"/>
  <c r="BY74" i="3"/>
  <c r="BO74" i="3"/>
  <c r="BK74" i="3"/>
  <c r="DQ74" i="3"/>
  <c r="CA74" i="3"/>
  <c r="BQ74" i="3"/>
  <c r="DC74" i="3"/>
  <c r="BW74" i="3"/>
  <c r="DN74" i="3"/>
  <c r="BU74" i="3"/>
  <c r="CK74" i="3"/>
  <c r="BM74" i="3"/>
  <c r="DW74" i="3"/>
  <c r="CW74" i="3"/>
  <c r="BS74" i="3"/>
  <c r="CS74" i="3"/>
  <c r="CG74" i="3"/>
  <c r="DG74" i="3"/>
  <c r="DA74" i="3"/>
  <c r="BY66" i="3"/>
  <c r="CA66" i="3"/>
  <c r="CS66" i="3"/>
  <c r="BM66" i="3"/>
  <c r="CK66" i="3"/>
  <c r="BU66" i="3"/>
  <c r="BO66" i="3"/>
  <c r="DW66" i="3"/>
  <c r="CG66" i="3"/>
  <c r="CC66" i="3"/>
  <c r="BW66" i="3"/>
  <c r="CO66" i="3"/>
  <c r="DG66" i="3"/>
  <c r="DQ66" i="3"/>
  <c r="DN66" i="3"/>
  <c r="DS66" i="3"/>
  <c r="BK66" i="3"/>
  <c r="CW66" i="3"/>
  <c r="BQ66" i="3"/>
  <c r="BS58" i="3"/>
  <c r="BO58" i="3"/>
  <c r="DC58" i="3"/>
  <c r="BU58" i="3"/>
  <c r="DQ58" i="3"/>
  <c r="DW58" i="3"/>
  <c r="DS58" i="3"/>
  <c r="CC58" i="3"/>
  <c r="BQ58" i="3"/>
  <c r="BW58" i="3"/>
  <c r="CG58" i="3"/>
  <c r="CW58" i="3"/>
  <c r="DA58" i="3"/>
  <c r="BK58" i="3"/>
  <c r="BY58" i="3"/>
  <c r="BM58" i="3"/>
  <c r="CO58" i="3"/>
  <c r="DG58" i="3"/>
  <c r="CK58" i="3"/>
  <c r="CC54" i="3"/>
  <c r="BO54" i="3"/>
  <c r="DW54" i="3"/>
  <c r="DS54" i="3"/>
  <c r="DN54" i="3"/>
  <c r="BM54" i="3"/>
  <c r="CA54" i="3"/>
  <c r="BW54" i="3"/>
  <c r="BQ54" i="3"/>
  <c r="BU54" i="3"/>
  <c r="DG54" i="3"/>
  <c r="CK54" i="3"/>
  <c r="BS54" i="3"/>
  <c r="CG54" i="3"/>
  <c r="DA54" i="3"/>
  <c r="BY42" i="3"/>
  <c r="BO42" i="3"/>
  <c r="DQ42" i="3"/>
  <c r="DW42" i="3"/>
  <c r="DC42" i="3"/>
  <c r="CC42" i="3"/>
  <c r="BM42" i="3"/>
  <c r="BW42" i="3"/>
  <c r="BS42" i="3"/>
  <c r="DG42" i="3"/>
  <c r="BK42" i="3"/>
  <c r="BQ42" i="3"/>
  <c r="DA42" i="3"/>
  <c r="CO42" i="3"/>
  <c r="CK30" i="3"/>
  <c r="BK30" i="3"/>
  <c r="CC30" i="3"/>
  <c r="BQ30" i="3"/>
  <c r="DG30" i="3"/>
  <c r="BY30" i="3"/>
  <c r="BO30" i="3"/>
  <c r="CO30" i="3"/>
  <c r="DA30" i="3"/>
  <c r="DW30" i="3"/>
  <c r="BS30" i="3"/>
  <c r="DQ30" i="3"/>
  <c r="DC30" i="3"/>
  <c r="BU30" i="3"/>
  <c r="BW30" i="3"/>
  <c r="BS22" i="3"/>
  <c r="DW22" i="3"/>
  <c r="DS22" i="3"/>
  <c r="CS22" i="3"/>
  <c r="BQ22" i="3"/>
  <c r="CA22" i="3"/>
  <c r="BO22" i="3"/>
  <c r="DQ22" i="3"/>
  <c r="BY22" i="3"/>
  <c r="CC22" i="3"/>
  <c r="CG22" i="3"/>
  <c r="CO22" i="3"/>
  <c r="BM22" i="3"/>
  <c r="BU22" i="3"/>
  <c r="DG22" i="3"/>
  <c r="BW22" i="3"/>
  <c r="CK22" i="3"/>
  <c r="BK18" i="3"/>
  <c r="DQ18" i="3"/>
  <c r="BY18" i="3"/>
  <c r="DC18" i="3"/>
  <c r="CC18" i="3"/>
  <c r="BQ18" i="3"/>
  <c r="DS18" i="3"/>
  <c r="CA18" i="3"/>
  <c r="BM18" i="3"/>
  <c r="DA18" i="3"/>
  <c r="DN18" i="3"/>
  <c r="CW18" i="3"/>
  <c r="BU18" i="3"/>
  <c r="DG18" i="3"/>
  <c r="BW18" i="3"/>
  <c r="CO18" i="3"/>
  <c r="CS18" i="3"/>
  <c r="DW18" i="3"/>
  <c r="CW42" i="3"/>
  <c r="CA42" i="3"/>
  <c r="BQ82" i="3"/>
  <c r="CS54" i="3"/>
  <c r="DG82" i="3"/>
  <c r="DG34" i="3"/>
  <c r="BY54" i="3"/>
  <c r="BY78" i="3"/>
  <c r="BQ62" i="3"/>
  <c r="BO34" i="3"/>
  <c r="CG42" i="3"/>
  <c r="DN30" i="3"/>
  <c r="BK54" i="3"/>
  <c r="DG50" i="3"/>
  <c r="CA30" i="3"/>
  <c r="CW54" i="3"/>
  <c r="DA66" i="3"/>
  <c r="CS34" i="3"/>
  <c r="DC54" i="3"/>
  <c r="DQ54" i="3"/>
  <c r="DN58" i="3"/>
  <c r="CG17" i="3"/>
  <c r="CO54" i="3"/>
  <c r="CG46" i="3"/>
  <c r="DA82" i="3"/>
  <c r="DC22" i="3"/>
  <c r="CA58" i="3"/>
  <c r="CC74" i="3"/>
  <c r="BS86" i="3"/>
  <c r="CS86" i="3"/>
  <c r="BQ86" i="3"/>
  <c r="BK86" i="3"/>
  <c r="DN86" i="3"/>
  <c r="CC86" i="3"/>
  <c r="BO86" i="3"/>
  <c r="DS86" i="3"/>
  <c r="DC86" i="3"/>
  <c r="BU86" i="3"/>
  <c r="BY86" i="3"/>
  <c r="CA86" i="3"/>
  <c r="BM86" i="3"/>
  <c r="DQ86" i="3"/>
  <c r="DW86" i="3"/>
  <c r="DG86" i="3"/>
  <c r="CK86" i="3"/>
  <c r="CK78" i="3"/>
  <c r="BW78" i="3"/>
  <c r="BM78" i="3"/>
  <c r="DW78" i="3"/>
  <c r="DA78" i="3"/>
  <c r="BU78" i="3"/>
  <c r="DS78" i="3"/>
  <c r="DG78" i="3"/>
  <c r="BQ78" i="3"/>
  <c r="BO78" i="3"/>
  <c r="BS78" i="3"/>
  <c r="DN78" i="3"/>
  <c r="CO78" i="3"/>
  <c r="CG78" i="3"/>
  <c r="BK78" i="3"/>
  <c r="CC78" i="3"/>
  <c r="CA70" i="3"/>
  <c r="BO70" i="3"/>
  <c r="DS70" i="3"/>
  <c r="CO70" i="3"/>
  <c r="BM70" i="3"/>
  <c r="BS70" i="3"/>
  <c r="BW70" i="3"/>
  <c r="DA70" i="3"/>
  <c r="BK70" i="3"/>
  <c r="CC70" i="3"/>
  <c r="BQ70" i="3"/>
  <c r="CS70" i="3"/>
  <c r="DC70" i="3"/>
  <c r="DN70" i="3"/>
  <c r="CW70" i="3"/>
  <c r="DQ70" i="3"/>
  <c r="DG70" i="3"/>
  <c r="CG70" i="3"/>
  <c r="DW62" i="3"/>
  <c r="CO62" i="3"/>
  <c r="BU62" i="3"/>
  <c r="DS62" i="3"/>
  <c r="CA62" i="3"/>
  <c r="BM62" i="3"/>
  <c r="BY62" i="3"/>
  <c r="DC62" i="3"/>
  <c r="BW62" i="3"/>
  <c r="CC62" i="3"/>
  <c r="DG62" i="3"/>
  <c r="DN62" i="3"/>
  <c r="CW62" i="3"/>
  <c r="CK62" i="3"/>
  <c r="BK62" i="3"/>
  <c r="BO62" i="3"/>
  <c r="BS62" i="3"/>
  <c r="CS62" i="3"/>
  <c r="DQ50" i="3"/>
  <c r="BO50" i="3"/>
  <c r="DW50" i="3"/>
  <c r="BY50" i="3"/>
  <c r="DA50" i="3"/>
  <c r="BW50" i="3"/>
  <c r="CK50" i="3"/>
  <c r="BU50" i="3"/>
  <c r="CC50" i="3"/>
  <c r="CG50" i="3"/>
  <c r="DS50" i="3"/>
  <c r="DN50" i="3"/>
  <c r="BQ50" i="3"/>
  <c r="CA50" i="3"/>
  <c r="BK50" i="3"/>
  <c r="CO50" i="3"/>
  <c r="CK46" i="3"/>
  <c r="CA46" i="3"/>
  <c r="BQ46" i="3"/>
  <c r="DW46" i="3"/>
  <c r="DQ46" i="3"/>
  <c r="BK46" i="3"/>
  <c r="BY46" i="3"/>
  <c r="DA46" i="3"/>
  <c r="BW46" i="3"/>
  <c r="BO46" i="3"/>
  <c r="BU46" i="3"/>
  <c r="DG46" i="3"/>
  <c r="DS46" i="3"/>
  <c r="CC46" i="3"/>
  <c r="CS46" i="3"/>
  <c r="CO46" i="3"/>
  <c r="BM46" i="3"/>
  <c r="DC46" i="3"/>
  <c r="CW46" i="3"/>
  <c r="BS38" i="3"/>
  <c r="BQ38" i="3"/>
  <c r="BW38" i="3"/>
  <c r="DS38" i="3"/>
  <c r="CC38" i="3"/>
  <c r="BU38" i="3"/>
  <c r="DW38" i="3"/>
  <c r="BY38" i="3"/>
  <c r="CA38" i="3"/>
  <c r="DA38" i="3"/>
  <c r="BK38" i="3"/>
  <c r="CO38" i="3"/>
  <c r="BO38" i="3"/>
  <c r="CG38" i="3"/>
  <c r="BQ34" i="3"/>
  <c r="CC34" i="3"/>
  <c r="BK34" i="3"/>
  <c r="DW34" i="3"/>
  <c r="BY34" i="3"/>
  <c r="BW34" i="3"/>
  <c r="CO34" i="3"/>
  <c r="BU34" i="3"/>
  <c r="BM34" i="3"/>
  <c r="DN34" i="3"/>
  <c r="CK34" i="3"/>
  <c r="CG26" i="3"/>
  <c r="BS26" i="3"/>
  <c r="BK26" i="3"/>
  <c r="DS26" i="3"/>
  <c r="BY26" i="3"/>
  <c r="BO26" i="3"/>
  <c r="DQ26" i="3"/>
  <c r="DC26" i="3"/>
  <c r="BW26" i="3"/>
  <c r="BM26" i="3"/>
  <c r="BU26" i="3"/>
  <c r="DG26" i="3"/>
  <c r="CA26" i="3"/>
  <c r="CW26" i="3"/>
  <c r="CK26" i="3"/>
  <c r="DA26" i="3"/>
  <c r="DW26" i="3"/>
  <c r="BQ26" i="3"/>
  <c r="CO26" i="3"/>
  <c r="CK14" i="3"/>
  <c r="DW14" i="3"/>
  <c r="DS14" i="3"/>
  <c r="BK14" i="3"/>
  <c r="DC14" i="3"/>
  <c r="BS14" i="3"/>
  <c r="BQ14" i="3"/>
  <c r="BW14" i="3"/>
  <c r="CS14" i="3"/>
  <c r="DN14" i="3"/>
  <c r="BY14" i="3"/>
  <c r="CC14" i="3"/>
  <c r="BM14" i="3"/>
  <c r="BO14" i="3"/>
  <c r="DA14" i="3"/>
  <c r="CA14" i="3"/>
  <c r="CK38" i="3"/>
  <c r="DN26" i="3"/>
  <c r="DN22" i="3"/>
  <c r="CW78" i="3"/>
  <c r="CG82" i="3"/>
  <c r="CG30" i="3"/>
  <c r="CS58" i="3"/>
  <c r="DA62" i="3"/>
  <c r="BM30" i="3"/>
  <c r="CK42" i="3"/>
  <c r="DW70" i="3"/>
  <c r="CA34" i="3"/>
  <c r="DQ78" i="3"/>
  <c r="DQ38" i="3"/>
  <c r="BO18" i="3"/>
  <c r="CW17" i="3"/>
  <c r="BM17" i="3"/>
  <c r="DW17" i="3"/>
  <c r="BO17" i="3"/>
  <c r="DQ17" i="3"/>
  <c r="CA17" i="3"/>
  <c r="DS17" i="3"/>
  <c r="CC17" i="3"/>
  <c r="BY17" i="3"/>
  <c r="DN17" i="3"/>
  <c r="BU17" i="3"/>
  <c r="DG17" i="3"/>
  <c r="DA17" i="3"/>
  <c r="BS17" i="3"/>
  <c r="BW17" i="3"/>
  <c r="CK17" i="3"/>
  <c r="CS17" i="3"/>
  <c r="CO17" i="3"/>
  <c r="BK17" i="3"/>
  <c r="DA22" i="3"/>
  <c r="BS66" i="3"/>
  <c r="CK18" i="3"/>
  <c r="DS74" i="3"/>
  <c r="BS34" i="3"/>
  <c r="CW22" i="3"/>
  <c r="DS30" i="3"/>
  <c r="DS82" i="3"/>
  <c r="CW14" i="3"/>
  <c r="CG18" i="3"/>
  <c r="CG34" i="3"/>
  <c r="CG62" i="3"/>
  <c r="DQ34" i="3"/>
  <c r="DC17" i="3"/>
  <c r="CG86" i="3"/>
  <c r="CO74" i="3"/>
  <c r="CS38" i="3"/>
  <c r="CS42" i="3"/>
  <c r="DN82" i="3"/>
  <c r="CS50" i="3"/>
  <c r="BU14" i="3"/>
  <c r="BS18" i="3"/>
  <c r="CS30" i="3"/>
  <c r="DC34" i="3"/>
  <c r="DC50" i="3"/>
  <c r="DC66" i="3"/>
  <c r="BY70" i="3"/>
  <c r="DS42" i="3"/>
  <c r="BK22" i="3"/>
  <c r="CG85" i="3"/>
  <c r="CW53" i="3"/>
  <c r="DN41" i="3"/>
  <c r="BY33" i="3"/>
  <c r="CW41" i="3"/>
  <c r="CG10" i="3"/>
  <c r="CW29" i="3"/>
  <c r="DS45" i="3"/>
  <c r="BY73" i="3"/>
  <c r="CK33" i="3"/>
  <c r="BS29" i="3"/>
  <c r="DA77" i="3"/>
  <c r="BK25" i="3"/>
  <c r="BK41" i="3"/>
  <c r="CW13" i="3"/>
  <c r="CW69" i="3"/>
  <c r="DS10" i="3"/>
  <c r="DG25" i="3"/>
  <c r="CS61" i="3"/>
  <c r="DN77" i="3"/>
  <c r="CS65" i="3"/>
  <c r="BU61" i="3"/>
  <c r="CC49" i="3"/>
  <c r="DW33" i="3"/>
  <c r="DW49" i="3"/>
  <c r="DW65" i="3"/>
  <c r="DA13" i="3"/>
  <c r="BW53" i="3"/>
  <c r="BM57" i="3"/>
  <c r="BW29" i="3"/>
  <c r="BK10" i="3"/>
  <c r="BW85" i="3"/>
  <c r="CG49" i="3"/>
  <c r="CG77" i="3"/>
  <c r="CK81" i="3"/>
  <c r="CO29" i="3"/>
  <c r="CS53" i="3"/>
  <c r="DA65" i="3"/>
  <c r="CO10" i="3"/>
  <c r="CO33" i="3"/>
  <c r="DA29" i="3"/>
  <c r="CK53" i="3"/>
  <c r="BO10" i="3"/>
  <c r="CA10" i="3"/>
  <c r="DC10" i="3"/>
  <c r="BQ13" i="3"/>
  <c r="CA13" i="3"/>
  <c r="CC29" i="3"/>
  <c r="BS53" i="3"/>
  <c r="BU81" i="3"/>
  <c r="BY10" i="3"/>
  <c r="CK10" i="3"/>
  <c r="DS85" i="3"/>
  <c r="DQ85" i="3"/>
  <c r="BM85" i="3"/>
  <c r="CA85" i="3"/>
  <c r="CO85" i="3"/>
  <c r="BY85" i="3"/>
  <c r="BK85" i="3"/>
  <c r="DC85" i="3"/>
  <c r="BU85" i="3"/>
  <c r="BO85" i="3"/>
  <c r="BQ85" i="3"/>
  <c r="BO81" i="3"/>
  <c r="CA81" i="3"/>
  <c r="BS81" i="3"/>
  <c r="CG81" i="3"/>
  <c r="BK81" i="3"/>
  <c r="DC81" i="3"/>
  <c r="BY81" i="3"/>
  <c r="BQ81" i="3"/>
  <c r="DA81" i="3"/>
  <c r="BM81" i="3"/>
  <c r="CS81" i="3"/>
  <c r="DS77" i="3"/>
  <c r="DC77" i="3"/>
  <c r="BY77" i="3"/>
  <c r="BQ77" i="3"/>
  <c r="BO77" i="3"/>
  <c r="BW77" i="3"/>
  <c r="BM77" i="3"/>
  <c r="BK77" i="3"/>
  <c r="CA77" i="3"/>
  <c r="BU77" i="3"/>
  <c r="CS73" i="3"/>
  <c r="CK73" i="3"/>
  <c r="CA73" i="3"/>
  <c r="BU73" i="3"/>
  <c r="BQ73" i="3"/>
  <c r="BO73" i="3"/>
  <c r="DQ73" i="3"/>
  <c r="DS73" i="3"/>
  <c r="DC73" i="3"/>
  <c r="BS73" i="3"/>
  <c r="BW73" i="3"/>
  <c r="BK69" i="3"/>
  <c r="DQ69" i="3"/>
  <c r="DG69" i="3"/>
  <c r="CO69" i="3"/>
  <c r="BU69" i="3"/>
  <c r="DS69" i="3"/>
  <c r="DA69" i="3"/>
  <c r="BW69" i="3"/>
  <c r="CS69" i="3"/>
  <c r="BO69" i="3"/>
  <c r="DG65" i="3"/>
  <c r="CC65" i="3"/>
  <c r="BS65" i="3"/>
  <c r="DQ65" i="3"/>
  <c r="DN65" i="3"/>
  <c r="BQ65" i="3"/>
  <c r="CA65" i="3"/>
  <c r="BM65" i="3"/>
  <c r="DQ61" i="3"/>
  <c r="DS61" i="3"/>
  <c r="BO61" i="3"/>
  <c r="BQ61" i="3"/>
  <c r="CC61" i="3"/>
  <c r="DN61" i="3"/>
  <c r="BY61" i="3"/>
  <c r="DS57" i="3"/>
  <c r="BY57" i="3"/>
  <c r="BO57" i="3"/>
  <c r="BK57" i="3"/>
  <c r="DQ57" i="3"/>
  <c r="CA57" i="3"/>
  <c r="BQ57" i="3"/>
  <c r="CS57" i="3"/>
  <c r="BW57" i="3"/>
  <c r="BY53" i="3"/>
  <c r="DS53" i="3"/>
  <c r="DQ53" i="3"/>
  <c r="DA53" i="3"/>
  <c r="CC53" i="3"/>
  <c r="BQ53" i="3"/>
  <c r="BM53" i="3"/>
  <c r="CA49" i="3"/>
  <c r="BO49" i="3"/>
  <c r="DS49" i="3"/>
  <c r="DC49" i="3"/>
  <c r="BY49" i="3"/>
  <c r="CS45" i="3"/>
  <c r="DQ45" i="3"/>
  <c r="BY45" i="3"/>
  <c r="BQ45" i="3"/>
  <c r="BW45" i="3"/>
  <c r="BO45" i="3"/>
  <c r="DQ41" i="3"/>
  <c r="DA41" i="3"/>
  <c r="CA41" i="3"/>
  <c r="BQ41" i="3"/>
  <c r="DS41" i="3"/>
  <c r="BY41" i="3"/>
  <c r="BM41" i="3"/>
  <c r="BO37" i="3"/>
  <c r="BK37" i="3"/>
  <c r="DQ37" i="3"/>
  <c r="BW37" i="3"/>
  <c r="CC37" i="3"/>
  <c r="BS37" i="3"/>
  <c r="DS37" i="3"/>
  <c r="DG37" i="3"/>
  <c r="CA37" i="3"/>
  <c r="BQ37" i="3"/>
  <c r="DS33" i="3"/>
  <c r="DQ33" i="3"/>
  <c r="CG33" i="3"/>
  <c r="BM33" i="3"/>
  <c r="BO33" i="3"/>
  <c r="BS33" i="3"/>
  <c r="BK33" i="3"/>
  <c r="DN33" i="3"/>
  <c r="CC33" i="3"/>
  <c r="BQ33" i="3"/>
  <c r="DG29" i="3"/>
  <c r="BY29" i="3"/>
  <c r="DQ29" i="3"/>
  <c r="CK29" i="3"/>
  <c r="BU29" i="3"/>
  <c r="BW25" i="3"/>
  <c r="BO25" i="3"/>
  <c r="CS25" i="3"/>
  <c r="DS25" i="3"/>
  <c r="DC25" i="3"/>
  <c r="CC25" i="3"/>
  <c r="BS25" i="3"/>
  <c r="DQ25" i="3"/>
  <c r="BU25" i="3"/>
  <c r="BQ25" i="3"/>
  <c r="BO21" i="3"/>
  <c r="DS21" i="3"/>
  <c r="BK21" i="3"/>
  <c r="DW21" i="3"/>
  <c r="CO21" i="3"/>
  <c r="BY21" i="3"/>
  <c r="BQ21" i="3"/>
  <c r="CK21" i="3"/>
  <c r="BW21" i="3"/>
  <c r="BK13" i="3"/>
  <c r="DS13" i="3"/>
  <c r="CO57" i="3"/>
  <c r="DN13" i="3"/>
  <c r="CW81" i="3"/>
  <c r="BS69" i="3"/>
  <c r="BM49" i="3"/>
  <c r="CG41" i="3"/>
  <c r="CW45" i="3"/>
  <c r="BS10" i="3"/>
  <c r="DQ10" i="3"/>
  <c r="CW33" i="3"/>
  <c r="DG21" i="3"/>
  <c r="BM21" i="3"/>
  <c r="DC29" i="3"/>
  <c r="BU33" i="3"/>
  <c r="CG29" i="3"/>
  <c r="DN21" i="3"/>
  <c r="CC81" i="3"/>
  <c r="DQ49" i="3"/>
  <c r="CG61" i="3"/>
  <c r="DA61" i="3"/>
  <c r="DC45" i="3"/>
  <c r="CK41" i="3"/>
  <c r="CG37" i="3"/>
  <c r="CS21" i="3"/>
  <c r="DW41" i="3"/>
  <c r="DW53" i="3"/>
  <c r="DW69" i="3"/>
  <c r="DW81" i="3"/>
  <c r="BW13" i="3"/>
  <c r="CC45" i="3"/>
  <c r="BO65" i="3"/>
  <c r="CG25" i="3"/>
  <c r="CW57" i="3"/>
  <c r="CW77" i="3"/>
  <c r="CW25" i="3"/>
  <c r="CK13" i="3"/>
  <c r="CK57" i="3"/>
  <c r="CS29" i="3"/>
  <c r="DG41" i="3"/>
  <c r="DG81" i="3"/>
  <c r="DG13" i="3"/>
  <c r="DG53" i="3"/>
  <c r="DN85" i="3"/>
  <c r="DA10" i="3"/>
  <c r="CO73" i="3"/>
  <c r="CK37" i="3"/>
  <c r="CO53" i="3"/>
  <c r="DN10" i="3"/>
  <c r="DN45" i="3"/>
  <c r="DQ21" i="3"/>
  <c r="BS13" i="3"/>
  <c r="CC13" i="3"/>
  <c r="CC21" i="3"/>
  <c r="DN29" i="3"/>
  <c r="BY37" i="3"/>
  <c r="DN37" i="3"/>
  <c r="BU41" i="3"/>
  <c r="DC41" i="3"/>
  <c r="CA45" i="3"/>
  <c r="BS49" i="3"/>
  <c r="BO53" i="3"/>
  <c r="BU53" i="3"/>
  <c r="CK61" i="3"/>
  <c r="CA69" i="3"/>
  <c r="BW81" i="3"/>
  <c r="DS65" i="3"/>
  <c r="DW13" i="3"/>
  <c r="BM61" i="3"/>
  <c r="BF88" i="3"/>
  <c r="DW10" i="3"/>
  <c r="CS9" i="3"/>
  <c r="DN9" i="3"/>
  <c r="BY9" i="3"/>
  <c r="CK9" i="3"/>
  <c r="BK9" i="3"/>
  <c r="DG9" i="3"/>
  <c r="BQ9" i="3"/>
  <c r="BU9" i="3"/>
  <c r="BO9" i="3"/>
  <c r="CA9" i="3"/>
  <c r="CO9" i="3"/>
  <c r="DQ9" i="3"/>
  <c r="BM9" i="3"/>
  <c r="CC9" i="3"/>
  <c r="BF107" i="3"/>
  <c r="CC5" i="3"/>
  <c r="BM5" i="3"/>
  <c r="DG4" i="3"/>
  <c r="CO4" i="3"/>
  <c r="DG5" i="3"/>
  <c r="BU5" i="3"/>
  <c r="BU8" i="3" s="1"/>
  <c r="CK5" i="3"/>
  <c r="CS5" i="3"/>
  <c r="BW5" i="3"/>
  <c r="DA5" i="3"/>
  <c r="DA8" i="3" s="1"/>
  <c r="H63" i="14" s="1"/>
  <c r="BF106" i="3"/>
  <c r="BK5" i="3"/>
  <c r="BO5" i="3"/>
  <c r="BQ5" i="3"/>
  <c r="CG5" i="3"/>
  <c r="BF8" i="3"/>
  <c r="BS5" i="3"/>
  <c r="CO5" i="3"/>
  <c r="BY5" i="3"/>
  <c r="DC5" i="3"/>
  <c r="DW5" i="3"/>
  <c r="DS5" i="3"/>
  <c r="CW4" i="3"/>
  <c r="CW8" i="3" s="1"/>
  <c r="CW106" i="3" s="1"/>
  <c r="BK4" i="3"/>
  <c r="DS4" i="3"/>
  <c r="CK4" i="3"/>
  <c r="DC4" i="3"/>
  <c r="DW4" i="3"/>
  <c r="DW8" i="3" s="1"/>
  <c r="DW106" i="3" s="1"/>
  <c r="CG4" i="3"/>
  <c r="CS4" i="3"/>
  <c r="BW4" i="3"/>
  <c r="BS4" i="3"/>
  <c r="DN4" i="3"/>
  <c r="DN8" i="3" s="1"/>
  <c r="DN106" i="3" s="1"/>
  <c r="BO4" i="3"/>
  <c r="BM4" i="3"/>
  <c r="BQ4" i="3"/>
  <c r="CC4" i="3"/>
  <c r="CA4" i="3"/>
  <c r="BY4" i="3"/>
  <c r="BY8" i="3" s="1"/>
  <c r="H79" i="14"/>
  <c r="W137" i="39"/>
  <c r="DA104" i="3" l="1"/>
  <c r="L63" i="14" s="1"/>
  <c r="BW104" i="3"/>
  <c r="CO104" i="3"/>
  <c r="L50" i="14"/>
  <c r="CO110" i="3"/>
  <c r="CW110" i="3"/>
  <c r="L58" i="14"/>
  <c r="DN110" i="3"/>
  <c r="L79" i="14"/>
  <c r="L31" i="14"/>
  <c r="BY110" i="3"/>
  <c r="DC110" i="3"/>
  <c r="L66" i="14"/>
  <c r="L16" i="14"/>
  <c r="BO110" i="3"/>
  <c r="L25" i="14"/>
  <c r="BU110" i="3"/>
  <c r="BW110" i="3"/>
  <c r="L28" i="14"/>
  <c r="CS110" i="3"/>
  <c r="L54" i="14"/>
  <c r="BS110" i="3"/>
  <c r="L22" i="14"/>
  <c r="DQ110" i="3"/>
  <c r="L83" i="14"/>
  <c r="CK110" i="3"/>
  <c r="L46" i="14"/>
  <c r="CG110" i="3"/>
  <c r="L42" i="14"/>
  <c r="L37" i="14"/>
  <c r="CC110" i="3"/>
  <c r="DG109" i="3"/>
  <c r="K71" i="14"/>
  <c r="K19" i="14"/>
  <c r="BQ109" i="3"/>
  <c r="BY109" i="3"/>
  <c r="K31" i="14"/>
  <c r="K83" i="14"/>
  <c r="DQ109" i="3"/>
  <c r="DN101" i="3"/>
  <c r="DN109" i="3" s="1"/>
  <c r="CC109" i="3"/>
  <c r="CA101" i="3"/>
  <c r="CG109" i="3"/>
  <c r="K42" i="14"/>
  <c r="BW109" i="3"/>
  <c r="K28" i="14"/>
  <c r="K46" i="14"/>
  <c r="CK109" i="3"/>
  <c r="K25" i="14"/>
  <c r="BU109" i="3"/>
  <c r="BO109" i="3"/>
  <c r="K16" i="14"/>
  <c r="K34" i="14"/>
  <c r="CA109" i="3"/>
  <c r="DC109" i="3"/>
  <c r="K66" i="14"/>
  <c r="CW109" i="3"/>
  <c r="K58" i="14"/>
  <c r="CO109" i="3"/>
  <c r="K50" i="14"/>
  <c r="BW108" i="3"/>
  <c r="J28" i="14"/>
  <c r="CA96" i="3"/>
  <c r="BK96" i="3"/>
  <c r="CK96" i="3"/>
  <c r="CK108" i="3" s="1"/>
  <c r="BU96" i="3"/>
  <c r="J25" i="14" s="1"/>
  <c r="DG96" i="3"/>
  <c r="DW96" i="3"/>
  <c r="DW108" i="3" s="1"/>
  <c r="DA96" i="3"/>
  <c r="DA108" i="3" s="1"/>
  <c r="CG96" i="3"/>
  <c r="J42" i="14" s="1"/>
  <c r="DS96" i="3"/>
  <c r="DS108" i="3" s="1"/>
  <c r="BY96" i="3"/>
  <c r="BO96" i="3"/>
  <c r="DS88" i="3"/>
  <c r="DS107" i="3" s="1"/>
  <c r="BY88" i="3"/>
  <c r="I31" i="14" s="1"/>
  <c r="CA88" i="3"/>
  <c r="DG88" i="3"/>
  <c r="I71" i="14" s="1"/>
  <c r="BM88" i="3"/>
  <c r="BW88" i="3"/>
  <c r="BW107" i="3" s="1"/>
  <c r="BS88" i="3"/>
  <c r="CW88" i="3"/>
  <c r="CW107" i="3" s="1"/>
  <c r="BM8" i="3"/>
  <c r="H13" i="14" s="1"/>
  <c r="BW8" i="3"/>
  <c r="H28" i="14" s="1"/>
  <c r="CA8" i="3"/>
  <c r="CO8" i="3"/>
  <c r="H50" i="14" s="1"/>
  <c r="CC108" i="3"/>
  <c r="J37" i="14"/>
  <c r="CW108" i="3"/>
  <c r="J58" i="14"/>
  <c r="J19" i="14"/>
  <c r="BQ108" i="3"/>
  <c r="J54" i="14"/>
  <c r="CS108" i="3"/>
  <c r="DC108" i="3"/>
  <c r="J66" i="14"/>
  <c r="CA108" i="3"/>
  <c r="J34" i="14"/>
  <c r="J22" i="14"/>
  <c r="BS108" i="3"/>
  <c r="BK108" i="3"/>
  <c r="J10" i="14"/>
  <c r="J46" i="14"/>
  <c r="J50" i="14"/>
  <c r="CO108" i="3"/>
  <c r="BU108" i="3"/>
  <c r="J83" i="14"/>
  <c r="DQ108" i="3"/>
  <c r="DG108" i="3"/>
  <c r="J71" i="14"/>
  <c r="DN108" i="3"/>
  <c r="J79" i="14"/>
  <c r="J63" i="14"/>
  <c r="BY108" i="3"/>
  <c r="J31" i="14"/>
  <c r="J13" i="14"/>
  <c r="BM108" i="3"/>
  <c r="I28" i="14"/>
  <c r="BS107" i="3"/>
  <c r="I22" i="14"/>
  <c r="CG88" i="3"/>
  <c r="BK88" i="3"/>
  <c r="I10" i="14" s="1"/>
  <c r="DQ88" i="3"/>
  <c r="I83" i="14" s="1"/>
  <c r="BU88" i="3"/>
  <c r="I25" i="14" s="1"/>
  <c r="CS88" i="3"/>
  <c r="CS107" i="3" s="1"/>
  <c r="DA88" i="3"/>
  <c r="BO88" i="3"/>
  <c r="I16" i="14" s="1"/>
  <c r="DN88" i="3"/>
  <c r="I79" i="14" s="1"/>
  <c r="DC88" i="3"/>
  <c r="CC88" i="3"/>
  <c r="CC107" i="3" s="1"/>
  <c r="CO88" i="3"/>
  <c r="CO107" i="3" s="1"/>
  <c r="BQ88" i="3"/>
  <c r="I19" i="14" s="1"/>
  <c r="CK88" i="3"/>
  <c r="CK107" i="3" s="1"/>
  <c r="BU107" i="3"/>
  <c r="BF111" i="3"/>
  <c r="BQ107" i="3"/>
  <c r="BM107" i="3"/>
  <c r="I13" i="14"/>
  <c r="CA107" i="3"/>
  <c r="I34" i="14"/>
  <c r="DG107" i="3"/>
  <c r="BY107" i="3"/>
  <c r="DN107" i="3"/>
  <c r="BU106" i="3"/>
  <c r="H25" i="14"/>
  <c r="CC8" i="3"/>
  <c r="CG8" i="3"/>
  <c r="DS8" i="3"/>
  <c r="DS106" i="3" s="1"/>
  <c r="BQ8" i="3"/>
  <c r="BQ106" i="3" s="1"/>
  <c r="BS8" i="3"/>
  <c r="BK8" i="3"/>
  <c r="DG8" i="3"/>
  <c r="H71" i="14" s="1"/>
  <c r="H58" i="14"/>
  <c r="H19" i="14"/>
  <c r="BW106" i="3"/>
  <c r="DA106" i="3"/>
  <c r="BO8" i="3"/>
  <c r="BO106" i="3" s="1"/>
  <c r="CS8" i="3"/>
  <c r="CK8" i="3"/>
  <c r="DC8" i="3"/>
  <c r="H66" i="14" s="1"/>
  <c r="DQ106" i="3"/>
  <c r="H31" i="14"/>
  <c r="BY106" i="3"/>
  <c r="BS106" i="3"/>
  <c r="H22" i="14"/>
  <c r="DA110" i="3" l="1"/>
  <c r="K79" i="14"/>
  <c r="CG108" i="3"/>
  <c r="BO108" i="3"/>
  <c r="J16" i="14"/>
  <c r="I46" i="14"/>
  <c r="I37" i="14"/>
  <c r="BK107" i="3"/>
  <c r="I54" i="14"/>
  <c r="I58" i="14"/>
  <c r="BM106" i="3"/>
  <c r="CO106" i="3"/>
  <c r="CA106" i="3"/>
  <c r="H34" i="14"/>
  <c r="DQ107" i="3"/>
  <c r="I50" i="14"/>
  <c r="I63" i="14"/>
  <c r="DA107" i="3"/>
  <c r="BO107" i="3"/>
  <c r="I66" i="14"/>
  <c r="DC107" i="3"/>
  <c r="I42" i="14"/>
  <c r="CG107" i="3"/>
  <c r="CG106" i="3"/>
  <c r="H42" i="14"/>
  <c r="CC106" i="3"/>
  <c r="H37" i="14"/>
  <c r="BK106" i="3"/>
  <c r="H10" i="14"/>
  <c r="DG106" i="3"/>
  <c r="DC106" i="3"/>
  <c r="H54" i="14"/>
  <c r="CS106" i="3"/>
  <c r="H16" i="14"/>
  <c r="H46" i="14"/>
  <c r="CK106" i="3"/>
</calcChain>
</file>

<file path=xl/comments1.xml><?xml version="1.0" encoding="utf-8"?>
<comments xmlns="http://schemas.openxmlformats.org/spreadsheetml/2006/main">
  <authors>
    <author>LBB</author>
  </authors>
  <commentList>
    <comment ref="CY95" authorId="0">
      <text>
        <r>
          <rPr>
            <b/>
            <sz val="8"/>
            <color indexed="81"/>
            <rFont val="Tahoma"/>
            <family val="2"/>
          </rPr>
          <t>No longer in the scheme.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36" authorId="0">
      <text>
        <r>
          <rPr>
            <b/>
            <sz val="8"/>
            <color indexed="81"/>
            <rFont val="Tahoma"/>
            <family val="2"/>
          </rPr>
          <t>Checked 1/3/12 - correct but had been wrong for 2 years!</t>
        </r>
      </text>
    </comment>
    <comment ref="AJ136" authorId="0">
      <text>
        <r>
          <rPr>
            <b/>
            <sz val="8"/>
            <color indexed="81"/>
            <rFont val="Tahoma"/>
            <family val="2"/>
          </rPr>
          <t>Includes Y12-Y14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39" authorId="0">
      <text>
        <r>
          <rPr>
            <b/>
            <sz val="8"/>
            <color indexed="81"/>
            <rFont val="Tahoma"/>
            <family val="2"/>
          </rPr>
          <t>Includes Y12-Y14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8" authorId="0">
      <text>
        <r>
          <rPr>
            <b/>
            <sz val="8"/>
            <color indexed="81"/>
            <rFont val="Tahoma"/>
            <family val="2"/>
          </rPr>
          <t>Do not delete.  Leave rest of row blank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LBB</author>
  </authors>
  <commentList>
    <comment ref="CY96" authorId="0">
      <text>
        <r>
          <rPr>
            <b/>
            <sz val="8"/>
            <color indexed="81"/>
            <rFont val="Tahoma"/>
            <family val="2"/>
          </rPr>
          <t>No longer in the scheme.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37" authorId="0">
      <text>
        <r>
          <rPr>
            <b/>
            <sz val="8"/>
            <color indexed="81"/>
            <rFont val="Tahoma"/>
            <family val="2"/>
          </rPr>
          <t>Checked 1/3/12 - correct but had been wrong for 2 years!</t>
        </r>
      </text>
    </comment>
    <comment ref="AJ137" authorId="0">
      <text>
        <r>
          <rPr>
            <b/>
            <sz val="8"/>
            <color indexed="81"/>
            <rFont val="Tahoma"/>
            <family val="2"/>
          </rPr>
          <t>Includes Y12-Y14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40" authorId="0">
      <text>
        <r>
          <rPr>
            <b/>
            <sz val="8"/>
            <color indexed="81"/>
            <rFont val="Tahoma"/>
            <family val="2"/>
          </rPr>
          <t>Includes Y12-Y14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9" authorId="0">
      <text>
        <r>
          <rPr>
            <b/>
            <sz val="8"/>
            <color indexed="81"/>
            <rFont val="Tahoma"/>
            <family val="2"/>
          </rPr>
          <t>Do not delete.  Leave rest of row blank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nicole.gibson</author>
  </authors>
  <commentList>
    <comment ref="G45" authorId="0">
      <text>
        <r>
          <rPr>
            <b/>
            <sz val="8"/>
            <color indexed="81"/>
            <rFont val="Tahoma"/>
            <family val="2"/>
          </rPr>
          <t>previously 977,734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18" authorId="0">
      <text>
        <r>
          <rPr>
            <b/>
            <sz val="8"/>
            <color indexed="81"/>
            <rFont val="Tahoma"/>
            <family val="2"/>
          </rPr>
          <t>previously £2,655,742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19" authorId="0">
      <text>
        <r>
          <rPr>
            <b/>
            <sz val="8"/>
            <color indexed="81"/>
            <rFont val="Tahoma"/>
            <family val="2"/>
          </rPr>
          <t>previously 1,497,328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26" authorId="0">
      <text>
        <r>
          <rPr>
            <b/>
            <sz val="8"/>
            <color indexed="81"/>
            <rFont val="Tahoma"/>
            <family val="2"/>
          </rPr>
          <t>total from Option A Funding s/s less Henrietta Barnett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<sst xmlns="http://schemas.openxmlformats.org/spreadsheetml/2006/main" count="6763" uniqueCount="1684">
  <si>
    <t xml:space="preserve">                  Please select a School</t>
  </si>
  <si>
    <t>Area</t>
  </si>
  <si>
    <t>Key Ratios</t>
  </si>
  <si>
    <t>School Data</t>
  </si>
  <si>
    <t>Nursery</t>
  </si>
  <si>
    <t>Primary</t>
  </si>
  <si>
    <t>Secondary</t>
  </si>
  <si>
    <t>Special</t>
  </si>
  <si>
    <t>Income</t>
  </si>
  <si>
    <t>As % of Total Revenue Income</t>
  </si>
  <si>
    <t>Income per pupil</t>
  </si>
  <si>
    <t>Expenditure</t>
  </si>
  <si>
    <t>E01,E02 &amp; E26 - Teaching Staff</t>
  </si>
  <si>
    <t>As % of Final Budget Share</t>
  </si>
  <si>
    <t>As % of Total Rev. Expenditure</t>
  </si>
  <si>
    <t>Cost / Expenditure per pupil</t>
  </si>
  <si>
    <t>E03 - Education Support Staff</t>
  </si>
  <si>
    <t>E04 - Premises Staff</t>
  </si>
  <si>
    <t>E05 - Admin &amp; Clerical Staff</t>
  </si>
  <si>
    <t>Total Employee Costs</t>
  </si>
  <si>
    <t>E12 - Building Maintenance</t>
  </si>
  <si>
    <t>Cost per Sq Metre of building floor area</t>
  </si>
  <si>
    <t>E15 - Water</t>
  </si>
  <si>
    <t>E16 - Energy</t>
  </si>
  <si>
    <t>E18 - Other Occupation Costs</t>
  </si>
  <si>
    <t>E19 - Learning Resources</t>
  </si>
  <si>
    <t>E22 - Administrative Supplies</t>
  </si>
  <si>
    <t>Please choose a school</t>
  </si>
  <si>
    <t>Brookhill Nursery School</t>
  </si>
  <si>
    <t>Hampden Way Nursery School</t>
  </si>
  <si>
    <t>Moss Hall Nursery School</t>
  </si>
  <si>
    <t>St Margaret's Nursery School</t>
  </si>
  <si>
    <t xml:space="preserve">Akiva </t>
  </si>
  <si>
    <t>All Saints' CE School (N20)</t>
  </si>
  <si>
    <t>All Saints' CE School (NW2)</t>
  </si>
  <si>
    <t>Annunciation RC Infant School</t>
  </si>
  <si>
    <t>Annunciation RC Junior School</t>
  </si>
  <si>
    <t>Barnfield School</t>
  </si>
  <si>
    <t>Beis Yaakov</t>
  </si>
  <si>
    <t>Bell Lane School</t>
  </si>
  <si>
    <t>Blessed Dominic RC School</t>
  </si>
  <si>
    <t>Broadfields Primary School</t>
  </si>
  <si>
    <t>Brookland Infant School</t>
  </si>
  <si>
    <t>Brookland Junior School</t>
  </si>
  <si>
    <t>Brunswick Park School</t>
  </si>
  <si>
    <t>Chalgrove School</t>
  </si>
  <si>
    <t>Childs Hill School</t>
  </si>
  <si>
    <t>Christ Church CE School</t>
  </si>
  <si>
    <t>Church Hill School</t>
  </si>
  <si>
    <t>Claremont Primary</t>
  </si>
  <si>
    <t>Colindale School</t>
  </si>
  <si>
    <t>Coppetts Wood School</t>
  </si>
  <si>
    <t>Copthall School</t>
  </si>
  <si>
    <t>Courtland School</t>
  </si>
  <si>
    <t>Cromer Road School</t>
  </si>
  <si>
    <t>Danegrove School</t>
  </si>
  <si>
    <t>Deansbrook Infant School</t>
  </si>
  <si>
    <t>Deansbrook Junior School</t>
  </si>
  <si>
    <t>Dollis Infant School</t>
  </si>
  <si>
    <t>Dollis Junior School</t>
  </si>
  <si>
    <t>Edgware Infant School</t>
  </si>
  <si>
    <t>Edgware Junior School</t>
  </si>
  <si>
    <t>Fairway School</t>
  </si>
  <si>
    <t>Foulds School</t>
  </si>
  <si>
    <t>Frith Manor School</t>
  </si>
  <si>
    <t>Garden Suburb Infant School</t>
  </si>
  <si>
    <t>Garden Suburb Junior School</t>
  </si>
  <si>
    <t>Goldbeaters School</t>
  </si>
  <si>
    <t>Grasvenor Avenue Infant School</t>
  </si>
  <si>
    <t>Hasmonean Primary School</t>
  </si>
  <si>
    <t>Hollickwood School</t>
  </si>
  <si>
    <t>Holly Park School</t>
  </si>
  <si>
    <t>Holy Trinity CE School</t>
  </si>
  <si>
    <t>Hyde School</t>
  </si>
  <si>
    <t>Livingstone School</t>
  </si>
  <si>
    <t xml:space="preserve">Manorside School </t>
  </si>
  <si>
    <t xml:space="preserve">Martin Primary </t>
  </si>
  <si>
    <t>Mathilda Marks Kennedy School</t>
  </si>
  <si>
    <t>Menorah Foundation School</t>
  </si>
  <si>
    <t>Menorah Primary School</t>
  </si>
  <si>
    <t>Monken Hadley CE School</t>
  </si>
  <si>
    <t>Monkfrith School</t>
  </si>
  <si>
    <t>Moss Hall Infant School</t>
  </si>
  <si>
    <t>Moss Hall Junior School</t>
  </si>
  <si>
    <t>Northside School</t>
  </si>
  <si>
    <t>Orion School</t>
  </si>
  <si>
    <t>Osidge School</t>
  </si>
  <si>
    <t>Our Lady of Lourdes RC School</t>
  </si>
  <si>
    <t>Pardes House School</t>
  </si>
  <si>
    <t>Parkfield School</t>
  </si>
  <si>
    <t>Queenswell Infant School</t>
  </si>
  <si>
    <t>Queenswell Junior School</t>
  </si>
  <si>
    <t>Rosh Pinah School</t>
  </si>
  <si>
    <t>Sacred Heart RC School</t>
  </si>
  <si>
    <t>St. Agnes' RC School</t>
  </si>
  <si>
    <t>St. Andrew's CE School</t>
  </si>
  <si>
    <t>St. Catherine's RC School</t>
  </si>
  <si>
    <t>St. John's CE School (N11)</t>
  </si>
  <si>
    <t>St. John's CE School (N20)</t>
  </si>
  <si>
    <t>St. Joseph's RC Infant School</t>
  </si>
  <si>
    <t>St. Joseph's RC Junior School</t>
  </si>
  <si>
    <t>St. Mary's &amp; St. John's (NW4) Primary</t>
  </si>
  <si>
    <t>St. Mary's CE School (EN4)</t>
  </si>
  <si>
    <t>St. Mary's CE School (N3)</t>
  </si>
  <si>
    <t>St. Paul's CE School (N11)</t>
  </si>
  <si>
    <t>St. Paul's CE School (NW7)</t>
  </si>
  <si>
    <t>St. Theresa's RC School</t>
  </si>
  <si>
    <t>St. Vincent's RC School</t>
  </si>
  <si>
    <t xml:space="preserve">Summerside School </t>
  </si>
  <si>
    <t>Sunnyfields School</t>
  </si>
  <si>
    <t>Trent CE School</t>
  </si>
  <si>
    <t>Tudor School</t>
  </si>
  <si>
    <t>Underhill Infant School</t>
  </si>
  <si>
    <t>Underhill Junior School</t>
  </si>
  <si>
    <t>Wessex Gardens School</t>
  </si>
  <si>
    <t>Whitings Hill School</t>
  </si>
  <si>
    <t>Woodcroft Primary School</t>
  </si>
  <si>
    <t>Woodridge School</t>
  </si>
  <si>
    <t>Bishop Douglass RC High</t>
  </si>
  <si>
    <t>Finchley Catholic High School</t>
  </si>
  <si>
    <t>Friern Barnet School</t>
  </si>
  <si>
    <t>Hasmonean High School</t>
  </si>
  <si>
    <t>Hendon School</t>
  </si>
  <si>
    <t>Queen Elizabeth's Girls' School</t>
  </si>
  <si>
    <t>Queen Elizabeth's School, Barnet</t>
  </si>
  <si>
    <t>St James' Catholic High School</t>
  </si>
  <si>
    <t>St Mary's CE High School</t>
  </si>
  <si>
    <t>St. Michael's Catholic Grammar School</t>
  </si>
  <si>
    <t>Whitefield School</t>
  </si>
  <si>
    <t>Mapledown School</t>
  </si>
  <si>
    <t>Northway School</t>
  </si>
  <si>
    <t>Oak Lodge School</t>
  </si>
  <si>
    <t>Oakleigh School</t>
  </si>
  <si>
    <t>School Name</t>
  </si>
  <si>
    <t>JCOSS</t>
  </si>
  <si>
    <t>I13 Donations / Voluntary Funds</t>
  </si>
  <si>
    <t>Education Support Staff</t>
  </si>
  <si>
    <t>Premises Staff</t>
  </si>
  <si>
    <t>Admin &amp; Clerical Staff</t>
  </si>
  <si>
    <t>Building Maintenance &amp; Improvement</t>
  </si>
  <si>
    <t>Water</t>
  </si>
  <si>
    <t>Energy</t>
  </si>
  <si>
    <t>Other Occupation Costs</t>
  </si>
  <si>
    <t>Learning Resources</t>
  </si>
  <si>
    <t>Administrative Supplies</t>
  </si>
  <si>
    <t>Catering Supplies</t>
  </si>
  <si>
    <t>Free School Meals</t>
  </si>
  <si>
    <t>Cost Centre</t>
  </si>
  <si>
    <t>School</t>
  </si>
  <si>
    <t>I01 - Funds Del. By LA</t>
  </si>
  <si>
    <t>I02 - Sixth form funding</t>
  </si>
  <si>
    <t>I03 - SEN Funding</t>
  </si>
  <si>
    <t>I04 - Ethnic Minority</t>
  </si>
  <si>
    <t xml:space="preserve">I05 - Standards Fund </t>
  </si>
  <si>
    <t xml:space="preserve">I06 - Other Gov. Grants </t>
  </si>
  <si>
    <t xml:space="preserve">I07 - Other Grants &amp; Payments </t>
  </si>
  <si>
    <t xml:space="preserve">I08 - Income from Facilities &amp; Services </t>
  </si>
  <si>
    <t>I09 - Income from Catering</t>
  </si>
  <si>
    <t>I10 - Supply teacher ins claims</t>
  </si>
  <si>
    <t>I11 - receipts from other ins claims</t>
  </si>
  <si>
    <t xml:space="preserve">I12 - Income from Contributions </t>
  </si>
  <si>
    <t xml:space="preserve">I13 - Donations </t>
  </si>
  <si>
    <t xml:space="preserve">I15 - Pupil Focussed Extended School Funding and/or Grants </t>
  </si>
  <si>
    <t xml:space="preserve">I16 - Community Focussed Extended School Funding and/or Grants </t>
  </si>
  <si>
    <t>I17 - Community Focussed Extended School Facilities Income</t>
  </si>
  <si>
    <t xml:space="preserve">E01 - Teaching Staff </t>
  </si>
  <si>
    <t>E02 - Supply Staff</t>
  </si>
  <si>
    <t xml:space="preserve">E03 - Educ Support Staff </t>
  </si>
  <si>
    <t xml:space="preserve">E04 - Premises Staff </t>
  </si>
  <si>
    <t xml:space="preserve">E05 -Admin &amp; Clerical </t>
  </si>
  <si>
    <t>E06 - Catering Staff</t>
  </si>
  <si>
    <t xml:space="preserve">E07 - Cost of Other Staff </t>
  </si>
  <si>
    <t xml:space="preserve">E08 - Indirect Employee Exp </t>
  </si>
  <si>
    <t xml:space="preserve">E09 - Staff Dev &amp; Training </t>
  </si>
  <si>
    <t xml:space="preserve">E10 - Supply Teacher Ins </t>
  </si>
  <si>
    <t xml:space="preserve">E11  - Staff Related Ins </t>
  </si>
  <si>
    <t>E12 - Building Maint &amp; Imp</t>
  </si>
  <si>
    <t xml:space="preserve">E13 - Grounds Maint &amp; Impt </t>
  </si>
  <si>
    <t xml:space="preserve">E14 - Contract Cleaning </t>
  </si>
  <si>
    <t xml:space="preserve">E16 - Energy </t>
  </si>
  <si>
    <t xml:space="preserve">E17 - Rates </t>
  </si>
  <si>
    <t xml:space="preserve">E18 - Other Occup. Costs </t>
  </si>
  <si>
    <t xml:space="preserve">E19 - Learning Resources </t>
  </si>
  <si>
    <t>E20 - ICT Learning Resources</t>
  </si>
  <si>
    <t xml:space="preserve">E21 - Exam fees </t>
  </si>
  <si>
    <t>E22 - Admin Supplies</t>
  </si>
  <si>
    <t>E23 - Other Ins Premiums</t>
  </si>
  <si>
    <t xml:space="preserve">E24 - Special Facilities </t>
  </si>
  <si>
    <t xml:space="preserve">E25 - Catering Supplies </t>
  </si>
  <si>
    <t>E26 - Agency Supply Staff</t>
  </si>
  <si>
    <t xml:space="preserve">E27 - Bought in Proff. Services (Curric) </t>
  </si>
  <si>
    <t>E28 - Bought in Prof Services (other)</t>
  </si>
  <si>
    <t xml:space="preserve">E29 - Loan Interest </t>
  </si>
  <si>
    <t xml:space="preserve">E30 - RCCO </t>
  </si>
  <si>
    <t xml:space="preserve">E31 - Community Focussed Extended School Staff  </t>
  </si>
  <si>
    <t xml:space="preserve">E32 - Community Focussed Extended School Costs </t>
  </si>
  <si>
    <t>Total Revenue Income</t>
  </si>
  <si>
    <t>Total Revenue Expenditure</t>
  </si>
  <si>
    <t>Net in Year Rev Inc / (Exp)</t>
  </si>
  <si>
    <t>Buildings Floor Area (square metre)</t>
  </si>
  <si>
    <t>Income Per Pupil</t>
  </si>
  <si>
    <t>As % of Total Rev Expenditure</t>
  </si>
  <si>
    <t>Cost per Pupil</t>
  </si>
  <si>
    <t>As % of in year Revenue Income</t>
  </si>
  <si>
    <t>Cost / Expenditure per Pupil</t>
  </si>
  <si>
    <t>Cost per Sq Meter of building floor area</t>
  </si>
  <si>
    <t>Cost per pupil</t>
  </si>
  <si>
    <t>Expenditure per Pupil</t>
  </si>
  <si>
    <t>N</t>
  </si>
  <si>
    <t>Nursery Sector Average</t>
  </si>
  <si>
    <t>P</t>
  </si>
  <si>
    <t>Primary Sector Average</t>
  </si>
  <si>
    <t>S</t>
  </si>
  <si>
    <t>Secondary Sector Average</t>
  </si>
  <si>
    <t>C</t>
  </si>
  <si>
    <t>Special Sector Average</t>
  </si>
  <si>
    <t>Income Fields</t>
  </si>
  <si>
    <t>Expenditure Fields</t>
  </si>
  <si>
    <t>School Details</t>
  </si>
  <si>
    <t>School Number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</si>
  <si>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</si>
  <si>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</si>
  <si>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</si>
  <si>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</si>
  <si>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</si>
  <si>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</si>
  <si>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</si>
  <si>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</si>
  <si>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</si>
  <si>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</si>
  <si>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</si>
  <si>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</si>
  <si>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</si>
  <si>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I15</t>
  </si>
  <si>
    <t>I16</t>
  </si>
  <si>
    <t>I17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</si>
  <si>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</si>
  <si>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</si>
  <si>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</si>
  <si>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</si>
  <si>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</si>
  <si>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</si>
  <si>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</si>
  <si>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</si>
  <si>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</si>
  <si>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</si>
  <si>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</si>
  <si>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</si>
  <si>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</si>
  <si>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</si>
  <si>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</si>
  <si>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</si>
  <si>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</si>
  <si>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</si>
  <si>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</si>
  <si>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</si>
  <si>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</si>
  <si>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</si>
  <si>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</si>
  <si>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</si>
  <si>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</si>
  <si>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</si>
  <si>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</si>
  <si>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</si>
  <si>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</si>
  <si>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</si>
  <si>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</si>
  <si>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</si>
  <si>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Akiva</t>
  </si>
  <si>
    <t>Martin Primary</t>
  </si>
  <si>
    <t>EAL</t>
  </si>
  <si>
    <t>MFG</t>
  </si>
  <si>
    <t xml:space="preserve">Excludes Community Focussed Extended Schools Income </t>
  </si>
  <si>
    <t>Excludes Community Focussed Extended Schools Expenditure</t>
  </si>
  <si>
    <t>Income per Pupil</t>
  </si>
  <si>
    <t>I01 - Funds Delegated by LA</t>
  </si>
  <si>
    <t>I08 Inc. from Facilities &amp; Services</t>
  </si>
  <si>
    <t>I06 - Other Gov. Grants</t>
  </si>
  <si>
    <t>I12 Inc. from Contributions</t>
  </si>
  <si>
    <t>J</t>
  </si>
  <si>
    <t>I</t>
  </si>
  <si>
    <t>AWPU - N</t>
  </si>
  <si>
    <t>AWPU - R</t>
  </si>
  <si>
    <t>AWPU - YEAR 1</t>
  </si>
  <si>
    <t>AWPU - YEAR 2</t>
  </si>
  <si>
    <t>AWPU - YEAR 3</t>
  </si>
  <si>
    <t>AWPU - YEAR 4</t>
  </si>
  <si>
    <t>AWPU - YEAR 5</t>
  </si>
  <si>
    <t>AWPU - YEAR 6</t>
  </si>
  <si>
    <t>AWPU - YEAR 7</t>
  </si>
  <si>
    <t>AWPU - YEAR 8</t>
  </si>
  <si>
    <t>AWPU - YEAR 9</t>
  </si>
  <si>
    <t>AWPU - YEAR 10</t>
  </si>
  <si>
    <t>AWPU - YEAR 11</t>
  </si>
  <si>
    <t>AWPU - SPECIAL</t>
  </si>
  <si>
    <t>PLACE LED</t>
  </si>
  <si>
    <t>CLASS - BASED</t>
  </si>
  <si>
    <t>GHOST</t>
  </si>
  <si>
    <t>CAPITATION</t>
  </si>
  <si>
    <t>PUPIL LED</t>
  </si>
  <si>
    <t>APL - FSM</t>
  </si>
  <si>
    <t>EXAMS</t>
  </si>
  <si>
    <t>STATEMENTS</t>
  </si>
  <si>
    <t>PA</t>
  </si>
  <si>
    <t>RP</t>
  </si>
  <si>
    <t>LSU</t>
  </si>
  <si>
    <t>MOBILITY</t>
  </si>
  <si>
    <t>AEN - FSM</t>
  </si>
  <si>
    <t>POCKETS</t>
  </si>
  <si>
    <t>REPAIRS</t>
  </si>
  <si>
    <t>SWIMPOOL</t>
  </si>
  <si>
    <t>GROUNDS</t>
  </si>
  <si>
    <t>WITHPITCH</t>
  </si>
  <si>
    <t>RENTPITCH</t>
  </si>
  <si>
    <t>INSURANCE</t>
  </si>
  <si>
    <t>NNDR</t>
  </si>
  <si>
    <t>COUNCILTAX</t>
  </si>
  <si>
    <t>CARETAKERSRENT</t>
  </si>
  <si>
    <t>BASICENTITLEMENT</t>
  </si>
  <si>
    <t>NURSERYADDITION</t>
  </si>
  <si>
    <t>SPLITSITE</t>
  </si>
  <si>
    <t>SPLITTRAVEL</t>
  </si>
  <si>
    <t>ONEHALF</t>
  </si>
  <si>
    <t>NQT</t>
  </si>
  <si>
    <t>VAFOUNDATION</t>
  </si>
  <si>
    <t>SALARYSAFE</t>
  </si>
  <si>
    <t>Pupils</t>
  </si>
  <si>
    <t>Akiva School</t>
  </si>
  <si>
    <t>All Saints' CofE Primary School N20</t>
  </si>
  <si>
    <t>All Saints' CofE Primary School Nw2</t>
  </si>
  <si>
    <t>Barnfield Primary School</t>
  </si>
  <si>
    <t>Beis Yaakov Primary School</t>
  </si>
  <si>
    <t>Bell Lane Primary School</t>
  </si>
  <si>
    <t>Brookland Infant and Nursery School</t>
  </si>
  <si>
    <t>Brunswick Park Primary and Nursery School</t>
  </si>
  <si>
    <t>Chalgrove Primary School</t>
  </si>
  <si>
    <t>Christ Church Primary School</t>
  </si>
  <si>
    <t>Claremont Primary School</t>
  </si>
  <si>
    <t>Colindale Primary School</t>
  </si>
  <si>
    <t>Coppetts Wood Primary School</t>
  </si>
  <si>
    <t>Cromer Road Primary School</t>
  </si>
  <si>
    <t>Danegrove Primary School</t>
  </si>
  <si>
    <t>Fairway Primary School and Childrens' Centre</t>
  </si>
  <si>
    <t>Frith Manor Primary School</t>
  </si>
  <si>
    <t>Goldbeaters Primary School</t>
  </si>
  <si>
    <t>Hollickwood Primary School</t>
  </si>
  <si>
    <t>Holly Park Primary School</t>
  </si>
  <si>
    <t>Holy Trinity CofE Primary School</t>
  </si>
  <si>
    <t>Livingstone Primary School</t>
  </si>
  <si>
    <t>Manorside Primary School</t>
  </si>
  <si>
    <t>Martin Primary School</t>
  </si>
  <si>
    <t>Mathilda Marks-Kennedy Jewish Primary School</t>
  </si>
  <si>
    <t>Monken Hadley CofE Primary School</t>
  </si>
  <si>
    <t>Monkfrith Primary School</t>
  </si>
  <si>
    <t>Northside Primary School</t>
  </si>
  <si>
    <t>Osidge Primary School</t>
  </si>
  <si>
    <t>Pardes House Primary School</t>
  </si>
  <si>
    <t>Parkfield Primary School</t>
  </si>
  <si>
    <t>Rosh Pinah Primary School</t>
  </si>
  <si>
    <t>Sacred Heart Roman Catholic Primary School</t>
  </si>
  <si>
    <t>St Agnes RC School</t>
  </si>
  <si>
    <t>St Catherine's RC School</t>
  </si>
  <si>
    <t>St Joseph's RC Infant School</t>
  </si>
  <si>
    <t>St Joseph's RC Junior School</t>
  </si>
  <si>
    <t>St Mary's and St John's CofE Primary School</t>
  </si>
  <si>
    <t>St Mary's CofE Primary School, East Barnet</t>
  </si>
  <si>
    <t>St Paul's CofE Primary School N11</t>
  </si>
  <si>
    <t>St Theresa's RC School</t>
  </si>
  <si>
    <t>St Vincent's RC School</t>
  </si>
  <si>
    <t>Summerside Primary School</t>
  </si>
  <si>
    <t>Sunnyfields Primary School</t>
  </si>
  <si>
    <t>The Annunciation RC Infant School</t>
  </si>
  <si>
    <t>The Annunciation RC Junior School</t>
  </si>
  <si>
    <t>The Hyde School</t>
  </si>
  <si>
    <t>The Orion Primary School</t>
  </si>
  <si>
    <t>Trent CofE Primary School</t>
  </si>
  <si>
    <t>Tudor Primary School</t>
  </si>
  <si>
    <t>Wessex Gardens Primary School</t>
  </si>
  <si>
    <t>Whitings Hill Primary School</t>
  </si>
  <si>
    <t>Woodridge Primary School</t>
  </si>
  <si>
    <t>Bishop Douglass School Finchley</t>
  </si>
  <si>
    <t>Christ's College Finchley</t>
  </si>
  <si>
    <t>St James Catholic High School</t>
  </si>
  <si>
    <t>St Mary's CofE High School</t>
  </si>
  <si>
    <t>St Michael's Catholic Grammar School</t>
  </si>
  <si>
    <t>The Henrietta Barnett School</t>
  </si>
  <si>
    <t>Opening Balances</t>
  </si>
  <si>
    <t>Capital Income</t>
  </si>
  <si>
    <t>Closing Balances</t>
  </si>
  <si>
    <t>OB01</t>
  </si>
  <si>
    <t>OB02</t>
  </si>
  <si>
    <t>OB03</t>
  </si>
  <si>
    <t>CI01</t>
  </si>
  <si>
    <t>CI03</t>
  </si>
  <si>
    <t>CI04</t>
  </si>
  <si>
    <t>CE01</t>
  </si>
  <si>
    <t>CE02</t>
  </si>
  <si>
    <t>CE03</t>
  </si>
  <si>
    <t>CE04</t>
  </si>
  <si>
    <t>B01</t>
  </si>
  <si>
    <t>B02</t>
  </si>
  <si>
    <t>B03</t>
  </si>
  <si>
    <t>B05</t>
  </si>
  <si>
    <t>B06</t>
  </si>
  <si>
    <t>JCoSS</t>
  </si>
  <si>
    <t>E01, E02, E26 - Teaching Staff</t>
  </si>
  <si>
    <t>Pupil Numbers</t>
  </si>
  <si>
    <t>The Totteridge Academy</t>
  </si>
  <si>
    <t>Mill Hill County High School</t>
  </si>
  <si>
    <t>Ashmole Academy</t>
  </si>
  <si>
    <t>Nursery Sector</t>
  </si>
  <si>
    <t>Primary Sector</t>
  </si>
  <si>
    <t>Secondary Sector</t>
  </si>
  <si>
    <t>Special Sector</t>
  </si>
  <si>
    <t>SIXTHFORM</t>
  </si>
  <si>
    <t>PPFSM</t>
  </si>
  <si>
    <t>PPSC</t>
  </si>
  <si>
    <t>PPLA</t>
  </si>
  <si>
    <t>RSTARTUP</t>
  </si>
  <si>
    <t>SSG</t>
  </si>
  <si>
    <t>SSGP</t>
  </si>
  <si>
    <t>LPA</t>
  </si>
  <si>
    <t>SDG</t>
  </si>
  <si>
    <t>PRISTRAT</t>
  </si>
  <si>
    <t>SECSTRAT</t>
  </si>
  <si>
    <t>EMAG</t>
  </si>
  <si>
    <t>DFC</t>
  </si>
  <si>
    <t>EXTENDED</t>
  </si>
  <si>
    <t>EXTSUBSIDY</t>
  </si>
  <si>
    <t>SDGSPEC</t>
  </si>
  <si>
    <t>SDGEIC</t>
  </si>
  <si>
    <t>SDGOTHER</t>
  </si>
  <si>
    <t>SDGHPSS</t>
  </si>
  <si>
    <t>SCHOOLLUNCH</t>
  </si>
  <si>
    <t>London Academy</t>
  </si>
  <si>
    <t>Wren Academy</t>
  </si>
  <si>
    <t>4009a</t>
  </si>
  <si>
    <t>4012a</t>
  </si>
  <si>
    <t>4208a</t>
  </si>
  <si>
    <t>4210a</t>
  </si>
  <si>
    <t>Copthall Academy</t>
  </si>
  <si>
    <t>4211a</t>
  </si>
  <si>
    <t>Christ's College Finchley Academy</t>
  </si>
  <si>
    <t>4752a</t>
  </si>
  <si>
    <t>5400a</t>
  </si>
  <si>
    <t>Hendon Academy</t>
  </si>
  <si>
    <t>5402a</t>
  </si>
  <si>
    <t>5404a</t>
  </si>
  <si>
    <t>St Michael's Catholic Grammar Academy</t>
  </si>
  <si>
    <t>5409a</t>
  </si>
  <si>
    <t>3515a</t>
  </si>
  <si>
    <t>Pavilion Study Centre</t>
  </si>
  <si>
    <t>Discovery Bay</t>
  </si>
  <si>
    <t>Northgate</t>
  </si>
  <si>
    <t>Budget</t>
  </si>
  <si>
    <t>John Paxton</t>
  </si>
  <si>
    <t>Beit Shvidler</t>
  </si>
  <si>
    <t xml:space="preserve">I05 - Pupil Premium </t>
  </si>
  <si>
    <t>Check</t>
  </si>
  <si>
    <t>DfE Number</t>
  </si>
  <si>
    <t>Sector Averages</t>
  </si>
  <si>
    <t>I18</t>
  </si>
  <si>
    <t>St. Mary's and St. John's (NW4) Primary</t>
  </si>
  <si>
    <t>Note</t>
  </si>
  <si>
    <t>DATA</t>
  </si>
  <si>
    <t>Census</t>
  </si>
  <si>
    <t>Census Calc - all</t>
  </si>
  <si>
    <t>Historical</t>
  </si>
  <si>
    <t>Census-DT</t>
  </si>
  <si>
    <t>DT</t>
  </si>
  <si>
    <t>Census Calc</t>
  </si>
  <si>
    <t>From RP sheet</t>
  </si>
  <si>
    <t>Apps during year</t>
  </si>
  <si>
    <t>Bahir</t>
  </si>
  <si>
    <t>Not used</t>
  </si>
  <si>
    <t>Census Headcount</t>
  </si>
  <si>
    <t>Not Used</t>
  </si>
  <si>
    <t>As entered during year</t>
  </si>
  <si>
    <t>CG</t>
  </si>
  <si>
    <t>Kim</t>
  </si>
  <si>
    <t>Census (R-Y11)</t>
  </si>
  <si>
    <t>VS</t>
  </si>
  <si>
    <t>Paula Hales</t>
  </si>
  <si>
    <t>Placeplanning</t>
  </si>
  <si>
    <t>Census (FTE N-Y14)</t>
  </si>
  <si>
    <t>Census calc</t>
  </si>
  <si>
    <t>not used</t>
  </si>
  <si>
    <t>EIC group</t>
  </si>
  <si>
    <t>Peter Dowle</t>
  </si>
  <si>
    <t>Mick Bradburn</t>
  </si>
  <si>
    <t>Bernard Gallacher</t>
  </si>
  <si>
    <t>Paul Lawrence</t>
  </si>
  <si>
    <t>YPLA</t>
  </si>
  <si>
    <t>Brian Davis</t>
  </si>
  <si>
    <t>FTE N-Y14</t>
  </si>
  <si>
    <t>Same as EAL Score</t>
  </si>
  <si>
    <t>New schools not yet full</t>
  </si>
  <si>
    <t>FTE R-Y11</t>
  </si>
  <si>
    <t>% Post 16</t>
  </si>
  <si>
    <t>`</t>
  </si>
  <si>
    <t>Funding type</t>
  </si>
  <si>
    <t>SEN CONTINGENCY</t>
  </si>
  <si>
    <t>AWPU - ADD</t>
  </si>
  <si>
    <t>PHASE ONE</t>
  </si>
  <si>
    <t>EASEN</t>
  </si>
  <si>
    <t>EXCLUSIONS</t>
  </si>
  <si>
    <t>ADJ</t>
  </si>
  <si>
    <t>BASIC</t>
  </si>
  <si>
    <t>FLEX</t>
  </si>
  <si>
    <t>HOURS</t>
  </si>
  <si>
    <t>IDACI</t>
  </si>
  <si>
    <t>LOAN</t>
  </si>
  <si>
    <t>SUSTEXP</t>
  </si>
  <si>
    <t>FLEXIBILITY</t>
  </si>
  <si>
    <t>QUALIFICATIONS</t>
  </si>
  <si>
    <t>EXTENDED1011</t>
  </si>
  <si>
    <t>SDGASTS</t>
  </si>
  <si>
    <t>BURSARY</t>
  </si>
  <si>
    <t>LEARNER</t>
  </si>
  <si>
    <t>TPG</t>
  </si>
  <si>
    <t>SPECIALSTANDARD</t>
  </si>
  <si>
    <t>SPECIALCOMPLEX</t>
  </si>
  <si>
    <t>MAST</t>
  </si>
  <si>
    <t>PHONICS</t>
  </si>
  <si>
    <t>DFCLOAN</t>
  </si>
  <si>
    <t>NEWOPPS-ASTS</t>
  </si>
  <si>
    <t>PEGRANT</t>
  </si>
  <si>
    <t>SFAWPU</t>
  </si>
  <si>
    <t>SFFSM</t>
  </si>
  <si>
    <t>SFPA</t>
  </si>
  <si>
    <t>SFEAL</t>
  </si>
  <si>
    <t>AWPU - YEAR 12</t>
  </si>
  <si>
    <t>AWPU - YEAR 13</t>
  </si>
  <si>
    <t>AWPU - YEAR 14</t>
  </si>
  <si>
    <t>SSGTOPUP</t>
  </si>
  <si>
    <t>ECC</t>
  </si>
  <si>
    <t>LIGBASIC</t>
  </si>
  <si>
    <t>LIGFSM</t>
  </si>
  <si>
    <t>POST 16</t>
  </si>
  <si>
    <t>SFADJ</t>
  </si>
  <si>
    <t>LOW</t>
  </si>
  <si>
    <t>abatement</t>
  </si>
  <si>
    <t>Sector</t>
  </si>
  <si>
    <t>SFBASIC</t>
  </si>
  <si>
    <t>FSM%</t>
  </si>
  <si>
    <t>SUMBASIC</t>
  </si>
  <si>
    <t>AUTBASIC</t>
  </si>
  <si>
    <t>SPRBASIC</t>
  </si>
  <si>
    <t>SUMHOURS</t>
  </si>
  <si>
    <t>AUTHOURS</t>
  </si>
  <si>
    <t>SPRHOURS</t>
  </si>
  <si>
    <t>SUMFLEX</t>
  </si>
  <si>
    <t>AUTFLEX</t>
  </si>
  <si>
    <t>SPRFLEX</t>
  </si>
  <si>
    <t>SUMIDACI</t>
  </si>
  <si>
    <t>AUTIDACI</t>
  </si>
  <si>
    <t>SPRIDACI</t>
  </si>
  <si>
    <t>sumadj</t>
  </si>
  <si>
    <t>autadj</t>
  </si>
  <si>
    <t>spradj</t>
  </si>
  <si>
    <t>HPSS</t>
  </si>
  <si>
    <t>MOBILEPUPILS</t>
  </si>
  <si>
    <t>MAXMOBILE</t>
  </si>
  <si>
    <t>BF</t>
  </si>
  <si>
    <t>BNF</t>
  </si>
  <si>
    <t>MF</t>
  </si>
  <si>
    <t>MNF</t>
  </si>
  <si>
    <t>EFM</t>
  </si>
  <si>
    <t>ENFM</t>
  </si>
  <si>
    <t>EFNM</t>
  </si>
  <si>
    <t>ENFNM</t>
  </si>
  <si>
    <t>Funding area</t>
  </si>
  <si>
    <t>AENSEN</t>
  </si>
  <si>
    <t>AWPU</t>
  </si>
  <si>
    <t>AWPU - KS1</t>
  </si>
  <si>
    <t>AWPU - KS2</t>
  </si>
  <si>
    <t>AWPU - KS3</t>
  </si>
  <si>
    <t>AWPU - KS4</t>
  </si>
  <si>
    <t>FREE ENTITLEMENT</t>
  </si>
  <si>
    <t>PUPIL PREMIUM</t>
  </si>
  <si>
    <t>SCHOOL</t>
  </si>
  <si>
    <t>SFGRANTS</t>
  </si>
  <si>
    <t>SITE</t>
  </si>
  <si>
    <t>EXTRA INFORMATION</t>
  </si>
  <si>
    <t>DFE</t>
  </si>
  <si>
    <t>Progress @ 9/2/12 (Excludes Whitefield)</t>
  </si>
  <si>
    <t>Claire</t>
  </si>
  <si>
    <t>Carol</t>
  </si>
  <si>
    <t>DfE</t>
  </si>
  <si>
    <t>Using last year's info</t>
  </si>
  <si>
    <t>Estimates</t>
  </si>
  <si>
    <t>Unknown</t>
  </si>
  <si>
    <t>Estimate</t>
  </si>
  <si>
    <t>Ended?</t>
  </si>
  <si>
    <t>Calculated</t>
  </si>
  <si>
    <t>Load</t>
  </si>
  <si>
    <t>end nursery</t>
  </si>
  <si>
    <t>V</t>
  </si>
  <si>
    <t>Barnet Hill</t>
  </si>
  <si>
    <t>F</t>
  </si>
  <si>
    <t>Etz Chaim (Mill Hill Jewish Primary School)</t>
  </si>
  <si>
    <t>X</t>
  </si>
  <si>
    <t>Beit Shvidler Primary School (EJPS)</t>
  </si>
  <si>
    <t>IJDS (Academy)</t>
  </si>
  <si>
    <t>A</t>
  </si>
  <si>
    <t>St Andrew's CofE VA Primary School</t>
  </si>
  <si>
    <t>St John's CofE JMI School N11</t>
  </si>
  <si>
    <t>St John's CofE Primary School N20</t>
  </si>
  <si>
    <t>St Mary's CofE Primary School N3</t>
  </si>
  <si>
    <t>St Paul's CofE Primary School NW7</t>
  </si>
  <si>
    <t>end primary</t>
  </si>
  <si>
    <t>East Barnet Academy</t>
  </si>
  <si>
    <t>Hasmonean High School Academy</t>
  </si>
  <si>
    <t>Mill Hill County High School Academy</t>
  </si>
  <si>
    <t>Queen Elizabeth's Girls' School Academy</t>
  </si>
  <si>
    <t>The Compton Academy</t>
  </si>
  <si>
    <t>The Henrietta Barnett Academy</t>
  </si>
  <si>
    <t>Whitefield School Academy</t>
  </si>
  <si>
    <t>end secondary</t>
  </si>
  <si>
    <t>L</t>
  </si>
  <si>
    <t>U</t>
  </si>
  <si>
    <t>PVIs /Children's Centres</t>
  </si>
  <si>
    <t>z</t>
  </si>
  <si>
    <t>Virtual School</t>
  </si>
  <si>
    <t>Out of Borough schools</t>
  </si>
  <si>
    <t>end others</t>
  </si>
  <si>
    <t>NURSERY</t>
  </si>
  <si>
    <t>PRIMARY</t>
  </si>
  <si>
    <t>SECONDARY</t>
  </si>
  <si>
    <t>SPECIAL</t>
  </si>
  <si>
    <t>PRUs</t>
  </si>
  <si>
    <t>OTHER</t>
  </si>
  <si>
    <t>NURSERY,PRIMARY,SECONDARY,SPECIAL</t>
  </si>
  <si>
    <t>INFANT</t>
  </si>
  <si>
    <t>JUNIOR</t>
  </si>
  <si>
    <t>Maximum</t>
  </si>
  <si>
    <t>Vacancies</t>
  </si>
  <si>
    <t>Value</t>
  </si>
  <si>
    <t>Capital</t>
  </si>
  <si>
    <t>Revenue</t>
  </si>
  <si>
    <t>Extended Schls Bal</t>
  </si>
  <si>
    <t>I18 - Additional Grants for Schools</t>
  </si>
  <si>
    <t>I05 - Pupil Premium</t>
  </si>
  <si>
    <t>2030a</t>
  </si>
  <si>
    <t>Grasvenor Avenue Infant Academy</t>
  </si>
  <si>
    <t>Barnet School Funding Sheet</t>
  </si>
  <si>
    <t>Released</t>
  </si>
  <si>
    <t>Revised Original Budgets 2012/13 - All Schools</t>
  </si>
  <si>
    <t>Printed</t>
  </si>
  <si>
    <t>Workings for Option A April Funding Journal</t>
  </si>
  <si>
    <t>&lt;-----2011/12-----&gt;</t>
  </si>
  <si>
    <t>&lt;-----------------------------------------2012/2013-------------------------------------------&gt;</t>
  </si>
  <si>
    <t>Difference from 11/12</t>
  </si>
  <si>
    <t>Original</t>
  </si>
  <si>
    <t>EOY</t>
  </si>
  <si>
    <t>April Funding Paid to local bank</t>
  </si>
  <si>
    <r>
      <t xml:space="preserve">Balance for journal         </t>
    </r>
    <r>
      <rPr>
        <b/>
        <sz val="10"/>
        <rFont val="Arial"/>
        <family val="2"/>
      </rPr>
      <t>I01</t>
    </r>
  </si>
  <si>
    <t>End of Year</t>
  </si>
  <si>
    <t>Share (I01-I04)</t>
  </si>
  <si>
    <t>opt.</t>
  </si>
  <si>
    <t>check</t>
  </si>
  <si>
    <t>Nursery Schools</t>
  </si>
  <si>
    <t>Total Nursery Schools</t>
  </si>
  <si>
    <t>Primary Schools</t>
  </si>
  <si>
    <t>D</t>
  </si>
  <si>
    <t>B</t>
  </si>
  <si>
    <t>Total Primary Schools</t>
  </si>
  <si>
    <t xml:space="preserve">Secondary Schools </t>
  </si>
  <si>
    <t>Total Secondaries</t>
  </si>
  <si>
    <t>Special Schools</t>
  </si>
  <si>
    <t>Total Special Schools</t>
  </si>
  <si>
    <t>All Schools</t>
  </si>
  <si>
    <t>becoming an Academy 01/04/12</t>
  </si>
  <si>
    <t>Academies (NB excludes Sixth Form funding for academies)</t>
  </si>
  <si>
    <t>Notepad Details</t>
  </si>
  <si>
    <t>Sacks Morasha</t>
  </si>
  <si>
    <t>End of Year 2013/14 School Funding Allocations to be paid by Schools Accountancy</t>
  </si>
  <si>
    <t>SAPCC</t>
  </si>
  <si>
    <t>(Multiple Items)</t>
  </si>
  <si>
    <t>SchCostC</t>
  </si>
  <si>
    <t>Autocode</t>
  </si>
  <si>
    <t>Sum of Funding</t>
  </si>
  <si>
    <t>Run</t>
  </si>
  <si>
    <t>Vendor</t>
  </si>
  <si>
    <t>Summer</t>
  </si>
  <si>
    <t>August</t>
  </si>
  <si>
    <t>December</t>
  </si>
  <si>
    <t>March</t>
  </si>
  <si>
    <t>Grand Total</t>
  </si>
  <si>
    <t>Morasha Jewish Primary School</t>
  </si>
  <si>
    <t>S:\Schools accountancy\Banking\Bank Account Funding\2013-14\Allocations\3 End of Year Adj\[End of Year Adj - School Accountancy funding by school by CC @ 7Mar14.xlsx]Summary by School</t>
  </si>
  <si>
    <t xml:space="preserve">Total </t>
  </si>
  <si>
    <t>PRU's</t>
  </si>
  <si>
    <t>PRU Sector Average</t>
  </si>
  <si>
    <t>Pupil Referral Unit</t>
  </si>
  <si>
    <t>PR</t>
  </si>
  <si>
    <t>ID</t>
  </si>
  <si>
    <t>Date</t>
  </si>
  <si>
    <t>Addedby</t>
  </si>
  <si>
    <t>Academy</t>
  </si>
  <si>
    <t>FundingType</t>
  </si>
  <si>
    <t>Funding Area</t>
  </si>
  <si>
    <t>Part Year</t>
  </si>
  <si>
    <t>Rate (FSM)</t>
  </si>
  <si>
    <t>Rate (SC)</t>
  </si>
  <si>
    <t>Original PP Data (FSM)</t>
  </si>
  <si>
    <t>Original PP Data (SC)</t>
  </si>
  <si>
    <t>New PP Data (FSM)</t>
  </si>
  <si>
    <t>New PP Data (SC)</t>
  </si>
  <si>
    <t>Adj PP (FSM)</t>
  </si>
  <si>
    <t>Adj PP (SC)</t>
  </si>
  <si>
    <t>PP Funding Adj (FSM)</t>
  </si>
  <si>
    <t>PP Funding Adj (SC)</t>
  </si>
  <si>
    <t xml:space="preserve">EFA Deprivation PP Allocation (FSM) 2013-14 </t>
  </si>
  <si>
    <t xml:space="preserve">EFA Deprivation PP Allocation (SC) 2013-14 </t>
  </si>
  <si>
    <t>Barnet Deprivation PP (FSM) Allocation to date</t>
  </si>
  <si>
    <t>Barnet Deprivation PP (SC) Allocation to date</t>
  </si>
  <si>
    <t>CFR</t>
  </si>
  <si>
    <t>FundingCheck</t>
  </si>
  <si>
    <t>FundingCheck2</t>
  </si>
  <si>
    <t>DelegationCheck</t>
  </si>
  <si>
    <t>DFE-TYPE</t>
  </si>
  <si>
    <t>RUN-DFE-TYPE</t>
  </si>
  <si>
    <t>AUTOPAYMENT</t>
  </si>
  <si>
    <t>Auto</t>
  </si>
  <si>
    <t>JuneAutoA</t>
  </si>
  <si>
    <t>JulyAuto</t>
  </si>
  <si>
    <t>SepAutoP</t>
  </si>
  <si>
    <t>Dec AutoP</t>
  </si>
  <si>
    <t>Mar AutoP</t>
  </si>
  <si>
    <t>SAPCCName</t>
  </si>
  <si>
    <t>RUN-TYPE</t>
  </si>
  <si>
    <t>RUN-FUNDINGAREA-SECTOR</t>
  </si>
  <si>
    <t>Comment</t>
  </si>
  <si>
    <t>Bev Funding Check 2</t>
  </si>
  <si>
    <t>Autopay</t>
  </si>
  <si>
    <t>JA</t>
  </si>
  <si>
    <t>PRU</t>
  </si>
  <si>
    <t>NO</t>
  </si>
  <si>
    <t>PPFSMPRU</t>
  </si>
  <si>
    <t>PUPILPREMIUM</t>
  </si>
  <si>
    <t>Journal-Faz</t>
  </si>
  <si>
    <t>Northgate School</t>
  </si>
  <si>
    <t>TS</t>
  </si>
  <si>
    <t>PPFSMPRI</t>
  </si>
  <si>
    <t>I053022002</t>
  </si>
  <si>
    <t>3022002PUPILPREMIUM</t>
  </si>
  <si>
    <t>3022002PPFSMPRI</t>
  </si>
  <si>
    <t>Original3022002PPFSMPRI</t>
  </si>
  <si>
    <t>1AUTOPAYMENT3022002</t>
  </si>
  <si>
    <t>1Auto3022002PPFSMPRI</t>
  </si>
  <si>
    <t>Pupil Premium Primary</t>
  </si>
  <si>
    <t>OriginalPPFSMPRI</t>
  </si>
  <si>
    <t>OriginalPUPILPREMIUMPrimary</t>
  </si>
  <si>
    <t>I053022003</t>
  </si>
  <si>
    <t>3022003PUPILPREMIUM</t>
  </si>
  <si>
    <t>3022003PPFSMPRI</t>
  </si>
  <si>
    <t>Original3022003PPFSMPRI</t>
  </si>
  <si>
    <t>1AUTOPAYMENT3022003</t>
  </si>
  <si>
    <t>1Auto3022003PPFSMPRI</t>
  </si>
  <si>
    <t>Junior</t>
  </si>
  <si>
    <t>I053022007</t>
  </si>
  <si>
    <t>3022007PUPILPREMIUM</t>
  </si>
  <si>
    <t>3022007PPFSMPRI</t>
  </si>
  <si>
    <t>Original3022007PPFSMPRI</t>
  </si>
  <si>
    <t>1AUTOPAYMENT3022007</t>
  </si>
  <si>
    <t>1Auto3022007PPFSMPRI</t>
  </si>
  <si>
    <t>OriginalPUPILPREMIUMJunior</t>
  </si>
  <si>
    <t>Infant</t>
  </si>
  <si>
    <t>I053022008</t>
  </si>
  <si>
    <t>3022008PUPILPREMIUM</t>
  </si>
  <si>
    <t>3022008PPFSMPRI</t>
  </si>
  <si>
    <t>Original3022008PPFSMPRI</t>
  </si>
  <si>
    <t>1AUTOPAYMENT3022008</t>
  </si>
  <si>
    <t>1Auto3022008PPFSMPRI</t>
  </si>
  <si>
    <t>OriginalPUPILPREMIUMInfant</t>
  </si>
  <si>
    <t>I053022009</t>
  </si>
  <si>
    <t>3022009PUPILPREMIUM</t>
  </si>
  <si>
    <t>3022009PPFSMPRI</t>
  </si>
  <si>
    <t>Original3022009PPFSMPRI</t>
  </si>
  <si>
    <t>1AUTOPAYMENT3022009</t>
  </si>
  <si>
    <t>1Auto3022009PPFSMPRI</t>
  </si>
  <si>
    <t>I053022010</t>
  </si>
  <si>
    <t>3022010PUPILPREMIUM</t>
  </si>
  <si>
    <t>3022010PPFSMPRI</t>
  </si>
  <si>
    <t>Original3022010PPFSMPRI</t>
  </si>
  <si>
    <t>1AUTOPAYMENT3022010</t>
  </si>
  <si>
    <t>1Auto3022010PPFSMPRI</t>
  </si>
  <si>
    <t>I053022011</t>
  </si>
  <si>
    <t>3022011PUPILPREMIUM</t>
  </si>
  <si>
    <t>3022011PPFSMPRI</t>
  </si>
  <si>
    <t>Original3022011PPFSMPRI</t>
  </si>
  <si>
    <t>1AUTOPAYMENT3022011</t>
  </si>
  <si>
    <t>1Auto3022011PPFSMPRI</t>
  </si>
  <si>
    <t>I053022014</t>
  </si>
  <si>
    <t>3022014PUPILPREMIUM</t>
  </si>
  <si>
    <t>3022014PPFSMPRI</t>
  </si>
  <si>
    <t>Original3022014PPFSMPRI</t>
  </si>
  <si>
    <t>1AUTOPAYMENT3022014</t>
  </si>
  <si>
    <t>1Auto3022014PPFSMPRI</t>
  </si>
  <si>
    <t>I053022015</t>
  </si>
  <si>
    <t>3022015PUPILPREMIUM</t>
  </si>
  <si>
    <t>3022015PPFSMPRI</t>
  </si>
  <si>
    <t>Original3022015PPFSMPRI</t>
  </si>
  <si>
    <t>1AUTOPAYMENT3022015</t>
  </si>
  <si>
    <t>1Auto3022015PPFSMPRI</t>
  </si>
  <si>
    <t>I053022016</t>
  </si>
  <si>
    <t>3022016PUPILPREMIUM</t>
  </si>
  <si>
    <t>3022016PPFSMPRI</t>
  </si>
  <si>
    <t>Original3022016PPFSMPRI</t>
  </si>
  <si>
    <t>1AUTOPAYMENT3022016</t>
  </si>
  <si>
    <t>1Auto3022016PPFSMPRI</t>
  </si>
  <si>
    <t>I053022017</t>
  </si>
  <si>
    <t>3022017PUPILPREMIUM</t>
  </si>
  <si>
    <t>3022017PPFSMPRI</t>
  </si>
  <si>
    <t>Original3022017PPFSMPRI</t>
  </si>
  <si>
    <t>1AUTOPAYMENT3022017</t>
  </si>
  <si>
    <t>1Auto3022017PPFSMPRI</t>
  </si>
  <si>
    <t>YES</t>
  </si>
  <si>
    <t>I053022018</t>
  </si>
  <si>
    <t>3022018PUPILPREMIUM</t>
  </si>
  <si>
    <t>3022018PPFSMPRI</t>
  </si>
  <si>
    <t>EFA</t>
  </si>
  <si>
    <t>Original3022018PPFSMPRI</t>
  </si>
  <si>
    <t>0AUTOPAYMENT3022018</t>
  </si>
  <si>
    <t>0Auto3022018PPFSMPRI</t>
  </si>
  <si>
    <t>0</t>
  </si>
  <si>
    <t>No cost centre - EFA</t>
  </si>
  <si>
    <t>I053022019</t>
  </si>
  <si>
    <t>3022019PUPILPREMIUM</t>
  </si>
  <si>
    <t>3022019PPFSMPRI</t>
  </si>
  <si>
    <t>Original3022019PPFSMPRI</t>
  </si>
  <si>
    <t>1AUTOPAYMENT3022019</t>
  </si>
  <si>
    <t>1Auto3022019PPFSMPRI</t>
  </si>
  <si>
    <t>I053022021</t>
  </si>
  <si>
    <t>3022021PUPILPREMIUM</t>
  </si>
  <si>
    <t>3022021PPFSMPRI</t>
  </si>
  <si>
    <t>Original3022021PPFSMPRI</t>
  </si>
  <si>
    <t>1AUTOPAYMENT3022021</t>
  </si>
  <si>
    <t>1Auto3022021PPFSMPRI</t>
  </si>
  <si>
    <t>I053022022</t>
  </si>
  <si>
    <t>3022022PUPILPREMIUM</t>
  </si>
  <si>
    <t>3022022PPFSMPRI</t>
  </si>
  <si>
    <t>Original3022022PPFSMPRI</t>
  </si>
  <si>
    <t>1AUTOPAYMENT3022022</t>
  </si>
  <si>
    <t>1Auto3022022PPFSMPRI</t>
  </si>
  <si>
    <t>I053022023</t>
  </si>
  <si>
    <t>3022023PUPILPREMIUM</t>
  </si>
  <si>
    <t>3022023PPFSMPRI</t>
  </si>
  <si>
    <t>Original3022023PPFSMPRI</t>
  </si>
  <si>
    <t>1AUTOPAYMENT3022023</t>
  </si>
  <si>
    <t>1Auto3022023PPFSMPRI</t>
  </si>
  <si>
    <t>I053022024</t>
  </si>
  <si>
    <t>3022024PUPILPREMIUM</t>
  </si>
  <si>
    <t>3022024PPFSMPRI</t>
  </si>
  <si>
    <t>Original3022024PPFSMPRI</t>
  </si>
  <si>
    <t>1AUTOPAYMENT3022024</t>
  </si>
  <si>
    <t>1Auto3022024PPFSMPRI</t>
  </si>
  <si>
    <t>I053022025</t>
  </si>
  <si>
    <t>3022025PUPILPREMIUM</t>
  </si>
  <si>
    <t>3022025PPFSMPRI</t>
  </si>
  <si>
    <t>Original3022025PPFSMPRI</t>
  </si>
  <si>
    <t>1AUTOPAYMENT3022025</t>
  </si>
  <si>
    <t>1Auto3022025PPFSMPRI</t>
  </si>
  <si>
    <t>I053022026</t>
  </si>
  <si>
    <t>3022026PUPILPREMIUM</t>
  </si>
  <si>
    <t>3022026PPFSMPRI</t>
  </si>
  <si>
    <t>Original3022026PPFSMPRI</t>
  </si>
  <si>
    <t>1AUTOPAYMENT3022026</t>
  </si>
  <si>
    <t>1Auto3022026PPFSMPRI</t>
  </si>
  <si>
    <t>I053022027</t>
  </si>
  <si>
    <t>3022027PUPILPREMIUM</t>
  </si>
  <si>
    <t>3022027PPFSMPRI</t>
  </si>
  <si>
    <t>Original3022027PPFSMPRI</t>
  </si>
  <si>
    <t>1AUTOPAYMENT3022027</t>
  </si>
  <si>
    <t>1Auto3022027PPFSMPRI</t>
  </si>
  <si>
    <t>I053022028</t>
  </si>
  <si>
    <t>3022028PUPILPREMIUM</t>
  </si>
  <si>
    <t>3022028PPFSMPRI</t>
  </si>
  <si>
    <t>Original3022028PPFSMPRI</t>
  </si>
  <si>
    <t>1AUTOPAYMENT3022028</t>
  </si>
  <si>
    <t>1Auto3022028PPFSMPRI</t>
  </si>
  <si>
    <t>I053022029</t>
  </si>
  <si>
    <t>3022029PUPILPREMIUM</t>
  </si>
  <si>
    <t>3022029PPFSMPRI</t>
  </si>
  <si>
    <t>Original3022029PPFSMPRI</t>
  </si>
  <si>
    <t>1AUTOPAYMENT3022029</t>
  </si>
  <si>
    <t>1Auto3022029PPFSMPRI</t>
  </si>
  <si>
    <t>I053022030</t>
  </si>
  <si>
    <t>3022030PUPILPREMIUM</t>
  </si>
  <si>
    <t>3022030PPFSMPRI</t>
  </si>
  <si>
    <t>Original3022030PPFSMPRI</t>
  </si>
  <si>
    <t>0AUTOPAYMENT3022030</t>
  </si>
  <si>
    <t>0Auto3022030PPFSMPRI</t>
  </si>
  <si>
    <t>I053022031</t>
  </si>
  <si>
    <t>3022031PUPILPREMIUM</t>
  </si>
  <si>
    <t>3022031PPFSMPRI</t>
  </si>
  <si>
    <t>Original3022031PPFSMPRI</t>
  </si>
  <si>
    <t>1AUTOPAYMENT3022031</t>
  </si>
  <si>
    <t>1Auto3022031PPFSMPRI</t>
  </si>
  <si>
    <t>I053022032</t>
  </si>
  <si>
    <t>3022032PUPILPREMIUM</t>
  </si>
  <si>
    <t>3022032PPFSMPRI</t>
  </si>
  <si>
    <t>Original3022032PPFSMPRI</t>
  </si>
  <si>
    <t>1AUTOPAYMENT3022032</t>
  </si>
  <si>
    <t>1Auto3022032PPFSMPRI</t>
  </si>
  <si>
    <t>I053022036</t>
  </si>
  <si>
    <t>3022036PUPILPREMIUM</t>
  </si>
  <si>
    <t>3022036PPFSMPRI</t>
  </si>
  <si>
    <t>Original3022036PPFSMPRI</t>
  </si>
  <si>
    <t>1AUTOPAYMENT3022036</t>
  </si>
  <si>
    <t>1Auto3022036PPFSMPRI</t>
  </si>
  <si>
    <t>I053022037</t>
  </si>
  <si>
    <t>3022037PUPILPREMIUM</t>
  </si>
  <si>
    <t>3022037PPFSMPRI</t>
  </si>
  <si>
    <t>Original3022037PPFSMPRI</t>
  </si>
  <si>
    <t>1AUTOPAYMENT3022037</t>
  </si>
  <si>
    <t>1Auto3022037PPFSMPRI</t>
  </si>
  <si>
    <t>I053022041</t>
  </si>
  <si>
    <t>3022041PUPILPREMIUM</t>
  </si>
  <si>
    <t>3022041PPFSMPRI</t>
  </si>
  <si>
    <t>Original3022041PPFSMPRI</t>
  </si>
  <si>
    <t>1AUTOPAYMENT3022041</t>
  </si>
  <si>
    <t>1Auto3022041PPFSMPRI</t>
  </si>
  <si>
    <t>I053022042</t>
  </si>
  <si>
    <t>3022042PUPILPREMIUM</t>
  </si>
  <si>
    <t>3022042PPFSMPRI</t>
  </si>
  <si>
    <t>Original3022042PPFSMPRI</t>
  </si>
  <si>
    <t>1AUTOPAYMENT3022042</t>
  </si>
  <si>
    <t>1Auto3022042PPFSMPRI</t>
  </si>
  <si>
    <t>I053022043</t>
  </si>
  <si>
    <t>3022043PUPILPREMIUM</t>
  </si>
  <si>
    <t>3022043PPFSMPRI</t>
  </si>
  <si>
    <t>Original3022043PPFSMPRI</t>
  </si>
  <si>
    <t>1AUTOPAYMENT3022043</t>
  </si>
  <si>
    <t>1Auto3022043PPFSMPRI</t>
  </si>
  <si>
    <t>I053022044</t>
  </si>
  <si>
    <t>3022044PUPILPREMIUM</t>
  </si>
  <si>
    <t>3022044PPFSMPRI</t>
  </si>
  <si>
    <t>Original3022044PPFSMPRI</t>
  </si>
  <si>
    <t>1AUTOPAYMENT3022044</t>
  </si>
  <si>
    <t>1Auto3022044PPFSMPRI</t>
  </si>
  <si>
    <t>I053022045</t>
  </si>
  <si>
    <t>3022045PUPILPREMIUM</t>
  </si>
  <si>
    <t>3022045PPFSMPRI</t>
  </si>
  <si>
    <t>Original3022045PPFSMPRI</t>
  </si>
  <si>
    <t>1AUTOPAYMENT3022045</t>
  </si>
  <si>
    <t>1Auto3022045PPFSMPRI</t>
  </si>
  <si>
    <t>I053022052</t>
  </si>
  <si>
    <t>3022052PUPILPREMIUM</t>
  </si>
  <si>
    <t>3022052PPFSMPRI</t>
  </si>
  <si>
    <t>Original3022052PPFSMPRI</t>
  </si>
  <si>
    <t>1AUTOPAYMENT3022052</t>
  </si>
  <si>
    <t>1Auto3022052PPFSMPRI</t>
  </si>
  <si>
    <t>I053022054</t>
  </si>
  <si>
    <t>3022054PUPILPREMIUM</t>
  </si>
  <si>
    <t>3022054PPFSMPRI</t>
  </si>
  <si>
    <t>Original3022054PPFSMPRI</t>
  </si>
  <si>
    <t>1AUTOPAYMENT3022054</t>
  </si>
  <si>
    <t>1Auto3022054PPFSMPRI</t>
  </si>
  <si>
    <t>I053022055</t>
  </si>
  <si>
    <t>3022055PUPILPREMIUM</t>
  </si>
  <si>
    <t>3022055PPFSMPRI</t>
  </si>
  <si>
    <t>Original3022055PPFSMPRI</t>
  </si>
  <si>
    <t>1AUTOPAYMENT3022055</t>
  </si>
  <si>
    <t>1Auto3022055PPFSMPRI</t>
  </si>
  <si>
    <t>I053022056</t>
  </si>
  <si>
    <t>3022056PUPILPREMIUM</t>
  </si>
  <si>
    <t>3022056PPFSMPRI</t>
  </si>
  <si>
    <t>Original3022056PPFSMPRI</t>
  </si>
  <si>
    <t>1AUTOPAYMENT3022056</t>
  </si>
  <si>
    <t>1Auto3022056PPFSMPRI</t>
  </si>
  <si>
    <t>I053022057</t>
  </si>
  <si>
    <t>3022057PUPILPREMIUM</t>
  </si>
  <si>
    <t>3022057PPFSMPRI</t>
  </si>
  <si>
    <t>Original3022057PPFSMPRI</t>
  </si>
  <si>
    <t>1AUTOPAYMENT3022057</t>
  </si>
  <si>
    <t>1Auto3022057PPFSMPRI</t>
  </si>
  <si>
    <t>I053022060</t>
  </si>
  <si>
    <t>3022060PUPILPREMIUM</t>
  </si>
  <si>
    <t>3022060PPFSMPRI</t>
  </si>
  <si>
    <t>Original3022060PPFSMPRI</t>
  </si>
  <si>
    <t>1AUTOPAYMENT3022060</t>
  </si>
  <si>
    <t>1Auto3022060PPFSMPRI</t>
  </si>
  <si>
    <t>I053022067</t>
  </si>
  <si>
    <t>3022067PUPILPREMIUM</t>
  </si>
  <si>
    <t>3022067PPFSMPRI</t>
  </si>
  <si>
    <t>Original3022067PPFSMPRI</t>
  </si>
  <si>
    <t>1AUTOPAYMENT3022067</t>
  </si>
  <si>
    <t>1Auto3022067PPFSMPRI</t>
  </si>
  <si>
    <t>I053022070</t>
  </si>
  <si>
    <t>3022070PUPILPREMIUM</t>
  </si>
  <si>
    <t>3022070PPFSMPRI</t>
  </si>
  <si>
    <t>Original3022070PPFSMPRI</t>
  </si>
  <si>
    <t>1AUTOPAYMENT3022070</t>
  </si>
  <si>
    <t>1Auto3022070PPFSMPRI</t>
  </si>
  <si>
    <t>I053022071</t>
  </si>
  <si>
    <t>3022071PUPILPREMIUM</t>
  </si>
  <si>
    <t>3022071PPFSMPRI</t>
  </si>
  <si>
    <t>Original3022071PPFSMPRI</t>
  </si>
  <si>
    <t>1AUTOPAYMENT3022071</t>
  </si>
  <si>
    <t>1Auto3022071PPFSMPRI</t>
  </si>
  <si>
    <t>I053022072</t>
  </si>
  <si>
    <t>3022072PUPILPREMIUM</t>
  </si>
  <si>
    <t>3022072PPFSMPRI</t>
  </si>
  <si>
    <t>Original3022072PPFSMPRI</t>
  </si>
  <si>
    <t>1AUTOPAYMENT3022072</t>
  </si>
  <si>
    <t>1Auto3022072PPFSMPRI</t>
  </si>
  <si>
    <t>I053022073</t>
  </si>
  <si>
    <t>3022073PUPILPREMIUM</t>
  </si>
  <si>
    <t>3022073PPFSMPRI</t>
  </si>
  <si>
    <t>Original3022073PPFSMPRI</t>
  </si>
  <si>
    <t>1AUTOPAYMENT3022073</t>
  </si>
  <si>
    <t>1Auto3022073PPFSMPRI</t>
  </si>
  <si>
    <t>I053022076</t>
  </si>
  <si>
    <t>3022076PUPILPREMIUM</t>
  </si>
  <si>
    <t>3022076PPFSMPRI</t>
  </si>
  <si>
    <t>Original3022076PPFSMPRI</t>
  </si>
  <si>
    <t>1AUTOPAYMENT3022076</t>
  </si>
  <si>
    <t>1Auto3022076PPFSMPRI</t>
  </si>
  <si>
    <t>I053022077</t>
  </si>
  <si>
    <t>3022077PUPILPREMIUM</t>
  </si>
  <si>
    <t>3022077PPFSMPRI</t>
  </si>
  <si>
    <t>Original3022077PPFSMPRI</t>
  </si>
  <si>
    <t>1AUTOPAYMENT3022077</t>
  </si>
  <si>
    <t>1Auto3022077PPFSMPRI</t>
  </si>
  <si>
    <t>I053022078</t>
  </si>
  <si>
    <t>3022078PUPILPREMIUM</t>
  </si>
  <si>
    <t>3022078PPFSMPRI</t>
  </si>
  <si>
    <t>Original3022078PPFSMPRI</t>
  </si>
  <si>
    <t>1AUTOPAYMENT3022078</t>
  </si>
  <si>
    <t>1Auto3022078PPFSMPRI</t>
  </si>
  <si>
    <t>I053022079</t>
  </si>
  <si>
    <t>3022079PUPILPREMIUM</t>
  </si>
  <si>
    <t>3022079PPFSMPRI</t>
  </si>
  <si>
    <t>Original3022079PPFSMPRI</t>
  </si>
  <si>
    <t>1AUTOPAYMENT3022079</t>
  </si>
  <si>
    <t>1Auto3022079PPFSMPRI</t>
  </si>
  <si>
    <t>I053023300</t>
  </si>
  <si>
    <t>3023300PUPILPREMIUM</t>
  </si>
  <si>
    <t>3023300PPFSMPRI</t>
  </si>
  <si>
    <t>Original3023300PPFSMPRI</t>
  </si>
  <si>
    <t>1AUTOPAYMENT3023300</t>
  </si>
  <si>
    <t>1Auto3023300PPFSMPRI</t>
  </si>
  <si>
    <t>I053023302</t>
  </si>
  <si>
    <t>3023302PUPILPREMIUM</t>
  </si>
  <si>
    <t>3023302PPFSMPRI</t>
  </si>
  <si>
    <t>Original3023302PPFSMPRI</t>
  </si>
  <si>
    <t>1AUTOPAYMENT3023302</t>
  </si>
  <si>
    <t>1Auto3023302PPFSMPRI</t>
  </si>
  <si>
    <t>I053023304</t>
  </si>
  <si>
    <t>3023304PUPILPREMIUM</t>
  </si>
  <si>
    <t>3023304PPFSMPRI</t>
  </si>
  <si>
    <t>Original3023304PPFSMPRI</t>
  </si>
  <si>
    <t>1AUTOPAYMENT3023304</t>
  </si>
  <si>
    <t>1Auto3023304PPFSMPRI</t>
  </si>
  <si>
    <t>I053023305</t>
  </si>
  <si>
    <t>3023305PUPILPREMIUM</t>
  </si>
  <si>
    <t>3023305PPFSMPRI</t>
  </si>
  <si>
    <t>Original3023305PPFSMPRI</t>
  </si>
  <si>
    <t>1AUTOPAYMENT3023305</t>
  </si>
  <si>
    <t>1Auto3023305PPFSMPRI</t>
  </si>
  <si>
    <t>I053023307</t>
  </si>
  <si>
    <t>3023307PUPILPREMIUM</t>
  </si>
  <si>
    <t>3023307PPFSMPRI</t>
  </si>
  <si>
    <t>Original3023307PPFSMPRI</t>
  </si>
  <si>
    <t>1AUTOPAYMENT3023307</t>
  </si>
  <si>
    <t>1Auto3023307PPFSMPRI</t>
  </si>
  <si>
    <t>I053023309</t>
  </si>
  <si>
    <t>3023309PUPILPREMIUM</t>
  </si>
  <si>
    <t>3023309PPFSMPRI</t>
  </si>
  <si>
    <t>Original3023309PPFSMPRI</t>
  </si>
  <si>
    <t>1AUTOPAYMENT3023309</t>
  </si>
  <si>
    <t>1Auto3023309PPFSMPRI</t>
  </si>
  <si>
    <t>I053023311</t>
  </si>
  <si>
    <t>3023311PUPILPREMIUM</t>
  </si>
  <si>
    <t>3023311PPFSMPRI</t>
  </si>
  <si>
    <t>Original3023311PPFSMPRI</t>
  </si>
  <si>
    <t>1AUTOPAYMENT3023311</t>
  </si>
  <si>
    <t>1Auto3023311PPFSMPRI</t>
  </si>
  <si>
    <t>I053023312</t>
  </si>
  <si>
    <t>3023312PUPILPREMIUM</t>
  </si>
  <si>
    <t>3023312PPFSMPRI</t>
  </si>
  <si>
    <t>Original3023312PPFSMPRI</t>
  </si>
  <si>
    <t>1AUTOPAYMENT3023312</t>
  </si>
  <si>
    <t>1Auto3023312PPFSMPRI</t>
  </si>
  <si>
    <t>I053023313</t>
  </si>
  <si>
    <t>3023313PUPILPREMIUM</t>
  </si>
  <si>
    <t>3023313PPFSMPRI</t>
  </si>
  <si>
    <t>Original3023313PPFSMPRI</t>
  </si>
  <si>
    <t>1AUTOPAYMENT3023313</t>
  </si>
  <si>
    <t>1Auto3023313PPFSMPRI</t>
  </si>
  <si>
    <t>I053023314</t>
  </si>
  <si>
    <t>3023314PUPILPREMIUM</t>
  </si>
  <si>
    <t>3023314PPFSMPRI</t>
  </si>
  <si>
    <t>Original3023314PPFSMPRI</t>
  </si>
  <si>
    <t>1AUTOPAYMENT3023314</t>
  </si>
  <si>
    <t>1Auto3023314PPFSMPRI</t>
  </si>
  <si>
    <t>I053023315</t>
  </si>
  <si>
    <t>3023315PUPILPREMIUM</t>
  </si>
  <si>
    <t>3023315PPFSMPRI</t>
  </si>
  <si>
    <t>Original3023315PPFSMPRI</t>
  </si>
  <si>
    <t>1AUTOPAYMENT3023315</t>
  </si>
  <si>
    <t>1Auto3023315PPFSMPRI</t>
  </si>
  <si>
    <t>I053023316</t>
  </si>
  <si>
    <t>3023316PUPILPREMIUM</t>
  </si>
  <si>
    <t>3023316PPFSMPRI</t>
  </si>
  <si>
    <t>Original3023316PPFSMPRI</t>
  </si>
  <si>
    <t>1AUTOPAYMENT3023316</t>
  </si>
  <si>
    <t>1Auto3023316PPFSMPRI</t>
  </si>
  <si>
    <t>I053023317</t>
  </si>
  <si>
    <t>3023317PUPILPREMIUM</t>
  </si>
  <si>
    <t>3023317PPFSMPRI</t>
  </si>
  <si>
    <t>Original3023317PPFSMPRI</t>
  </si>
  <si>
    <t>1AUTOPAYMENT3023317</t>
  </si>
  <si>
    <t>1Auto3023317PPFSMPRI</t>
  </si>
  <si>
    <t>I053023500</t>
  </si>
  <si>
    <t>3023500PUPILPREMIUM</t>
  </si>
  <si>
    <t>3023500PPFSMPRI</t>
  </si>
  <si>
    <t>Original3023500PPFSMPRI</t>
  </si>
  <si>
    <t>1AUTOPAYMENT3023500</t>
  </si>
  <si>
    <t>1Auto3023500PPFSMPRI</t>
  </si>
  <si>
    <t>I053023501</t>
  </si>
  <si>
    <t>3023501PUPILPREMIUM</t>
  </si>
  <si>
    <t>3023501PPFSMPRI</t>
  </si>
  <si>
    <t>Original3023501PPFSMPRI</t>
  </si>
  <si>
    <t>1AUTOPAYMENT3023501</t>
  </si>
  <si>
    <t>1Auto3023501PPFSMPRI</t>
  </si>
  <si>
    <t>I053023502</t>
  </si>
  <si>
    <t>3023502PUPILPREMIUM</t>
  </si>
  <si>
    <t>3023502PPFSMPRI</t>
  </si>
  <si>
    <t>Original3023502PPFSMPRI</t>
  </si>
  <si>
    <t>1AUTOPAYMENT3023502</t>
  </si>
  <si>
    <t>1Auto3023502PPFSMPRI</t>
  </si>
  <si>
    <t>I053023504</t>
  </si>
  <si>
    <t>3023504PUPILPREMIUM</t>
  </si>
  <si>
    <t>3023504PPFSMPRI</t>
  </si>
  <si>
    <t>Original3023504PPFSMPRI</t>
  </si>
  <si>
    <t>1AUTOPAYMENT3023504</t>
  </si>
  <si>
    <t>1Auto3023504PPFSMPRI</t>
  </si>
  <si>
    <t>I053023506</t>
  </si>
  <si>
    <t>3023506PUPILPREMIUM</t>
  </si>
  <si>
    <t>3023506PPFSMPRI</t>
  </si>
  <si>
    <t>Original3023506PPFSMPRI</t>
  </si>
  <si>
    <t>1AUTOPAYMENT3023506</t>
  </si>
  <si>
    <t>1Auto3023506PPFSMPRI</t>
  </si>
  <si>
    <t>I053023507</t>
  </si>
  <si>
    <t>3023507PUPILPREMIUM</t>
  </si>
  <si>
    <t>3023507PPFSMPRI</t>
  </si>
  <si>
    <t>Original3023507PPFSMPRI</t>
  </si>
  <si>
    <t>1AUTOPAYMENT3023507</t>
  </si>
  <si>
    <t>1Auto3023507PPFSMPRI</t>
  </si>
  <si>
    <t>I053023508</t>
  </si>
  <si>
    <t>3023508PUPILPREMIUM</t>
  </si>
  <si>
    <t>3023508PPFSMPRI</t>
  </si>
  <si>
    <t>Original3023508PPFSMPRI</t>
  </si>
  <si>
    <t>1AUTOPAYMENT3023508</t>
  </si>
  <si>
    <t>1Auto3023508PPFSMPRI</t>
  </si>
  <si>
    <t>I053023509</t>
  </si>
  <si>
    <t>3023509PUPILPREMIUM</t>
  </si>
  <si>
    <t>3023509PPFSMPRI</t>
  </si>
  <si>
    <t>Original3023509PPFSMPRI</t>
  </si>
  <si>
    <t>1AUTOPAYMENT3023509</t>
  </si>
  <si>
    <t>1Auto3023509PPFSMPRI</t>
  </si>
  <si>
    <t>I053023510</t>
  </si>
  <si>
    <t>3023510PUPILPREMIUM</t>
  </si>
  <si>
    <t>3023510PPFSMPRI</t>
  </si>
  <si>
    <t>Original3023510PPFSMPRI</t>
  </si>
  <si>
    <t>1AUTOPAYMENT3023510</t>
  </si>
  <si>
    <t>1Auto3023510PPFSMPRI</t>
  </si>
  <si>
    <t>I053023511</t>
  </si>
  <si>
    <t>3023511PUPILPREMIUM</t>
  </si>
  <si>
    <t>3023511PPFSMPRI</t>
  </si>
  <si>
    <t>Original3023511PPFSMPRI</t>
  </si>
  <si>
    <t>1AUTOPAYMENT3023511</t>
  </si>
  <si>
    <t>1Auto3023511PPFSMPRI</t>
  </si>
  <si>
    <t>I053023512</t>
  </si>
  <si>
    <t>3023512PUPILPREMIUM</t>
  </si>
  <si>
    <t>3023512PPFSMPRI</t>
  </si>
  <si>
    <t>Original3023512PPFSMPRI</t>
  </si>
  <si>
    <t>1AUTOPAYMENT3023512</t>
  </si>
  <si>
    <t>1Auto3023512PPFSMPRI</t>
  </si>
  <si>
    <t>I053023513</t>
  </si>
  <si>
    <t>3023513PUPILPREMIUM</t>
  </si>
  <si>
    <t>3023513PPFSMPRI</t>
  </si>
  <si>
    <t>Original3023513PPFSMPRI</t>
  </si>
  <si>
    <t>1AUTOPAYMENT3023513</t>
  </si>
  <si>
    <t>1Auto3023513PPFSMPRI</t>
  </si>
  <si>
    <t>I053023514</t>
  </si>
  <si>
    <t>3023514PUPILPREMIUM</t>
  </si>
  <si>
    <t>3023514PPFSMPRI</t>
  </si>
  <si>
    <t>Original3023514PPFSMPRI</t>
  </si>
  <si>
    <t>1AUTOPAYMENT3023514</t>
  </si>
  <si>
    <t>1Auto3023514PPFSMPRI</t>
  </si>
  <si>
    <t>I053023516</t>
  </si>
  <si>
    <t>3023516PUPILPREMIUM</t>
  </si>
  <si>
    <t>3023516PPFSMPRI</t>
  </si>
  <si>
    <t>Original3023516PPFSMPRI</t>
  </si>
  <si>
    <t>1AUTOPAYMENT3023516</t>
  </si>
  <si>
    <t>1Auto3023516PPFSMPRI</t>
  </si>
  <si>
    <t>I053023518</t>
  </si>
  <si>
    <t>3023518PUPILPREMIUM</t>
  </si>
  <si>
    <t>3023518PPFSMPRI</t>
  </si>
  <si>
    <t>Original3023518PPFSMPRI</t>
  </si>
  <si>
    <t>1AUTOPAYMENT3023518</t>
  </si>
  <si>
    <t>1Auto3023518PPFSMPRI</t>
  </si>
  <si>
    <t>I053023520</t>
  </si>
  <si>
    <t>3023520PUPILPREMIUM</t>
  </si>
  <si>
    <t>3023520PPFSMPRI</t>
  </si>
  <si>
    <t>Original3023520PPFSMPRI</t>
  </si>
  <si>
    <t>1AUTOPAYMENT3023520</t>
  </si>
  <si>
    <t>1Auto3023520PPFSMPRI</t>
  </si>
  <si>
    <t>I053023521</t>
  </si>
  <si>
    <t>3023521PUPILPREMIUM</t>
  </si>
  <si>
    <t>3023521PPFSMPRI</t>
  </si>
  <si>
    <t>Original3023521PPFSMPRI</t>
  </si>
  <si>
    <t>1AUTOPAYMENT3023521</t>
  </si>
  <si>
    <t>1Auto3023521PPFSMPRI</t>
  </si>
  <si>
    <t>I053023522</t>
  </si>
  <si>
    <t>3023522PUPILPREMIUM</t>
  </si>
  <si>
    <t>3023522PPFSMPRI</t>
  </si>
  <si>
    <t>Original3023522PPFSMPRI</t>
  </si>
  <si>
    <t>1AUTOPAYMENT3023522</t>
  </si>
  <si>
    <t>1Auto3023522PPFSMPRI</t>
  </si>
  <si>
    <t>I053023523</t>
  </si>
  <si>
    <t>3023523PUPILPREMIUM</t>
  </si>
  <si>
    <t>3023523PPFSMPRI</t>
  </si>
  <si>
    <t>Original3023523PPFSMPRI</t>
  </si>
  <si>
    <t>1AUTOPAYMENT3023523</t>
  </si>
  <si>
    <t>1Auto3023523PPFSMPRI</t>
  </si>
  <si>
    <t>I053023524</t>
  </si>
  <si>
    <t>3023524PUPILPREMIUM</t>
  </si>
  <si>
    <t>3023524PPFSMPRI</t>
  </si>
  <si>
    <t>Original3023524PPFSMPRI</t>
  </si>
  <si>
    <t>1AUTOPAYMENT3023524</t>
  </si>
  <si>
    <t>1Auto3023524PPFSMPRI</t>
  </si>
  <si>
    <t>PPFSMSEC</t>
  </si>
  <si>
    <t>I053024003</t>
  </si>
  <si>
    <t>3024003PUPILPREMIUM</t>
  </si>
  <si>
    <t>3024003PPFSMSEC</t>
  </si>
  <si>
    <t>Original3024003PPFSMSEC</t>
  </si>
  <si>
    <t>1AUTOPAYMENT3024003</t>
  </si>
  <si>
    <t>1Auto3024003PPFSMSEC</t>
  </si>
  <si>
    <t>Pupil Premium Secondary</t>
  </si>
  <si>
    <t>OriginalPPFSMSEC</t>
  </si>
  <si>
    <t>OriginalPUPILPREMIUMSecondary</t>
  </si>
  <si>
    <t>I053024009</t>
  </si>
  <si>
    <t>3024009PUPILPREMIUM</t>
  </si>
  <si>
    <t>3024009PPFSMSEC</t>
  </si>
  <si>
    <t>Original3024009PPFSMSEC</t>
  </si>
  <si>
    <t>0AUTOPAYMENT3024009</t>
  </si>
  <si>
    <t>0Auto3024009PPFSMSEC</t>
  </si>
  <si>
    <t>I053024012</t>
  </si>
  <si>
    <t>3024012PUPILPREMIUM</t>
  </si>
  <si>
    <t>3024012PPFSMSEC</t>
  </si>
  <si>
    <t>Original3024012PPFSMSEC</t>
  </si>
  <si>
    <t>0AUTOPAYMENT3024012</t>
  </si>
  <si>
    <t>0Auto3024012PPFSMSEC</t>
  </si>
  <si>
    <t>I053024208</t>
  </si>
  <si>
    <t>3024208PUPILPREMIUM</t>
  </si>
  <si>
    <t>3024208PPFSMSEC</t>
  </si>
  <si>
    <t>Original3024208PPFSMSEC</t>
  </si>
  <si>
    <t>0AUTOPAYMENT3024208</t>
  </si>
  <si>
    <t>0Auto3024208PPFSMSEC</t>
  </si>
  <si>
    <t>I053024210</t>
  </si>
  <si>
    <t>3024210PUPILPREMIUM</t>
  </si>
  <si>
    <t>3024210PPFSMSEC</t>
  </si>
  <si>
    <t>Original3024210PPFSMSEC</t>
  </si>
  <si>
    <t>0AUTOPAYMENT3024210</t>
  </si>
  <si>
    <t>0Auto3024210PPFSMSEC</t>
  </si>
  <si>
    <t>I053024211</t>
  </si>
  <si>
    <t>3024211PUPILPREMIUM</t>
  </si>
  <si>
    <t>3024211PPFSMSEC</t>
  </si>
  <si>
    <t>Original3024211PPFSMSEC</t>
  </si>
  <si>
    <t>0AUTOPAYMENT3024211</t>
  </si>
  <si>
    <t>0Auto3024211PPFSMSEC</t>
  </si>
  <si>
    <t>I053024212</t>
  </si>
  <si>
    <t>3024212PUPILPREMIUM</t>
  </si>
  <si>
    <t>3024212PPFSMSEC</t>
  </si>
  <si>
    <t>Original3024212PPFSMSEC</t>
  </si>
  <si>
    <t>0AUTOPAYMENT3024212</t>
  </si>
  <si>
    <t>0Auto3024212PPFSMSEC</t>
  </si>
  <si>
    <t>I053024215</t>
  </si>
  <si>
    <t>3024215PUPILPREMIUM</t>
  </si>
  <si>
    <t>3024215PPFSMSEC</t>
  </si>
  <si>
    <t>Original3024215PPFSMSEC</t>
  </si>
  <si>
    <t>0AUTOPAYMENT3024215</t>
  </si>
  <si>
    <t>0Auto3024215PPFSMSEC</t>
  </si>
  <si>
    <t>I053024752</t>
  </si>
  <si>
    <t>3024752PUPILPREMIUM</t>
  </si>
  <si>
    <t>3024752PPFSMSEC</t>
  </si>
  <si>
    <t>Original3024752PPFSMSEC</t>
  </si>
  <si>
    <t>0AUTOPAYMENT3024752</t>
  </si>
  <si>
    <t>0Auto3024752PPFSMSEC</t>
  </si>
  <si>
    <t>I053025200</t>
  </si>
  <si>
    <t>3025200PUPILPREMIUM</t>
  </si>
  <si>
    <t>3025200PPFSMPRI</t>
  </si>
  <si>
    <t>Original3025200PPFSMPRI</t>
  </si>
  <si>
    <t>1AUTOPAYMENT3025200</t>
  </si>
  <si>
    <t>1Auto3025200PPFSMPRI</t>
  </si>
  <si>
    <t>I053025201</t>
  </si>
  <si>
    <t>3025201PUPILPREMIUM</t>
  </si>
  <si>
    <t>3025201PPFSMPRI</t>
  </si>
  <si>
    <t>Original3025201PPFSMPRI</t>
  </si>
  <si>
    <t>1AUTOPAYMENT3025201</t>
  </si>
  <si>
    <t>1Auto3025201PPFSMPRI</t>
  </si>
  <si>
    <t>I053025400</t>
  </si>
  <si>
    <t>3025400PUPILPREMIUM</t>
  </si>
  <si>
    <t>3025400PPFSMSEC</t>
  </si>
  <si>
    <t>Original3025400PPFSMSEC</t>
  </si>
  <si>
    <t>0AUTOPAYMENT3025400</t>
  </si>
  <si>
    <t>0Auto3025400PPFSMSEC</t>
  </si>
  <si>
    <t>I053025401</t>
  </si>
  <si>
    <t>3025401PUPILPREMIUM</t>
  </si>
  <si>
    <t>3025401PPFSMSEC</t>
  </si>
  <si>
    <t>Original3025401PPFSMSEC</t>
  </si>
  <si>
    <t>0AUTOPAYMENT3025401</t>
  </si>
  <si>
    <t>0Auto3025401PPFSMSEC</t>
  </si>
  <si>
    <t>I053025402</t>
  </si>
  <si>
    <t>3025402PUPILPREMIUM</t>
  </si>
  <si>
    <t>3025402PPFSMSEC</t>
  </si>
  <si>
    <t>Original3025402PPFSMSEC</t>
  </si>
  <si>
    <t>0AUTOPAYMENT3025402</t>
  </si>
  <si>
    <t>0Auto3025402PPFSMSEC</t>
  </si>
  <si>
    <t>I053025403</t>
  </si>
  <si>
    <t>3025403PUPILPREMIUM</t>
  </si>
  <si>
    <t>3025403PPFSMSEC</t>
  </si>
  <si>
    <t>Original3025403PPFSMSEC</t>
  </si>
  <si>
    <t>1AUTOPAYMENT3025403</t>
  </si>
  <si>
    <t>1Auto3025403PPFSMSEC</t>
  </si>
  <si>
    <t>I053025404</t>
  </si>
  <si>
    <t>3025404PUPILPREMIUM</t>
  </si>
  <si>
    <t>3025404PPFSMSEC</t>
  </si>
  <si>
    <t>Original3025404PPFSMSEC</t>
  </si>
  <si>
    <t>1AUTOPAYMENT3025404</t>
  </si>
  <si>
    <t>1Auto3025404PPFSMSEC</t>
  </si>
  <si>
    <t>I053025405</t>
  </si>
  <si>
    <t>3025405PUPILPREMIUM</t>
  </si>
  <si>
    <t>3025405PPFSMSEC</t>
  </si>
  <si>
    <t>Original3025405PPFSMSEC</t>
  </si>
  <si>
    <t>1AUTOPAYMENT3025405</t>
  </si>
  <si>
    <t>1Auto3025405PPFSMSEC</t>
  </si>
  <si>
    <t>I053025406</t>
  </si>
  <si>
    <t>3025406PUPILPREMIUM</t>
  </si>
  <si>
    <t>3025406PPFSMSEC</t>
  </si>
  <si>
    <t>Original3025406PPFSMSEC</t>
  </si>
  <si>
    <t>0AUTOPAYMENT3025406</t>
  </si>
  <si>
    <t>0Auto3025406PPFSMSEC</t>
  </si>
  <si>
    <t>I053025407</t>
  </si>
  <si>
    <t>3025407PUPILPREMIUM</t>
  </si>
  <si>
    <t>3025407PPFSMSEC</t>
  </si>
  <si>
    <t>Original3025407PPFSMSEC</t>
  </si>
  <si>
    <t>1AUTOPAYMENT3025407</t>
  </si>
  <si>
    <t>1Auto3025407PPFSMSEC</t>
  </si>
  <si>
    <t>I053025408</t>
  </si>
  <si>
    <t>3025408PUPILPREMIUM</t>
  </si>
  <si>
    <t>3025408PPFSMSEC</t>
  </si>
  <si>
    <t>Original3025408PPFSMSEC</t>
  </si>
  <si>
    <t>1AUTOPAYMENT3025408</t>
  </si>
  <si>
    <t>1Auto3025408PPFSMSEC</t>
  </si>
  <si>
    <t>I053025409</t>
  </si>
  <si>
    <t>3025409PUPILPREMIUM</t>
  </si>
  <si>
    <t>3025409PPFSMSEC</t>
  </si>
  <si>
    <t>Original3025409PPFSMSEC</t>
  </si>
  <si>
    <t>0AUTOPAYMENT3025409</t>
  </si>
  <si>
    <t>0Auto3025409PPFSMSEC</t>
  </si>
  <si>
    <t>I053025427</t>
  </si>
  <si>
    <t>3025427PUPILPREMIUM</t>
  </si>
  <si>
    <t>3025427PPFSMSEC</t>
  </si>
  <si>
    <t>Original3025427PPFSMSEC</t>
  </si>
  <si>
    <t>1AUTOPAYMENT3025427</t>
  </si>
  <si>
    <t>1Auto3025427PPFSMSEC</t>
  </si>
  <si>
    <t>I053025948</t>
  </si>
  <si>
    <t>3025948PUPILPREMIUM</t>
  </si>
  <si>
    <t>3025948PPFSMPRI</t>
  </si>
  <si>
    <t>Original3025948PPFSMPRI</t>
  </si>
  <si>
    <t>1AUTOPAYMENT3025948</t>
  </si>
  <si>
    <t>1Auto3025948PPFSMPRI</t>
  </si>
  <si>
    <t>I053025949</t>
  </si>
  <si>
    <t>3025949PUPILPREMIUM</t>
  </si>
  <si>
    <t>3025949PPFSMPRI</t>
  </si>
  <si>
    <t>Original3025949PPFSMPRI</t>
  </si>
  <si>
    <t>1AUTOPAYMENT3025949</t>
  </si>
  <si>
    <t>1Auto3025949PPFSMPRI</t>
  </si>
  <si>
    <t>I053027000</t>
  </si>
  <si>
    <t>3027000PUPILPREMIUM</t>
  </si>
  <si>
    <t>3027000PPFSMPRI</t>
  </si>
  <si>
    <t>Original3027000PPFSMPRI</t>
  </si>
  <si>
    <t>1AUTOPAYMENT3027000</t>
  </si>
  <si>
    <t>1Auto3027000PPFSMPRI</t>
  </si>
  <si>
    <t>Pupil Premium Special</t>
  </si>
  <si>
    <t>OriginalPUPILPREMIUMSpecial</t>
  </si>
  <si>
    <t>I053027005</t>
  </si>
  <si>
    <t>3027005PUPILPREMIUM</t>
  </si>
  <si>
    <t>3027005PPFSMPRI</t>
  </si>
  <si>
    <t>Original3027005PPFSMPRI</t>
  </si>
  <si>
    <t>1AUTOPAYMENT3027005</t>
  </si>
  <si>
    <t>1Auto3027005PPFSMPRI</t>
  </si>
  <si>
    <t>I053027009</t>
  </si>
  <si>
    <t>3027009PUPILPREMIUM</t>
  </si>
  <si>
    <t>3027009PPFSMPRI</t>
  </si>
  <si>
    <t>Original3027009PPFSMPRI</t>
  </si>
  <si>
    <t>1AUTOPAYMENT3027009</t>
  </si>
  <si>
    <t>1Auto3027009PPFSMPRI</t>
  </si>
  <si>
    <t>I053027010</t>
  </si>
  <si>
    <t>3027010PUPILPREMIUM</t>
  </si>
  <si>
    <t>3027010PPFSMPRI</t>
  </si>
  <si>
    <t>Original3027010PPFSMPRI</t>
  </si>
  <si>
    <t>1AUTOPAYMENT3027010</t>
  </si>
  <si>
    <t>1Auto3027010PPFSMPRI</t>
  </si>
  <si>
    <t>I053022000</t>
  </si>
  <si>
    <t>3022000PUPILPREMIUM</t>
  </si>
  <si>
    <t>3022000PPFSMPRI</t>
  </si>
  <si>
    <t>Original3022000PPFSMPRI</t>
  </si>
  <si>
    <t>1AUTOPAYMENT3022000</t>
  </si>
  <si>
    <t>1Auto3022000PPFSMPRI</t>
  </si>
  <si>
    <t>CB</t>
  </si>
  <si>
    <t>August3022000PPFSMPRI</t>
  </si>
  <si>
    <t>AugustPPFSMPRI</t>
  </si>
  <si>
    <t>AugustPUPILPREMIUMPrimary</t>
  </si>
  <si>
    <t>Parkfield Primary Academy</t>
  </si>
  <si>
    <t>I053022000a</t>
  </si>
  <si>
    <t>3022000aPUPILPREMIUM</t>
  </si>
  <si>
    <t>3022000aPPFSMPRI</t>
  </si>
  <si>
    <t>August3022000aPPFSMPRI</t>
  </si>
  <si>
    <t>0AUTOPAYMENT3022000a</t>
  </si>
  <si>
    <t>0Auto3022000aPPFSMPRI</t>
  </si>
  <si>
    <t>I053022074</t>
  </si>
  <si>
    <t>3022074PUPILPREMIUM</t>
  </si>
  <si>
    <t>3022074PPFSMPRI</t>
  </si>
  <si>
    <t>Original3022074PPFSMPRI</t>
  </si>
  <si>
    <t>1AUTOPAYMENT3022074</t>
  </si>
  <si>
    <t>1Auto3022074PPFSMPRI</t>
  </si>
  <si>
    <t>August3022074PPFSMPRI</t>
  </si>
  <si>
    <t>The Hyde Primary Academy</t>
  </si>
  <si>
    <t>I053022074a</t>
  </si>
  <si>
    <t>3022074aPUPILPREMIUM</t>
  </si>
  <si>
    <t>3022074aPPFSMPRI</t>
  </si>
  <si>
    <t>August3022074aPPFSMPRI</t>
  </si>
  <si>
    <t>0AUTOPAYMENT3022074a</t>
  </si>
  <si>
    <t>0Auto3022074aPPFSMPRI</t>
  </si>
  <si>
    <t>AugustPUPILPREMIUMAcademy</t>
  </si>
  <si>
    <t>I053023519</t>
  </si>
  <si>
    <t>3023519PUPILPREMIUM</t>
  </si>
  <si>
    <t>3023519PPFSMPRI</t>
  </si>
  <si>
    <t>Original3023519PPFSMPRI</t>
  </si>
  <si>
    <t>1AUTOPAYMENT3023519</t>
  </si>
  <si>
    <t>1Auto3023519PPFSMPRI</t>
  </si>
  <si>
    <t>August3023519PPFSMPRI</t>
  </si>
  <si>
    <t>Broadfields Primary Academy</t>
  </si>
  <si>
    <t>I053023519a</t>
  </si>
  <si>
    <t>3023519aPUPILPREMIUM</t>
  </si>
  <si>
    <t>3023519aPPFSMPRI</t>
  </si>
  <si>
    <t>August3023519aPPFSMPRI</t>
  </si>
  <si>
    <t>0AUTOPAYMENT3023519a</t>
  </si>
  <si>
    <t>0Auto3023519aPPFSMPRI</t>
  </si>
  <si>
    <t>2000a</t>
  </si>
  <si>
    <t>2074a</t>
  </si>
  <si>
    <t>3519a</t>
  </si>
  <si>
    <t>October 2013 Census from Alexandra West</t>
  </si>
  <si>
    <t>Count of PupilOnRollTableID</t>
  </si>
  <si>
    <t>NCyearActual</t>
  </si>
  <si>
    <t>NativeID</t>
  </si>
  <si>
    <t>SchoolName</t>
  </si>
  <si>
    <t>N1</t>
  </si>
  <si>
    <t>N2</t>
  </si>
  <si>
    <t>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</si>
  <si>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</si>
  <si>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</si>
  <si>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</si>
  <si>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</si>
  <si>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</si>
  <si>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</si>
  <si>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</si>
  <si>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</si>
  <si>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</si>
  <si>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</si>
  <si>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</si>
  <si>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</si>
  <si>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</si>
  <si>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</si>
  <si>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FTE</t>
  </si>
  <si>
    <t>Hampden Way Nursery</t>
  </si>
  <si>
    <t>Moss Hall Nursery</t>
  </si>
  <si>
    <t>St Margarets Nursery School</t>
  </si>
  <si>
    <t>Etz Chaim Jewish Primary School</t>
  </si>
  <si>
    <t>Rimon Jewish Primary School</t>
  </si>
  <si>
    <t>Brookland Infant  &amp; Nursery School</t>
  </si>
  <si>
    <t>Brunswick Park Primary &amp; Nursery School</t>
  </si>
  <si>
    <t>Child Hill School</t>
  </si>
  <si>
    <t>Church Hill Primary School</t>
  </si>
  <si>
    <t>Coppetts Wood</t>
  </si>
  <si>
    <t>Alma Primary</t>
  </si>
  <si>
    <t>Edgware Infant and Nursery School</t>
  </si>
  <si>
    <t>Fairway Primary School</t>
  </si>
  <si>
    <t>Foulds</t>
  </si>
  <si>
    <t>Garden Suburb Junior</t>
  </si>
  <si>
    <t>Grasvenor Avenue Infants</t>
  </si>
  <si>
    <t>Hollickwood JMI School</t>
  </si>
  <si>
    <t>MORASHA JEWISH PRIMARY SCHOOL</t>
  </si>
  <si>
    <t>Woodridge  Primary School</t>
  </si>
  <si>
    <t>Underhill Infant School and Children's Centre</t>
  </si>
  <si>
    <t>WHITINGS HILL PRIMARY SCHOOL</t>
  </si>
  <si>
    <t>Queenswell Infant and Nursery School</t>
  </si>
  <si>
    <t>Danegrove JMI School</t>
  </si>
  <si>
    <t>Wessex  Gardens Primary School</t>
  </si>
  <si>
    <t>All Saints Primary School</t>
  </si>
  <si>
    <t>Christ Church CE Primary School</t>
  </si>
  <si>
    <t>Holy Trinity School</t>
  </si>
  <si>
    <t>Monken Hadley C E Primary School</t>
  </si>
  <si>
    <t>St John's CE School N11</t>
  </si>
  <si>
    <t>St Johns N20</t>
  </si>
  <si>
    <t>St Mary's C E Primary School N3 1BT</t>
  </si>
  <si>
    <t>St Mary's School EN4</t>
  </si>
  <si>
    <t>St Paul's School, N11</t>
  </si>
  <si>
    <t>St Pauls CE Primary School</t>
  </si>
  <si>
    <t>St Andrew's C E</t>
  </si>
  <si>
    <t>Trent  C of E Primary School</t>
  </si>
  <si>
    <t>All Saints' CE Primary School, N20 9EZ</t>
  </si>
  <si>
    <t>The Annunciation Catholic Infant School</t>
  </si>
  <si>
    <t>Our Lady of Lourdes School</t>
  </si>
  <si>
    <t>St Agnes RC Primary School</t>
  </si>
  <si>
    <t>St Catherines R C Primary</t>
  </si>
  <si>
    <t>St Vincent's Catholic Primary School</t>
  </si>
  <si>
    <t>ST. THERESA'S R.C. PRIMARY SCHOOL</t>
  </si>
  <si>
    <t>St Joseph's Infant School</t>
  </si>
  <si>
    <t>St Joseph's Junior School</t>
  </si>
  <si>
    <t>Sacred Heart School</t>
  </si>
  <si>
    <t>Blessed Dominic School</t>
  </si>
  <si>
    <t>Rosh Pinah</t>
  </si>
  <si>
    <t>Annunciation Junior School</t>
  </si>
  <si>
    <t>Independent Jewish Day School</t>
  </si>
  <si>
    <t>St Mary's &amp; St John's CE Primary</t>
  </si>
  <si>
    <t>Beit Shvidler Primary School</t>
  </si>
  <si>
    <t>St Andrew the Apostle Greek Orthodox School</t>
  </si>
  <si>
    <t>The Archer Academy</t>
  </si>
  <si>
    <t>COPTHALL SCHOOL</t>
  </si>
  <si>
    <t>East Barnet School</t>
  </si>
  <si>
    <t>The Compton School</t>
  </si>
  <si>
    <t>Queen Elizabeth's School</t>
  </si>
  <si>
    <t>Mill Hill High School</t>
  </si>
  <si>
    <t>St. Mary's CE High School</t>
  </si>
  <si>
    <t>St Michaels Catholic Grammar School</t>
  </si>
  <si>
    <t>St. James' Catholic High School</t>
  </si>
  <si>
    <t>Bishop Douglass School</t>
  </si>
  <si>
    <t>Jewish Community Secondary School</t>
  </si>
  <si>
    <t>Mathilda Marks-Kennedy School</t>
  </si>
  <si>
    <t>Oak Lodge Special School</t>
  </si>
  <si>
    <t>LAESTAB</t>
  </si>
  <si>
    <t>No details available</t>
  </si>
  <si>
    <t>BARNET SCHOOL FUNDING - APR 2014 - MAR 2015 - Final Adjustments - February 2015</t>
  </si>
  <si>
    <t>UPDATED ALLOCATIONS RELEASED:</t>
  </si>
  <si>
    <t>InYearChanges</t>
  </si>
  <si>
    <t>PRINTED:</t>
  </si>
  <si>
    <t>Use this report to compare the amount schools receive for different types of funding.  Choose one or more funding types from the drop down box beside the arrow.</t>
  </si>
  <si>
    <t>Type of funding</t>
  </si>
  <si>
    <t>(All)</t>
  </si>
  <si>
    <t>Total Funding</t>
  </si>
  <si>
    <t>ORIGINAL</t>
  </si>
  <si>
    <t>JUN</t>
  </si>
  <si>
    <t>JUL</t>
  </si>
  <si>
    <t>SEP</t>
  </si>
  <si>
    <t>DEC</t>
  </si>
  <si>
    <t>Adj</t>
  </si>
  <si>
    <t>Brookhill Nursery</t>
  </si>
  <si>
    <t>St Margaret's Nursery</t>
  </si>
  <si>
    <t>Nursery Total</t>
  </si>
  <si>
    <t>Beit Shvidler Jewish Primary</t>
  </si>
  <si>
    <t>Claremont</t>
  </si>
  <si>
    <t>Millbrook Park Primary School</t>
  </si>
  <si>
    <t>Noam Jewish Primary School</t>
  </si>
  <si>
    <t>St. Mary's &amp; St. Johns Primary</t>
  </si>
  <si>
    <t>Woodcroft Primary</t>
  </si>
  <si>
    <t>Primary Total</t>
  </si>
  <si>
    <t>Secondary Total</t>
  </si>
  <si>
    <t>Special Total</t>
  </si>
  <si>
    <t>The Pavillion</t>
  </si>
  <si>
    <t>PRU Total</t>
  </si>
  <si>
    <t>PVI</t>
  </si>
  <si>
    <t>Private Early Years Providers</t>
  </si>
  <si>
    <t>PVI Total</t>
  </si>
  <si>
    <t>Capital Expenditure</t>
  </si>
  <si>
    <t>De Minimis</t>
  </si>
  <si>
    <t>Pavilion</t>
  </si>
  <si>
    <t>DfE No</t>
  </si>
  <si>
    <t>St. Joseph's RC Primary</t>
  </si>
  <si>
    <t>Edgware Primary School</t>
  </si>
  <si>
    <t>Sum of CountOfPupilOnRollTableID</t>
  </si>
  <si>
    <t>14/15 Funded Pupils</t>
  </si>
  <si>
    <t>Millbrook Park CE School</t>
  </si>
  <si>
    <t>Underhill School and Children's Centre</t>
  </si>
  <si>
    <t>St Joseph's Catholic Primary School</t>
  </si>
  <si>
    <t>St Mary's and St John's School</t>
  </si>
  <si>
    <t>LAEstab</t>
  </si>
  <si>
    <t>Fairway Childrens Centre</t>
  </si>
  <si>
    <t>Wingfield Children's Centre</t>
  </si>
  <si>
    <t>Underhill Childrens Centre</t>
  </si>
  <si>
    <t>Newstead Childrens Centre</t>
  </si>
  <si>
    <t>The Hyde CC</t>
  </si>
  <si>
    <t>Watling Park</t>
  </si>
  <si>
    <t>LAESTAB2</t>
  </si>
  <si>
    <t>Parkfield Childrens Centre</t>
  </si>
  <si>
    <t xml:space="preserve">Pupil Premium Free School Meals </t>
  </si>
  <si>
    <t>Sacks Morasha Jewish Primary School</t>
  </si>
  <si>
    <t>Pupil Premium 2014/15</t>
  </si>
  <si>
    <t>School Type</t>
  </si>
  <si>
    <t>Parliamentary Constituency</t>
  </si>
  <si>
    <t>Number of pupils on roll (7)</t>
  </si>
  <si>
    <t>Number of Primary pupils on roll (9)</t>
  </si>
  <si>
    <t>Number of Primary pupils eligible for the Deprivation Pupil Premium</t>
  </si>
  <si>
    <t>Percentage of Primary pupils eligible for the Deprivation Pupil Premium</t>
  </si>
  <si>
    <t>Deprivation Pupil Premium Allocation (11)</t>
  </si>
  <si>
    <t>Additional Deprivation PupilPremium Allocations (12)</t>
  </si>
  <si>
    <t>Number of  Secondary pupils on roll (10)</t>
  </si>
  <si>
    <t>Number of Secondary pupils eligible for the Deprivation Pupil Premium</t>
  </si>
  <si>
    <t>Percentage of Secondary pupils eligible for the Deprivation Pupil Premium</t>
  </si>
  <si>
    <t>Deprivation Pupil Premium Allocation (13)</t>
  </si>
  <si>
    <t>Total number of pupils eligible for the Deprivation Pupil Premium</t>
  </si>
  <si>
    <t>Total allocation for the Deprivation Pupil Premium</t>
  </si>
  <si>
    <t>Chipping Barnet</t>
  </si>
  <si>
    <t>#</t>
  </si>
  <si>
    <t>Hendon</t>
  </si>
  <si>
    <t>Discovery Bay PRU With Hospital, Home and Outreach Teaching Team</t>
  </si>
  <si>
    <t>Mainstream Academy</t>
  </si>
  <si>
    <t>x</t>
  </si>
  <si>
    <t>Maintained Primary</t>
  </si>
  <si>
    <t>Finchley and Golders Green</t>
  </si>
  <si>
    <t>Fairway Primary School and Children's Centre</t>
  </si>
  <si>
    <t>Livingstone Primary and Nursery School</t>
  </si>
  <si>
    <t>Queenswell Infant &amp; Nursery School</t>
  </si>
  <si>
    <t>Brent North</t>
  </si>
  <si>
    <t>All Saints' CofE Primary School NW2</t>
  </si>
  <si>
    <t>St John's CofE Junior Mixed and Infant School</t>
  </si>
  <si>
    <t>St John's CofE Primary School</t>
  </si>
  <si>
    <t>St Mary's CofE Primary School</t>
  </si>
  <si>
    <t>St Andrew's CofE Voluntary Aided Primary School, Totteridge</t>
  </si>
  <si>
    <t>St Theresa's Catholic Primary School</t>
  </si>
  <si>
    <t>Maintained Secondary</t>
  </si>
  <si>
    <t>Enfield, Southgate</t>
  </si>
  <si>
    <t>Maintained Special</t>
  </si>
  <si>
    <t>Oakleigh School &amp; Acorn Assessment Centre</t>
  </si>
  <si>
    <t>URN</t>
  </si>
  <si>
    <t>LA</t>
  </si>
  <si>
    <t>Local Authority</t>
  </si>
  <si>
    <t>Estab</t>
  </si>
  <si>
    <t>Barnet</t>
  </si>
  <si>
    <t>Local Benchmarking Data for Barnet Schools - As per Income and Expenditure in 2015-16</t>
  </si>
  <si>
    <t>Rev Balance b/fwd from 2014-15</t>
  </si>
  <si>
    <t>Rev Balance C/fwd to 2016-17</t>
  </si>
  <si>
    <t>2015-16 CFR Data Return to DfE</t>
  </si>
  <si>
    <t>Final Budget Share 2015-16</t>
  </si>
  <si>
    <t>2014 DATA</t>
  </si>
  <si>
    <t>Pupil Premium Free School Meals  Data 2015/16</t>
  </si>
  <si>
    <t>OCTOBER 2015 CENSUS</t>
  </si>
  <si>
    <t>'Z:\School Funding\Cycle 8 - 2016-17 RESTORED\DSG and Schools Budget 2016-17\Version 3 workings\[Copy of 20151022-Maintained-pupil-nos-by-ncyear 3rd cut.xlsx]Pivot</t>
  </si>
  <si>
    <t>Count of upn</t>
  </si>
  <si>
    <t>ncyearactual</t>
  </si>
  <si>
    <t>NativeId</t>
  </si>
  <si>
    <t>schoolname</t>
  </si>
  <si>
    <t>Post16</t>
  </si>
  <si>
    <t>DSG</t>
  </si>
  <si>
    <t>Child's Hill School</t>
  </si>
  <si>
    <t>Millbrook Park CE Primary School</t>
  </si>
  <si>
    <t>Watling Park Free School</t>
  </si>
  <si>
    <t>Underhill School</t>
  </si>
  <si>
    <t>Orion Primary School</t>
  </si>
  <si>
    <t>All Saints' CE Primary School NW2</t>
  </si>
  <si>
    <t>St Johns CE N20</t>
  </si>
  <si>
    <t>St Mary's C E Primary School N3</t>
  </si>
  <si>
    <t>All Saints' CE Primary School, N20</t>
  </si>
  <si>
    <t>Annunciation Catholic Infant School</t>
  </si>
  <si>
    <t>St Theresa's R.C. Primary School</t>
  </si>
  <si>
    <t>St Joseph's Primary School</t>
  </si>
  <si>
    <t>Annunciation Catholic Junior School</t>
  </si>
  <si>
    <t>St Mary's &amp; St John's CE School</t>
  </si>
  <si>
    <t>Compton School</t>
  </si>
  <si>
    <t>Henrietta Barnett School</t>
  </si>
  <si>
    <t>Queen Elizabeth's School (Boys)</t>
  </si>
  <si>
    <t>=No information received</t>
  </si>
  <si>
    <t>ARK</t>
  </si>
  <si>
    <t>secfree1</t>
  </si>
  <si>
    <t>secfree2</t>
  </si>
  <si>
    <t>Peel</t>
  </si>
  <si>
    <t>Pupil Numbers as at Oct 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</si>
</sst>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* #,##0_-;\-* #,##0_-;_-* &quot;-&quot;??_-;_-@_-"/>
    <numFmt numFmtId="166" formatCode="&quot;£&quot;#,##0"/>
    <numFmt numFmtId="167" formatCode="0.0%"/>
    <numFmt numFmtId="169" formatCode="_(&quot;$&quot;* #,##0.00_);_(&quot;$&quot;* \(#,##0.00\);_(&quot;$&quot;* &quot;-&quot;??_);_(@_)"/>
    <numFmt numFmtId="176" formatCode="_(* #,##0.00_);_(* \(#,##0.00\);_(* &quot;-&quot;??_);_(@_)"/>
    <numFmt numFmtId="180" formatCode="_-* #,##0.00000_-;\-* #,##0.00000_-;_-* &quot;-&quot;??_-;_-@_-"/>
    <numFmt numFmtId="181" formatCode="0.000"/>
    <numFmt numFmtId="182" formatCode="#,##0.000_ ;[Red]\-#,##0.000\ "/>
    <numFmt numFmtId="183" formatCode="0.0000"/>
    <numFmt numFmtId="184" formatCode="#,##0.00_ ;[Red]\-#,##0.00\ "/>
    <numFmt numFmtId="185" formatCode="#,##0.0_);\(#,##0.0\)"/>
    <numFmt numFmtId="186" formatCode="_(* #,##0.0000_);_(* \(#,##0.0000\);_(* &quot;-&quot;??_);_(@_)"/>
    <numFmt numFmtId="187" formatCode="#."/>
    <numFmt numFmtId="188" formatCode="0.0%;\(0.0%\)"/>
    <numFmt numFmtId="189" formatCode="_-* #,##0\ _F_-;\-* #,##0\ _F_-;_-* &quot;-&quot;\ _F_-;_-@_-"/>
    <numFmt numFmtId="190" formatCode="_-* #,##0.00\ _F_-;\-* #,##0.00\ _F_-;_-* &quot;-&quot;??\ _F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0.00_)"/>
    <numFmt numFmtId="194" formatCode="_ * #,##0.00_ ;_ * \-#,##0.00_ ;_ * &quot;-&quot;??_ ;_ @_ "/>
    <numFmt numFmtId="195" formatCode="_ * #,##0_ ;_ * \-#,##0_ ;_ * &quot;-&quot;_ ;_ @_ "/>
    <numFmt numFmtId="196" formatCode="_(&quot;Rp&quot;* #,##0.00_);_(&quot;Rp&quot;* \(#,##0.00\);_(&quot;Rp&quot;* &quot;-&quot;??_);_(@_)"/>
    <numFmt numFmtId="197" formatCode="dd\-mmm\-yyyy"/>
    <numFmt numFmtId="198" formatCode="0.000000000"/>
    <numFmt numFmtId="199" formatCode="_(* #,##0.00000_);_(* \(#,##0.00000\);_(* &quot;-&quot;??_);_(@_)"/>
    <numFmt numFmtId="200" formatCode="[$-F800]dddd\,\ mmmm\ dd\,\ yyyy"/>
    <numFmt numFmtId="201" formatCode="dd\ mmm\ yy\ hh:mm"/>
    <numFmt numFmtId="204" formatCode="_-[$€-2]* #,##0.00_-;\-[$€-2]* #,##0.00_-;_-[$€-2]* &quot;-&quot;??_-"/>
    <numFmt numFmtId="206" formatCode="#,##0;[Red]\(#,##0\)"/>
  </numFmts>
  <fonts count="119">
    <font>
      <sz val="10"/>
      <name val="Arial"/>
    </font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4.5"/>
      <color indexed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b/>
      <u/>
      <sz val="12"/>
      <name val="Arial"/>
      <family val="2"/>
    </font>
    <font>
      <b/>
      <sz val="12"/>
      <color indexed="54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b/>
      <sz val="12"/>
      <color indexed="5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color indexed="14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indexed="14"/>
      <name val="Arial"/>
      <family val="2"/>
    </font>
    <font>
      <sz val="12"/>
      <color indexed="14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8"/>
      <name val="System"/>
      <family val="2"/>
    </font>
    <font>
      <sz val="9"/>
      <color indexed="12"/>
      <name val="Arial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4.5"/>
      <color indexed="12"/>
      <name val="Arial"/>
      <family val="2"/>
    </font>
    <font>
      <sz val="10"/>
      <color indexed="9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21"/>
      <name val="Arial"/>
      <family val="2"/>
    </font>
    <font>
      <b/>
      <u/>
      <sz val="11"/>
      <name val="Arial"/>
      <family val="2"/>
    </font>
    <font>
      <b/>
      <sz val="12"/>
      <color indexed="9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name val="Times New Roman"/>
      <family val="1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b/>
      <sz val="14"/>
      <color indexed="10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0"/>
      <color indexed="8"/>
      <name val="Arial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sz val="10"/>
      <color indexed="8"/>
      <name val="Times New Roman"/>
      <family val="1"/>
    </font>
    <font>
      <b/>
      <sz val="7"/>
      <name val="Geometr706 Md BT"/>
    </font>
    <font>
      <sz val="10"/>
      <name val="Helv"/>
    </font>
    <font>
      <sz val="1"/>
      <color indexed="16"/>
      <name val="Courier"/>
      <family val="3"/>
    </font>
    <font>
      <b/>
      <sz val="12"/>
      <name val="Helv"/>
    </font>
    <font>
      <sz val="11"/>
      <color indexed="62"/>
      <name val="Calibri"/>
      <family val="2"/>
    </font>
    <font>
      <b/>
      <i/>
      <sz val="16"/>
      <name val="Helv"/>
    </font>
    <font>
      <sz val="8"/>
      <color indexed="72"/>
      <name val="MS Sans Serif"/>
      <family val="2"/>
    </font>
    <font>
      <sz val="12"/>
      <color indexed="21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Verdana"/>
      <family val="2"/>
    </font>
    <font>
      <sz val="12"/>
      <name val="Arial"/>
    </font>
    <font>
      <sz val="10"/>
      <name val="Helv"/>
      <charset val="204"/>
    </font>
    <font>
      <sz val="12"/>
      <name val="Helv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b/>
      <sz val="12"/>
      <color theme="0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4" tint="-0.249977111117893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8"/>
      <color theme="0"/>
      <name val="Arial"/>
      <family val="2"/>
    </font>
    <font>
      <b/>
      <sz val="2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1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22"/>
      </bottom>
      <diagonal/>
    </border>
    <border>
      <left style="thin">
        <color indexed="9"/>
      </left>
      <right/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</borders>
  <cellStyleXfs count="1064">
    <xf numFmtId="0" fontId="0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3" fillId="0" borderId="0"/>
    <xf numFmtId="0" fontId="91" fillId="0" borderId="0">
      <alignment horizontal="left" vertical="center"/>
    </xf>
    <xf numFmtId="0" fontId="91" fillId="0" borderId="0">
      <alignment horizontal="left" vertical="center"/>
    </xf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2" borderId="0" applyNumberFormat="0" applyBorder="0" applyAlignment="0" applyProtection="0"/>
    <xf numFmtId="0" fontId="12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12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12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12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12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8" borderId="0" applyNumberFormat="0" applyBorder="0" applyAlignment="0" applyProtection="0"/>
    <xf numFmtId="0" fontId="12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12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12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12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7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7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7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7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7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7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7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7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7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7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7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7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" fillId="0" borderId="0" applyNumberFormat="0" applyAlignment="0"/>
    <xf numFmtId="0" fontId="54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7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85" fillId="0" borderId="0" applyFill="0" applyBorder="0" applyAlignment="0"/>
    <xf numFmtId="185" fontId="92" fillId="0" borderId="0" applyFill="0" applyBorder="0" applyAlignment="0"/>
    <xf numFmtId="186" fontId="92" fillId="0" borderId="0" applyFill="0" applyBorder="0" applyAlignment="0"/>
    <xf numFmtId="187" fontId="2" fillId="0" borderId="0" applyFill="0" applyBorder="0" applyAlignment="0"/>
    <xf numFmtId="186" fontId="2" fillId="0" borderId="0" applyFill="0" applyBorder="0" applyAlignment="0"/>
    <xf numFmtId="169" fontId="92" fillId="0" borderId="0" applyFill="0" applyBorder="0" applyAlignment="0"/>
    <xf numFmtId="188" fontId="92" fillId="0" borderId="0" applyFill="0" applyBorder="0" applyAlignment="0"/>
    <xf numFmtId="185" fontId="92" fillId="0" borderId="0" applyFill="0" applyBorder="0" applyAlignment="0"/>
    <xf numFmtId="0" fontId="32" fillId="20" borderId="1" applyNumberFormat="0" applyAlignment="0" applyProtection="0"/>
    <xf numFmtId="0" fontId="32" fillId="20" borderId="1" applyNumberFormat="0" applyAlignment="0" applyProtection="0"/>
    <xf numFmtId="0" fontId="7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72" fillId="20" borderId="1" applyNumberFormat="0" applyAlignment="0" applyProtection="0"/>
    <xf numFmtId="0" fontId="7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72" fillId="20" borderId="1" applyNumberFormat="0" applyAlignment="0" applyProtection="0"/>
    <xf numFmtId="0" fontId="72" fillId="20" borderId="1" applyNumberFormat="0" applyAlignment="0" applyProtection="0"/>
    <xf numFmtId="0" fontId="32" fillId="20" borderId="1" applyNumberFormat="0" applyAlignment="0" applyProtection="0"/>
    <xf numFmtId="0" fontId="72" fillId="20" borderId="1" applyNumberFormat="0" applyAlignment="0" applyProtection="0"/>
    <xf numFmtId="0" fontId="7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45" fillId="0" borderId="2" applyNumberFormat="0" applyFill="0" applyAlignment="0" applyProtection="0"/>
    <xf numFmtId="0" fontId="16" fillId="0" borderId="0" applyNumberFormat="0" applyFont="0" applyFill="0" applyBorder="0" applyProtection="0">
      <alignment horizontal="centerContinuous" wrapText="1"/>
    </xf>
    <xf numFmtId="0" fontId="33" fillId="21" borderId="3" applyNumberFormat="0" applyAlignment="0" applyProtection="0"/>
    <xf numFmtId="0" fontId="66" fillId="21" borderId="3" applyNumberFormat="0" applyAlignment="0" applyProtection="0"/>
    <xf numFmtId="0" fontId="33" fillId="21" borderId="3" applyNumberFormat="0" applyAlignment="0" applyProtection="0"/>
    <xf numFmtId="0" fontId="33" fillId="21" borderId="3" applyNumberFormat="0" applyAlignment="0" applyProtection="0"/>
    <xf numFmtId="0" fontId="33" fillId="21" borderId="3" applyNumberFormat="0" applyAlignment="0" applyProtection="0"/>
    <xf numFmtId="0" fontId="33" fillId="21" borderId="3" applyNumberFormat="0" applyAlignment="0" applyProtection="0"/>
    <xf numFmtId="43" fontId="2" fillId="0" borderId="0" applyFont="0" applyFill="0" applyBorder="0" applyAlignment="0" applyProtection="0"/>
    <xf numFmtId="169" fontId="9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6" fontId="8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7" fontId="93" fillId="0" borderId="0">
      <protection locked="0"/>
    </xf>
    <xf numFmtId="0" fontId="2" fillId="22" borderId="4" applyNumberFormat="0" applyFont="0" applyAlignment="0" applyProtection="0"/>
    <xf numFmtId="185" fontId="9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7" fontId="93" fillId="0" borderId="0">
      <protection locked="0"/>
    </xf>
    <xf numFmtId="0" fontId="94" fillId="0" borderId="5" applyNumberFormat="0" applyBorder="0">
      <alignment horizontal="centerContinuous"/>
    </xf>
    <xf numFmtId="187" fontId="93" fillId="0" borderId="0">
      <protection locked="0"/>
    </xf>
    <xf numFmtId="14" fontId="85" fillId="0" borderId="0" applyFill="0" applyBorder="0" applyAlignment="0"/>
    <xf numFmtId="0" fontId="73" fillId="0" borderId="0">
      <alignment horizontal="left"/>
    </xf>
    <xf numFmtId="0" fontId="74" fillId="23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169" fontId="92" fillId="0" borderId="0" applyFill="0" applyBorder="0" applyAlignment="0"/>
    <xf numFmtId="185" fontId="92" fillId="0" borderId="0" applyFill="0" applyBorder="0" applyAlignment="0"/>
    <xf numFmtId="169" fontId="92" fillId="0" borderId="0" applyFill="0" applyBorder="0" applyAlignment="0"/>
    <xf numFmtId="188" fontId="92" fillId="0" borderId="0" applyFill="0" applyBorder="0" applyAlignment="0"/>
    <xf numFmtId="185" fontId="92" fillId="0" borderId="0" applyFill="0" applyBorder="0" applyAlignment="0"/>
    <xf numFmtId="0" fontId="95" fillId="7" borderId="1" applyNumberFormat="0" applyAlignment="0" applyProtection="0"/>
    <xf numFmtId="0" fontId="34" fillId="0" borderId="0" applyNumberFormat="0" applyFill="0" applyBorder="0" applyAlignment="0" applyProtection="0">
      <protection locked="0"/>
    </xf>
    <xf numFmtId="204" fontId="2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" fontId="36" fillId="0" borderId="0" applyNumberFormat="0" applyFill="0" applyBorder="0" applyAlignment="0" applyProtection="0"/>
    <xf numFmtId="0" fontId="76" fillId="0" borderId="0">
      <alignment horizontal="center" vertical="center" wrapText="1"/>
    </xf>
    <xf numFmtId="187" fontId="93" fillId="0" borderId="0">
      <protection locked="0"/>
    </xf>
    <xf numFmtId="0" fontId="77" fillId="0" borderId="6">
      <alignment vertical="center" wrapText="1"/>
    </xf>
    <xf numFmtId="0" fontId="77" fillId="0" borderId="6">
      <alignment vertical="center" wrapText="1"/>
    </xf>
    <xf numFmtId="0" fontId="77" fillId="0" borderId="6">
      <alignment vertical="center" wrapText="1"/>
    </xf>
    <xf numFmtId="0" fontId="77" fillId="0" borderId="6">
      <alignment vertical="center" wrapText="1"/>
    </xf>
    <xf numFmtId="0" fontId="77" fillId="0" borderId="6">
      <alignment vertical="center" wrapText="1"/>
    </xf>
    <xf numFmtId="0" fontId="37" fillId="4" borderId="0" applyNumberFormat="0" applyBorder="0" applyAlignment="0" applyProtection="0"/>
    <xf numFmtId="0" fontId="78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38" fontId="3" fillId="25" borderId="0" applyNumberFormat="0" applyBorder="0" applyAlignment="0" applyProtection="0"/>
    <xf numFmtId="0" fontId="38" fillId="0" borderId="0">
      <alignment horizontal="center" vertical="center" wrapText="1"/>
    </xf>
    <xf numFmtId="0" fontId="6" fillId="0" borderId="7" applyNumberFormat="0" applyAlignment="0" applyProtection="0">
      <alignment horizontal="left" vertical="center"/>
    </xf>
    <xf numFmtId="0" fontId="6" fillId="0" borderId="8">
      <alignment horizontal="left" vertical="center"/>
    </xf>
    <xf numFmtId="0" fontId="39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" fillId="0" borderId="8">
      <alignment horizontal="center" vertical="center" wrapText="1"/>
    </xf>
    <xf numFmtId="0" fontId="38" fillId="0" borderId="0">
      <alignment horizontal="left" wrapText="1"/>
    </xf>
    <xf numFmtId="0" fontId="40" fillId="0" borderId="9" applyNumberFormat="0" applyFill="0" applyAlignment="0" applyProtection="0"/>
    <xf numFmtId="0" fontId="79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1" fillId="0" borderId="10" applyNumberFormat="0" applyFill="0" applyAlignment="0" applyProtection="0"/>
    <xf numFmtId="0" fontId="80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11" applyNumberFormat="0" applyFill="0" applyAlignment="0" applyProtection="0"/>
    <xf numFmtId="0" fontId="81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1" fontId="43" fillId="0" borderId="0" applyNumberFormat="0" applyFill="0" applyBorder="0" applyAlignment="0" applyProtection="0"/>
    <xf numFmtId="1" fontId="44" fillId="26" borderId="0" applyNumberFormat="0" applyFill="0" applyBorder="0" applyAlignment="0" applyProtection="0"/>
    <xf numFmtId="10" fontId="3" fillId="27" borderId="6" applyNumberFormat="0" applyBorder="0" applyAlignment="0" applyProtection="0"/>
    <xf numFmtId="0" fontId="82" fillId="7" borderId="1" applyNumberFormat="0" applyAlignment="0" applyProtection="0"/>
    <xf numFmtId="1" fontId="44" fillId="26" borderId="0" applyNumberFormat="0" applyFill="0" applyBorder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82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95" fillId="7" borderId="1" applyNumberFormat="0" applyAlignment="0" applyProtection="0"/>
    <xf numFmtId="0" fontId="31" fillId="3" borderId="0" applyNumberFormat="0" applyBorder="0" applyAlignment="0" applyProtection="0"/>
    <xf numFmtId="0" fontId="39" fillId="0" borderId="0">
      <alignment horizontal="left" vertical="center"/>
    </xf>
    <xf numFmtId="0" fontId="3" fillId="0" borderId="0">
      <alignment horizontal="left" vertical="center"/>
    </xf>
    <xf numFmtId="0" fontId="3" fillId="0" borderId="0">
      <alignment horizontal="left" vertical="center"/>
    </xf>
    <xf numFmtId="0" fontId="39" fillId="0" borderId="0">
      <alignment horizontal="center" vertical="center"/>
    </xf>
    <xf numFmtId="0" fontId="3" fillId="0" borderId="0">
      <alignment horizontal="center" vertical="center"/>
    </xf>
    <xf numFmtId="0" fontId="3" fillId="0" borderId="0">
      <alignment horizontal="center" vertical="center"/>
    </xf>
    <xf numFmtId="169" fontId="92" fillId="0" borderId="0" applyFill="0" applyBorder="0" applyAlignment="0"/>
    <xf numFmtId="185" fontId="92" fillId="0" borderId="0" applyFill="0" applyBorder="0" applyAlignment="0"/>
    <xf numFmtId="169" fontId="92" fillId="0" borderId="0" applyFill="0" applyBorder="0" applyAlignment="0"/>
    <xf numFmtId="188" fontId="92" fillId="0" borderId="0" applyFill="0" applyBorder="0" applyAlignment="0"/>
    <xf numFmtId="185" fontId="92" fillId="0" borderId="0" applyFill="0" applyBorder="0" applyAlignment="0"/>
    <xf numFmtId="0" fontId="45" fillId="0" borderId="2" applyNumberFormat="0" applyFill="0" applyAlignment="0" applyProtection="0"/>
    <xf numFmtId="0" fontId="83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0" fontId="46" fillId="0" borderId="12" applyFill="0" applyAlignment="0" applyProtection="0">
      <protection locked="0"/>
    </xf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47" fillId="28" borderId="0" applyNumberFormat="0" applyBorder="0" applyAlignment="0" applyProtection="0"/>
    <xf numFmtId="0" fontId="84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2" fontId="73" fillId="29" borderId="0"/>
    <xf numFmtId="193" fontId="9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2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" fillId="0" borderId="0"/>
    <xf numFmtId="0" fontId="10" fillId="0" borderId="0"/>
    <xf numFmtId="0" fontId="12" fillId="0" borderId="0"/>
    <xf numFmtId="0" fontId="2" fillId="0" borderId="0"/>
    <xf numFmtId="0" fontId="2" fillId="0" borderId="0"/>
    <xf numFmtId="0" fontId="10" fillId="0" borderId="0"/>
    <xf numFmtId="0" fontId="12" fillId="0" borderId="0"/>
    <xf numFmtId="0" fontId="108" fillId="0" borderId="0"/>
    <xf numFmtId="0" fontId="2" fillId="0" borderId="0"/>
    <xf numFmtId="0" fontId="2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108" fillId="0" borderId="0"/>
    <xf numFmtId="0" fontId="97" fillId="0" borderId="0" applyAlignment="0">
      <alignment vertical="top" wrapText="1"/>
      <protection locked="0"/>
    </xf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" fillId="0" borderId="0"/>
    <xf numFmtId="0" fontId="108" fillId="0" borderId="0"/>
    <xf numFmtId="0" fontId="1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1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0" fillId="0" borderId="0"/>
    <xf numFmtId="0" fontId="10" fillId="0" borderId="0"/>
    <xf numFmtId="0" fontId="108" fillId="0" borderId="0"/>
    <xf numFmtId="0" fontId="29" fillId="0" borderId="0"/>
    <xf numFmtId="0" fontId="105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05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>
      <alignment vertical="top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9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73" fillId="0" borderId="0">
      <alignment horizontal="right"/>
    </xf>
    <xf numFmtId="0" fontId="73" fillId="0" borderId="0">
      <alignment horizontal="left"/>
    </xf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10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3" fontId="39" fillId="0" borderId="0">
      <alignment horizontal="right"/>
    </xf>
    <xf numFmtId="3" fontId="3" fillId="0" borderId="0">
      <alignment horizontal="right"/>
    </xf>
    <xf numFmtId="3" fontId="3" fillId="0" borderId="0">
      <alignment horizontal="right"/>
    </xf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48" fillId="20" borderId="13" applyNumberFormat="0" applyAlignment="0" applyProtection="0"/>
    <xf numFmtId="0" fontId="86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86" fillId="20" borderId="13" applyNumberFormat="0" applyAlignment="0" applyProtection="0"/>
    <xf numFmtId="0" fontId="86" fillId="20" borderId="13" applyNumberFormat="0" applyAlignment="0" applyProtection="0"/>
    <xf numFmtId="0" fontId="48" fillId="20" borderId="13" applyNumberFormat="0" applyAlignment="0" applyProtection="0"/>
    <xf numFmtId="0" fontId="86" fillId="20" borderId="13" applyNumberFormat="0" applyAlignment="0" applyProtection="0"/>
    <xf numFmtId="0" fontId="86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48" fillId="20" borderId="13" applyNumberFormat="0" applyAlignment="0" applyProtection="0"/>
    <xf numFmtId="0" fontId="98" fillId="0" borderId="0" applyFill="0">
      <alignment vertical="center"/>
    </xf>
    <xf numFmtId="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8" fillId="0" borderId="0" applyFont="0" applyFill="0" applyBorder="0" applyAlignment="0" applyProtection="0"/>
    <xf numFmtId="169" fontId="92" fillId="0" borderId="0" applyFill="0" applyBorder="0" applyAlignment="0"/>
    <xf numFmtId="185" fontId="92" fillId="0" borderId="0" applyFill="0" applyBorder="0" applyAlignment="0"/>
    <xf numFmtId="169" fontId="92" fillId="0" borderId="0" applyFill="0" applyBorder="0" applyAlignment="0"/>
    <xf numFmtId="188" fontId="92" fillId="0" borderId="0" applyFill="0" applyBorder="0" applyAlignment="0"/>
    <xf numFmtId="185" fontId="92" fillId="0" borderId="0" applyFill="0" applyBorder="0" applyAlignment="0"/>
    <xf numFmtId="1" fontId="49" fillId="0" borderId="14" applyNumberFormat="0" applyFill="0" applyBorder="0" applyAlignment="0" applyProtection="0"/>
    <xf numFmtId="0" fontId="99" fillId="0" borderId="0" applyNumberFormat="0" applyFont="0" applyFill="0" applyBorder="0" applyAlignment="0" applyProtection="0">
      <alignment horizontal="left"/>
    </xf>
    <xf numFmtId="15" fontId="99" fillId="0" borderId="0" applyFont="0" applyFill="0" applyBorder="0" applyAlignment="0" applyProtection="0"/>
    <xf numFmtId="4" fontId="99" fillId="0" borderId="0" applyFont="0" applyFill="0" applyBorder="0" applyAlignment="0" applyProtection="0"/>
    <xf numFmtId="0" fontId="100" fillId="0" borderId="15">
      <alignment horizontal="center"/>
    </xf>
    <xf numFmtId="3" fontId="99" fillId="0" borderId="0" applyFont="0" applyFill="0" applyBorder="0" applyAlignment="0" applyProtection="0"/>
    <xf numFmtId="0" fontId="99" fillId="30" borderId="0" applyNumberFormat="0" applyFon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4" fontId="85" fillId="31" borderId="13" applyNumberFormat="0" applyProtection="0">
      <alignment horizontal="right" vertical="center"/>
    </xf>
    <xf numFmtId="0" fontId="37" fillId="4" borderId="0" applyNumberFormat="0" applyBorder="0" applyAlignment="0" applyProtection="0"/>
    <xf numFmtId="0" fontId="87" fillId="0" borderId="0" applyNumberFormat="0" applyFill="0" applyBorder="0" applyAlignment="0" applyProtection="0"/>
    <xf numFmtId="0" fontId="48" fillId="20" borderId="13" applyNumberFormat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49" fontId="101" fillId="0" borderId="0" applyFill="0" applyBorder="0" applyProtection="0">
      <alignment horizontal="left"/>
    </xf>
    <xf numFmtId="49" fontId="101" fillId="0" borderId="0" applyFill="0" applyBorder="0" applyProtection="0">
      <alignment horizontal="left" wrapText="1"/>
    </xf>
    <xf numFmtId="2" fontId="101" fillId="29" borderId="0" applyBorder="0" applyProtection="0">
      <alignment horizontal="left"/>
    </xf>
    <xf numFmtId="2" fontId="101" fillId="32" borderId="0" applyBorder="0" applyProtection="0">
      <alignment horizontal="left"/>
    </xf>
    <xf numFmtId="197" fontId="101" fillId="0" borderId="0" applyFill="0" applyBorder="0" applyProtection="0">
      <alignment horizontal="center" wrapText="1"/>
    </xf>
    <xf numFmtId="197" fontId="101" fillId="0" borderId="0" applyFill="0" applyBorder="0" applyProtection="0">
      <alignment horizontal="center"/>
    </xf>
    <xf numFmtId="0" fontId="3" fillId="0" borderId="16" applyBorder="0">
      <alignment horizontal="right"/>
    </xf>
    <xf numFmtId="169" fontId="1" fillId="0" borderId="0"/>
    <xf numFmtId="169" fontId="2" fillId="0" borderId="0"/>
    <xf numFmtId="169" fontId="2" fillId="0" borderId="0"/>
    <xf numFmtId="169" fontId="1" fillId="0" borderId="0"/>
    <xf numFmtId="169" fontId="2" fillId="0" borderId="0"/>
    <xf numFmtId="169" fontId="2" fillId="0" borderId="0"/>
    <xf numFmtId="169" fontId="1" fillId="0" borderId="0"/>
    <xf numFmtId="169" fontId="2" fillId="0" borderId="0"/>
    <xf numFmtId="169" fontId="2" fillId="0" borderId="0"/>
    <xf numFmtId="49" fontId="85" fillId="0" borderId="0" applyFill="0" applyBorder="0" applyAlignment="0"/>
    <xf numFmtId="198" fontId="2" fillId="0" borderId="0" applyFill="0" applyBorder="0" applyAlignment="0"/>
    <xf numFmtId="199" fontId="2" fillId="0" borderId="0" applyFill="0" applyBorder="0" applyAlignment="0"/>
    <xf numFmtId="0" fontId="3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0" fillId="0" borderId="9" applyNumberFormat="0" applyFill="0" applyAlignment="0" applyProtection="0"/>
    <xf numFmtId="0" fontId="41" fillId="0" borderId="10" applyNumberFormat="0" applyFill="0" applyAlignment="0" applyProtection="0"/>
    <xf numFmtId="0" fontId="42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51" fillId="0" borderId="17" applyNumberFormat="0" applyFill="0" applyAlignment="0" applyProtection="0"/>
    <xf numFmtId="0" fontId="74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74" fillId="0" borderId="17" applyNumberFormat="0" applyFill="0" applyAlignment="0" applyProtection="0"/>
    <xf numFmtId="0" fontId="74" fillId="0" borderId="17" applyNumberFormat="0" applyFill="0" applyAlignment="0" applyProtection="0"/>
    <xf numFmtId="0" fontId="51" fillId="0" borderId="17" applyNumberFormat="0" applyFill="0" applyAlignment="0" applyProtection="0"/>
    <xf numFmtId="0" fontId="74" fillId="0" borderId="17" applyNumberFormat="0" applyFill="0" applyAlignment="0" applyProtection="0"/>
    <xf numFmtId="0" fontId="74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4" fontId="88" fillId="0" borderId="18">
      <alignment horizontal="right"/>
    </xf>
    <xf numFmtId="0" fontId="88" fillId="0" borderId="18">
      <alignment horizontal="left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3" fillId="21" borderId="3" applyNumberFormat="0" applyAlignment="0" applyProtection="0"/>
    <xf numFmtId="0" fontId="5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</cellStyleXfs>
  <cellXfs count="699">
    <xf numFmtId="0" fontId="0" fillId="0" borderId="0" xfId="0"/>
    <xf numFmtId="0" fontId="0" fillId="0" borderId="0" xfId="0" applyAlignment="1">
      <alignment horizontal="left"/>
    </xf>
    <xf numFmtId="0" fontId="0" fillId="0" borderId="0" xfId="0" applyProtection="1">
      <protection locked="0"/>
    </xf>
    <xf numFmtId="0" fontId="5" fillId="0" borderId="0" xfId="0" applyFont="1" applyAlignment="1">
      <alignment horizontal="right"/>
    </xf>
    <xf numFmtId="0" fontId="5" fillId="0" borderId="19" xfId="0" applyFont="1" applyBorder="1" applyAlignment="1" applyProtection="1">
      <alignment horizontal="center" vertical="center"/>
    </xf>
    <xf numFmtId="0" fontId="0" fillId="0" borderId="20" xfId="0" applyBorder="1"/>
    <xf numFmtId="0" fontId="8" fillId="0" borderId="21" xfId="0" applyFont="1" applyBorder="1"/>
    <xf numFmtId="0" fontId="0" fillId="0" borderId="6" xfId="0" applyBorder="1"/>
    <xf numFmtId="0" fontId="0" fillId="0" borderId="22" xfId="0" applyBorder="1"/>
    <xf numFmtId="0" fontId="10" fillId="0" borderId="0" xfId="0" applyFont="1" applyFill="1" applyBorder="1" applyAlignment="1">
      <alignment horizontal="right" vertical="center" wrapText="1" shrinkToFit="1"/>
    </xf>
    <xf numFmtId="0" fontId="10" fillId="0" borderId="21" xfId="0" applyFont="1" applyBorder="1"/>
    <xf numFmtId="0" fontId="10" fillId="0" borderId="0" xfId="0" applyFont="1" applyAlignment="1">
      <alignment horizontal="left" vertical="center" wrapText="1" shrinkToFit="1"/>
    </xf>
    <xf numFmtId="0" fontId="10" fillId="0" borderId="6" xfId="0" applyFont="1" applyBorder="1"/>
    <xf numFmtId="0" fontId="10" fillId="0" borderId="0" xfId="0" applyFont="1" applyAlignment="1">
      <alignment vertical="center" wrapText="1" shrinkToFit="1"/>
    </xf>
    <xf numFmtId="0" fontId="0" fillId="0" borderId="0" xfId="0" applyFill="1"/>
    <xf numFmtId="0" fontId="10" fillId="0" borderId="0" xfId="0" applyFont="1"/>
    <xf numFmtId="0" fontId="10" fillId="0" borderId="0" xfId="0" applyFont="1" applyBorder="1"/>
    <xf numFmtId="0" fontId="10" fillId="0" borderId="0" xfId="0" applyFont="1" applyProtection="1"/>
    <xf numFmtId="164" fontId="10" fillId="0" borderId="6" xfId="927" applyNumberFormat="1" applyFont="1" applyBorder="1"/>
    <xf numFmtId="164" fontId="10" fillId="0" borderId="22" xfId="927" applyNumberFormat="1" applyFont="1" applyBorder="1"/>
    <xf numFmtId="0" fontId="10" fillId="0" borderId="22" xfId="0" applyFont="1" applyBorder="1"/>
    <xf numFmtId="0" fontId="10" fillId="0" borderId="21" xfId="0" applyFont="1" applyBorder="1" applyAlignment="1">
      <alignment wrapText="1"/>
    </xf>
    <xf numFmtId="0" fontId="10" fillId="0" borderId="21" xfId="0" applyFont="1" applyFill="1" applyBorder="1"/>
    <xf numFmtId="0" fontId="10" fillId="0" borderId="23" xfId="0" applyFont="1" applyBorder="1"/>
    <xf numFmtId="0" fontId="10" fillId="0" borderId="24" xfId="0" applyFont="1" applyBorder="1"/>
    <xf numFmtId="0" fontId="10" fillId="0" borderId="25" xfId="0" applyFont="1" applyBorder="1"/>
    <xf numFmtId="0" fontId="6" fillId="0" borderId="0" xfId="0" applyFont="1" applyAlignment="1">
      <alignment horizontal="left"/>
    </xf>
    <xf numFmtId="166" fontId="10" fillId="0" borderId="26" xfId="0" applyNumberFormat="1" applyFont="1" applyBorder="1"/>
    <xf numFmtId="167" fontId="19" fillId="0" borderId="27" xfId="0" applyNumberFormat="1" applyFont="1" applyBorder="1" applyAlignment="1">
      <alignment horizontal="left" vertical="top" wrapText="1"/>
    </xf>
    <xf numFmtId="166" fontId="19" fillId="0" borderId="28" xfId="0" applyNumberFormat="1" applyFont="1" applyBorder="1" applyAlignment="1">
      <alignment horizontal="left" vertical="top" wrapText="1"/>
    </xf>
    <xf numFmtId="167" fontId="19" fillId="0" borderId="15" xfId="0" applyNumberFormat="1" applyFont="1" applyBorder="1" applyAlignment="1">
      <alignment horizontal="left" vertical="top" wrapText="1"/>
    </xf>
    <xf numFmtId="167" fontId="20" fillId="0" borderId="27" xfId="0" applyNumberFormat="1" applyFont="1" applyBorder="1" applyAlignment="1">
      <alignment horizontal="center" vertical="top" wrapText="1"/>
    </xf>
    <xf numFmtId="167" fontId="20" fillId="0" borderId="15" xfId="0" applyNumberFormat="1" applyFont="1" applyBorder="1" applyAlignment="1">
      <alignment horizontal="left" vertical="top" wrapText="1"/>
    </xf>
    <xf numFmtId="0" fontId="20" fillId="0" borderId="28" xfId="0" applyFont="1" applyBorder="1" applyAlignment="1">
      <alignment horizontal="left" vertical="top" wrapText="1"/>
    </xf>
    <xf numFmtId="0" fontId="19" fillId="0" borderId="28" xfId="0" applyFont="1" applyBorder="1" applyAlignment="1">
      <alignment horizontal="left" vertical="top" wrapText="1"/>
    </xf>
    <xf numFmtId="167" fontId="20" fillId="0" borderId="27" xfId="0" applyNumberFormat="1" applyFont="1" applyBorder="1" applyAlignment="1">
      <alignment horizontal="left" vertical="top" wrapText="1"/>
    </xf>
    <xf numFmtId="0" fontId="19" fillId="0" borderId="27" xfId="0" applyFont="1" applyBorder="1" applyAlignment="1">
      <alignment horizontal="left" vertical="top" wrapText="1"/>
    </xf>
    <xf numFmtId="0" fontId="19" fillId="0" borderId="15" xfId="0" applyFont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166" fontId="20" fillId="0" borderId="28" xfId="0" applyNumberFormat="1" applyFont="1" applyBorder="1" applyAlignment="1">
      <alignment horizontal="left" vertical="top" wrapText="1"/>
    </xf>
    <xf numFmtId="166" fontId="19" fillId="0" borderId="15" xfId="0" applyNumberFormat="1" applyFont="1" applyBorder="1" applyAlignment="1">
      <alignment horizontal="left" vertical="top" wrapText="1"/>
    </xf>
    <xf numFmtId="0" fontId="20" fillId="0" borderId="15" xfId="0" applyFont="1" applyBorder="1" applyAlignment="1">
      <alignment horizontal="left" vertical="top" wrapText="1"/>
    </xf>
    <xf numFmtId="0" fontId="19" fillId="0" borderId="27" xfId="0" applyFont="1" applyBorder="1" applyAlignment="1">
      <alignment horizontal="center" vertical="top" wrapText="1"/>
    </xf>
    <xf numFmtId="1" fontId="0" fillId="0" borderId="0" xfId="0" applyNumberFormat="1"/>
    <xf numFmtId="167" fontId="21" fillId="0" borderId="29" xfId="927" applyNumberFormat="1" applyFont="1" applyBorder="1"/>
    <xf numFmtId="166" fontId="21" fillId="0" borderId="30" xfId="0" applyNumberFormat="1" applyFont="1" applyBorder="1"/>
    <xf numFmtId="167" fontId="22" fillId="0" borderId="29" xfId="927" applyNumberFormat="1" applyFont="1" applyBorder="1"/>
    <xf numFmtId="166" fontId="22" fillId="0" borderId="30" xfId="0" applyNumberFormat="1" applyFont="1" applyBorder="1"/>
    <xf numFmtId="166" fontId="21" fillId="0" borderId="0" xfId="0" applyNumberFormat="1" applyFont="1" applyBorder="1"/>
    <xf numFmtId="167" fontId="22" fillId="0" borderId="0" xfId="927" applyNumberFormat="1" applyFont="1" applyBorder="1"/>
    <xf numFmtId="167" fontId="21" fillId="0" borderId="0" xfId="927" applyNumberFormat="1" applyFont="1" applyBorder="1"/>
    <xf numFmtId="167" fontId="23" fillId="0" borderId="29" xfId="927" applyNumberFormat="1" applyFont="1" applyBorder="1"/>
    <xf numFmtId="166" fontId="23" fillId="0" borderId="30" xfId="0" applyNumberFormat="1" applyFont="1" applyBorder="1"/>
    <xf numFmtId="167" fontId="21" fillId="0" borderId="29" xfId="927" applyNumberFormat="1" applyFont="1" applyFill="1" applyBorder="1"/>
    <xf numFmtId="3" fontId="17" fillId="0" borderId="0" xfId="0" applyNumberFormat="1" applyFont="1" applyBorder="1" applyAlignment="1" applyProtection="1">
      <alignment horizontal="right" wrapText="1"/>
    </xf>
    <xf numFmtId="167" fontId="18" fillId="0" borderId="31" xfId="927" applyNumberFormat="1" applyFont="1" applyBorder="1"/>
    <xf numFmtId="166" fontId="18" fillId="0" borderId="31" xfId="927" applyNumberFormat="1" applyFont="1" applyBorder="1"/>
    <xf numFmtId="3" fontId="1" fillId="0" borderId="31" xfId="312" applyNumberFormat="1" applyFont="1" applyBorder="1"/>
    <xf numFmtId="0" fontId="0" fillId="33" borderId="0" xfId="0" applyFill="1"/>
    <xf numFmtId="0" fontId="0" fillId="0" borderId="0" xfId="0" applyAlignment="1">
      <alignment horizontal="center"/>
    </xf>
    <xf numFmtId="40" fontId="0" fillId="0" borderId="0" xfId="0" applyNumberFormat="1"/>
    <xf numFmtId="167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166" fontId="22" fillId="0" borderId="0" xfId="0" applyNumberFormat="1" applyFont="1" applyBorder="1"/>
    <xf numFmtId="167" fontId="21" fillId="0" borderId="0" xfId="927" applyNumberFormat="1" applyFont="1" applyFill="1" applyBorder="1"/>
    <xf numFmtId="166" fontId="21" fillId="0" borderId="0" xfId="927" applyNumberFormat="1" applyFont="1" applyBorder="1"/>
    <xf numFmtId="166" fontId="22" fillId="0" borderId="0" xfId="927" applyNumberFormat="1" applyFont="1" applyBorder="1"/>
    <xf numFmtId="166" fontId="10" fillId="0" borderId="0" xfId="0" applyNumberFormat="1" applyFont="1"/>
    <xf numFmtId="0" fontId="25" fillId="25" borderId="32" xfId="0" applyFont="1" applyFill="1" applyBorder="1" applyAlignment="1">
      <alignment horizontal="center" vertical="center" wrapText="1"/>
    </xf>
    <xf numFmtId="0" fontId="25" fillId="25" borderId="33" xfId="0" applyFont="1" applyFill="1" applyBorder="1" applyAlignment="1">
      <alignment horizontal="center" vertical="center" wrapText="1"/>
    </xf>
    <xf numFmtId="0" fontId="0" fillId="0" borderId="4" xfId="0" applyNumberFormat="1" applyBorder="1" applyAlignment="1"/>
    <xf numFmtId="1" fontId="0" fillId="0" borderId="4" xfId="0" applyNumberFormat="1" applyBorder="1" applyAlignment="1"/>
    <xf numFmtId="165" fontId="1" fillId="0" borderId="0" xfId="312" applyNumberFormat="1" applyFont="1"/>
    <xf numFmtId="0" fontId="1" fillId="0" borderId="0" xfId="0" applyFont="1"/>
    <xf numFmtId="0" fontId="1" fillId="0" borderId="0" xfId="312" applyNumberFormat="1" applyFont="1" applyBorder="1" applyAlignment="1">
      <alignment horizontal="center" wrapText="1"/>
    </xf>
    <xf numFmtId="1" fontId="1" fillId="0" borderId="0" xfId="0" applyNumberFormat="1" applyFont="1"/>
    <xf numFmtId="0" fontId="27" fillId="0" borderId="0" xfId="0" applyFont="1"/>
    <xf numFmtId="0" fontId="27" fillId="0" borderId="0" xfId="312" applyNumberFormat="1" applyFont="1" applyBorder="1" applyAlignment="1">
      <alignment horizontal="center" wrapText="1"/>
    </xf>
    <xf numFmtId="0" fontId="28" fillId="0" borderId="0" xfId="0" applyFont="1"/>
    <xf numFmtId="0" fontId="28" fillId="0" borderId="0" xfId="312" applyNumberFormat="1" applyFont="1" applyBorder="1" applyAlignment="1">
      <alignment horizontal="center" wrapText="1"/>
    </xf>
    <xf numFmtId="167" fontId="22" fillId="0" borderId="34" xfId="927" applyNumberFormat="1" applyFont="1" applyBorder="1"/>
    <xf numFmtId="10" fontId="11" fillId="0" borderId="6" xfId="927" applyNumberFormat="1" applyFont="1" applyBorder="1"/>
    <xf numFmtId="164" fontId="11" fillId="0" borderId="6" xfId="927" applyNumberFormat="1" applyFont="1" applyBorder="1"/>
    <xf numFmtId="10" fontId="11" fillId="0" borderId="22" xfId="927" applyNumberFormat="1" applyFont="1" applyBorder="1"/>
    <xf numFmtId="164" fontId="11" fillId="0" borderId="22" xfId="927" applyNumberFormat="1" applyFont="1" applyBorder="1"/>
    <xf numFmtId="0" fontId="17" fillId="0" borderId="0" xfId="0" applyFont="1"/>
    <xf numFmtId="0" fontId="17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/>
    <xf numFmtId="0" fontId="11" fillId="0" borderId="21" xfId="0" applyFont="1" applyBorder="1"/>
    <xf numFmtId="0" fontId="16" fillId="34" borderId="0" xfId="0" applyFont="1" applyFill="1" applyAlignment="1">
      <alignment horizontal="center" vertical="center" wrapText="1"/>
    </xf>
    <xf numFmtId="43" fontId="0" fillId="0" borderId="0" xfId="312" applyFont="1"/>
    <xf numFmtId="43" fontId="0" fillId="0" borderId="0" xfId="0" applyNumberFormat="1"/>
    <xf numFmtId="0" fontId="0" fillId="0" borderId="35" xfId="0" applyBorder="1"/>
    <xf numFmtId="0" fontId="0" fillId="0" borderId="36" xfId="0" applyBorder="1"/>
    <xf numFmtId="0" fontId="10" fillId="0" borderId="36" xfId="0" applyFont="1" applyBorder="1" applyAlignment="1">
      <alignment horizontal="left" wrapText="1"/>
    </xf>
    <xf numFmtId="0" fontId="10" fillId="0" borderId="36" xfId="0" applyFont="1" applyBorder="1" applyAlignment="1">
      <alignment horizontal="left" vertical="top" wrapText="1"/>
    </xf>
    <xf numFmtId="0" fontId="10" fillId="0" borderId="36" xfId="0" applyFont="1" applyBorder="1"/>
    <xf numFmtId="0" fontId="10" fillId="0" borderId="36" xfId="0" applyFont="1" applyFill="1" applyBorder="1" applyAlignment="1">
      <alignment horizontal="left" vertical="top" wrapText="1"/>
    </xf>
    <xf numFmtId="0" fontId="10" fillId="0" borderId="37" xfId="0" applyFont="1" applyBorder="1"/>
    <xf numFmtId="0" fontId="0" fillId="0" borderId="38" xfId="0" applyBorder="1"/>
    <xf numFmtId="10" fontId="11" fillId="0" borderId="38" xfId="927" applyNumberFormat="1" applyFont="1" applyBorder="1"/>
    <xf numFmtId="164" fontId="11" fillId="0" borderId="38" xfId="927" applyNumberFormat="1" applyFont="1" applyBorder="1"/>
    <xf numFmtId="0" fontId="10" fillId="0" borderId="38" xfId="0" applyFont="1" applyBorder="1"/>
    <xf numFmtId="164" fontId="10" fillId="0" borderId="38" xfId="927" applyNumberFormat="1" applyFont="1" applyBorder="1"/>
    <xf numFmtId="0" fontId="10" fillId="0" borderId="39" xfId="0" applyFont="1" applyBorder="1"/>
    <xf numFmtId="0" fontId="7" fillId="0" borderId="40" xfId="0" applyFont="1" applyBorder="1" applyAlignment="1">
      <alignment horizontal="center" vertical="center" wrapText="1"/>
    </xf>
    <xf numFmtId="0" fontId="9" fillId="0" borderId="40" xfId="0" applyFont="1" applyBorder="1"/>
    <xf numFmtId="10" fontId="13" fillId="0" borderId="40" xfId="927" applyNumberFormat="1" applyFont="1" applyBorder="1"/>
    <xf numFmtId="164" fontId="13" fillId="0" borderId="40" xfId="927" applyNumberFormat="1" applyFont="1" applyBorder="1"/>
    <xf numFmtId="0" fontId="14" fillId="0" borderId="40" xfId="0" applyFont="1" applyBorder="1"/>
    <xf numFmtId="0" fontId="15" fillId="0" borderId="40" xfId="0" applyFont="1" applyBorder="1"/>
    <xf numFmtId="0" fontId="10" fillId="0" borderId="41" xfId="0" applyFont="1" applyBorder="1"/>
    <xf numFmtId="0" fontId="57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10" fillId="0" borderId="0" xfId="312" applyNumberFormat="1" applyFont="1" applyBorder="1" applyAlignment="1">
      <alignment horizontal="left" wrapText="1"/>
    </xf>
    <xf numFmtId="0" fontId="16" fillId="0" borderId="0" xfId="0" applyFont="1" applyAlignment="1">
      <alignment horizontal="right"/>
    </xf>
    <xf numFmtId="0" fontId="6" fillId="35" borderId="21" xfId="0" applyFont="1" applyFill="1" applyBorder="1" applyAlignment="1">
      <alignment horizontal="center" vertical="center"/>
    </xf>
    <xf numFmtId="0" fontId="6" fillId="35" borderId="36" xfId="0" applyFont="1" applyFill="1" applyBorder="1" applyAlignment="1">
      <alignment horizontal="center" vertical="center"/>
    </xf>
    <xf numFmtId="0" fontId="58" fillId="0" borderId="0" xfId="0" applyFont="1"/>
    <xf numFmtId="0" fontId="15" fillId="35" borderId="40" xfId="927" applyNumberFormat="1" applyFont="1" applyFill="1" applyBorder="1" applyAlignment="1">
      <alignment horizontal="center"/>
    </xf>
    <xf numFmtId="0" fontId="16" fillId="36" borderId="42" xfId="0" applyFont="1" applyFill="1" applyBorder="1" applyAlignment="1" applyProtection="1">
      <alignment horizontal="center" wrapText="1"/>
      <protection locked="0"/>
    </xf>
    <xf numFmtId="165" fontId="0" fillId="37" borderId="0" xfId="0" applyNumberFormat="1" applyFill="1"/>
    <xf numFmtId="165" fontId="0" fillId="0" borderId="0" xfId="312" applyNumberFormat="1" applyFont="1"/>
    <xf numFmtId="0" fontId="0" fillId="0" borderId="0" xfId="0" applyFill="1" applyBorder="1"/>
    <xf numFmtId="1" fontId="13" fillId="0" borderId="40" xfId="927" applyNumberFormat="1" applyFont="1" applyBorder="1"/>
    <xf numFmtId="1" fontId="11" fillId="0" borderId="38" xfId="927" applyNumberFormat="1" applyFont="1" applyBorder="1"/>
    <xf numFmtId="1" fontId="11" fillId="0" borderId="6" xfId="927" applyNumberFormat="1" applyFont="1" applyBorder="1"/>
    <xf numFmtId="1" fontId="11" fillId="0" borderId="22" xfId="927" applyNumberFormat="1" applyFont="1" applyBorder="1"/>
    <xf numFmtId="0" fontId="6" fillId="0" borderId="21" xfId="0" applyFont="1" applyBorder="1"/>
    <xf numFmtId="0" fontId="0" fillId="0" borderId="4" xfId="0" applyNumberFormat="1" applyBorder="1" applyAlignment="1" applyProtection="1">
      <protection locked="0"/>
    </xf>
    <xf numFmtId="0" fontId="0" fillId="0" borderId="4" xfId="0" applyNumberFormat="1" applyFill="1" applyBorder="1" applyAlignment="1"/>
    <xf numFmtId="1" fontId="16" fillId="51" borderId="4" xfId="0" applyNumberFormat="1" applyFont="1" applyFill="1" applyBorder="1" applyAlignment="1"/>
    <xf numFmtId="0" fontId="2" fillId="0" borderId="0" xfId="722"/>
    <xf numFmtId="9" fontId="0" fillId="0" borderId="0" xfId="927" applyFont="1"/>
    <xf numFmtId="165" fontId="0" fillId="0" borderId="0" xfId="312" applyNumberFormat="1" applyFont="1" applyAlignment="1">
      <alignment horizontal="right"/>
    </xf>
    <xf numFmtId="165" fontId="0" fillId="0" borderId="0" xfId="312" applyNumberFormat="1" applyFont="1" applyFill="1"/>
    <xf numFmtId="165" fontId="0" fillId="0" borderId="0" xfId="312" applyNumberFormat="1" applyFont="1" applyFill="1" applyAlignment="1">
      <alignment horizontal="right"/>
    </xf>
    <xf numFmtId="43" fontId="0" fillId="0" borderId="0" xfId="312" applyFont="1" applyFill="1" applyBorder="1"/>
    <xf numFmtId="165" fontId="2" fillId="0" borderId="0" xfId="312" applyNumberFormat="1" applyFont="1" applyFill="1"/>
    <xf numFmtId="165" fontId="0" fillId="33" borderId="0" xfId="312" applyNumberFormat="1" applyFont="1" applyFill="1"/>
    <xf numFmtId="165" fontId="0" fillId="29" borderId="0" xfId="312" applyNumberFormat="1" applyFont="1" applyFill="1" applyAlignment="1">
      <alignment horizontal="center"/>
    </xf>
    <xf numFmtId="165" fontId="0" fillId="0" borderId="0" xfId="312" applyNumberFormat="1" applyFont="1" applyFill="1" applyBorder="1"/>
    <xf numFmtId="43" fontId="0" fillId="0" borderId="0" xfId="312" applyFont="1" applyAlignment="1">
      <alignment horizontal="center" wrapText="1"/>
    </xf>
    <xf numFmtId="43" fontId="59" fillId="0" borderId="0" xfId="312" applyFont="1" applyAlignment="1">
      <alignment horizontal="center" wrapText="1"/>
    </xf>
    <xf numFmtId="43" fontId="2" fillId="0" borderId="0" xfId="312" applyFont="1" applyFill="1" applyAlignment="1">
      <alignment horizontal="center" wrapText="1"/>
    </xf>
    <xf numFmtId="43" fontId="0" fillId="0" borderId="0" xfId="312" applyFont="1" applyFill="1" applyAlignment="1">
      <alignment horizontal="center" wrapText="1"/>
    </xf>
    <xf numFmtId="165" fontId="0" fillId="0" borderId="0" xfId="312" applyNumberFormat="1" applyFont="1" applyAlignment="1">
      <alignment horizontal="center" wrapText="1"/>
    </xf>
    <xf numFmtId="43" fontId="0" fillId="33" borderId="0" xfId="312" applyFont="1" applyFill="1" applyAlignment="1">
      <alignment horizontal="center" wrapText="1"/>
    </xf>
    <xf numFmtId="43" fontId="0" fillId="39" borderId="0" xfId="312" applyFont="1" applyFill="1" applyAlignment="1">
      <alignment horizontal="center" wrapText="1"/>
    </xf>
    <xf numFmtId="43" fontId="0" fillId="29" borderId="0" xfId="312" applyFont="1" applyFill="1" applyAlignment="1">
      <alignment horizontal="center" wrapText="1"/>
    </xf>
    <xf numFmtId="165" fontId="0" fillId="0" borderId="0" xfId="312" applyNumberFormat="1" applyFont="1" applyAlignment="1">
      <alignment horizontal="center"/>
    </xf>
    <xf numFmtId="43" fontId="0" fillId="0" borderId="0" xfId="312" applyFont="1" applyFill="1" applyBorder="1" applyAlignment="1">
      <alignment horizontal="center" wrapText="1"/>
    </xf>
    <xf numFmtId="0" fontId="2" fillId="0" borderId="43" xfId="722" applyBorder="1" applyAlignment="1">
      <alignment horizontal="right" textRotation="90"/>
    </xf>
    <xf numFmtId="0" fontId="2" fillId="0" borderId="44" xfId="722" applyBorder="1" applyAlignment="1"/>
    <xf numFmtId="0" fontId="2" fillId="0" borderId="0" xfId="722" applyFill="1" applyBorder="1" applyAlignment="1">
      <alignment textRotation="90"/>
    </xf>
    <xf numFmtId="0" fontId="2" fillId="0" borderId="36" xfId="722" applyBorder="1" applyAlignment="1">
      <alignment horizontal="right"/>
    </xf>
    <xf numFmtId="0" fontId="2" fillId="0" borderId="8" xfId="722" applyBorder="1"/>
    <xf numFmtId="0" fontId="2" fillId="0" borderId="45" xfId="722" applyBorder="1" applyAlignment="1">
      <alignment horizontal="center"/>
    </xf>
    <xf numFmtId="165" fontId="0" fillId="0" borderId="45" xfId="312" applyNumberFormat="1" applyFont="1" applyBorder="1" applyAlignment="1"/>
    <xf numFmtId="165" fontId="0" fillId="0" borderId="46" xfId="312" applyNumberFormat="1" applyFont="1" applyBorder="1" applyAlignment="1"/>
    <xf numFmtId="165" fontId="0" fillId="0" borderId="45" xfId="312" applyNumberFormat="1" applyFont="1" applyBorder="1" applyAlignment="1">
      <alignment horizontal="center"/>
    </xf>
    <xf numFmtId="0" fontId="2" fillId="0" borderId="45" xfId="722" applyFill="1" applyBorder="1" applyAlignment="1">
      <alignment horizontal="center"/>
    </xf>
    <xf numFmtId="0" fontId="2" fillId="0" borderId="0" xfId="722" applyFill="1" applyBorder="1"/>
    <xf numFmtId="165" fontId="2" fillId="0" borderId="0" xfId="722" applyNumberFormat="1" applyFill="1" applyBorder="1"/>
    <xf numFmtId="0" fontId="3" fillId="0" borderId="0" xfId="722" applyFont="1" applyBorder="1" applyAlignment="1">
      <alignment horizontal="right" wrapText="1"/>
    </xf>
    <xf numFmtId="0" fontId="3" fillId="0" borderId="0" xfId="722" applyFont="1" applyBorder="1" applyAlignment="1">
      <alignment wrapText="1"/>
    </xf>
    <xf numFmtId="0" fontId="3" fillId="0" borderId="0" xfId="722" applyFont="1" applyBorder="1" applyAlignment="1">
      <alignment horizontal="center" wrapText="1"/>
    </xf>
    <xf numFmtId="0" fontId="3" fillId="0" borderId="0" xfId="722" applyFont="1" applyFill="1" applyBorder="1" applyAlignment="1">
      <alignment horizontal="center" wrapText="1"/>
    </xf>
    <xf numFmtId="43" fontId="3" fillId="0" borderId="0" xfId="312" applyFont="1" applyFill="1" applyBorder="1" applyAlignment="1">
      <alignment horizontal="center" wrapText="1"/>
    </xf>
    <xf numFmtId="165" fontId="3" fillId="0" borderId="0" xfId="312" applyNumberFormat="1" applyFont="1" applyBorder="1" applyAlignment="1">
      <alignment horizontal="center" wrapText="1"/>
    </xf>
    <xf numFmtId="0" fontId="3" fillId="33" borderId="0" xfId="722" applyFont="1" applyFill="1" applyBorder="1" applyAlignment="1">
      <alignment horizontal="center" wrapText="1"/>
    </xf>
    <xf numFmtId="0" fontId="3" fillId="0" borderId="0" xfId="722" applyFont="1" applyFill="1" applyBorder="1" applyAlignment="1">
      <alignment wrapText="1"/>
    </xf>
    <xf numFmtId="165" fontId="3" fillId="0" borderId="0" xfId="722" applyNumberFormat="1" applyFont="1" applyFill="1" applyBorder="1" applyAlignment="1">
      <alignment wrapText="1"/>
    </xf>
    <xf numFmtId="0" fontId="0" fillId="0" borderId="0" xfId="312" applyNumberFormat="1" applyFont="1" applyAlignment="1">
      <alignment horizontal="right"/>
    </xf>
    <xf numFmtId="43" fontId="0" fillId="0" borderId="0" xfId="312" applyFont="1" applyFill="1"/>
    <xf numFmtId="43" fontId="2" fillId="0" borderId="0" xfId="312" applyFont="1" applyFill="1"/>
    <xf numFmtId="43" fontId="0" fillId="29" borderId="0" xfId="312" applyFont="1" applyFill="1"/>
    <xf numFmtId="43" fontId="0" fillId="33" borderId="0" xfId="312" applyFont="1" applyFill="1"/>
    <xf numFmtId="43" fontId="0" fillId="29" borderId="0" xfId="312" applyFont="1" applyFill="1" applyAlignment="1">
      <alignment horizontal="center"/>
    </xf>
    <xf numFmtId="0" fontId="0" fillId="0" borderId="0" xfId="312" applyNumberFormat="1" applyFont="1" applyFill="1" applyAlignment="1">
      <alignment horizontal="right"/>
    </xf>
    <xf numFmtId="43" fontId="2" fillId="0" borderId="0" xfId="312" applyFont="1" applyFill="1" applyBorder="1"/>
    <xf numFmtId="165" fontId="0" fillId="38" borderId="0" xfId="312" applyNumberFormat="1" applyFont="1" applyFill="1" applyBorder="1"/>
    <xf numFmtId="43" fontId="0" fillId="34" borderId="0" xfId="312" applyFont="1" applyFill="1"/>
    <xf numFmtId="165" fontId="0" fillId="34" borderId="0" xfId="312" applyNumberFormat="1" applyFont="1" applyFill="1"/>
    <xf numFmtId="9" fontId="0" fillId="34" borderId="0" xfId="927" applyFont="1" applyFill="1"/>
    <xf numFmtId="43" fontId="0" fillId="38" borderId="0" xfId="312" applyFont="1" applyFill="1"/>
    <xf numFmtId="0" fontId="2" fillId="40" borderId="0" xfId="722" applyFill="1" applyAlignment="1">
      <alignment horizontal="right"/>
    </xf>
    <xf numFmtId="0" fontId="2" fillId="40" borderId="0" xfId="722" applyFill="1"/>
    <xf numFmtId="43" fontId="0" fillId="0" borderId="0" xfId="312" applyFont="1" applyAlignment="1">
      <alignment horizontal="right"/>
    </xf>
    <xf numFmtId="43" fontId="0" fillId="41" borderId="34" xfId="312" applyFont="1" applyFill="1" applyBorder="1" applyAlignment="1">
      <alignment horizontal="right"/>
    </xf>
    <xf numFmtId="43" fontId="0" fillId="41" borderId="47" xfId="312" applyFont="1" applyFill="1" applyBorder="1"/>
    <xf numFmtId="165" fontId="0" fillId="41" borderId="34" xfId="312" applyNumberFormat="1" applyFont="1" applyFill="1" applyBorder="1"/>
    <xf numFmtId="165" fontId="0" fillId="41" borderId="5" xfId="312" applyNumberFormat="1" applyFont="1" applyFill="1" applyBorder="1"/>
    <xf numFmtId="43" fontId="0" fillId="41" borderId="5" xfId="312" applyFont="1" applyFill="1" applyBorder="1"/>
    <xf numFmtId="43" fontId="0" fillId="36" borderId="29" xfId="312" applyFont="1" applyFill="1" applyBorder="1" applyAlignment="1">
      <alignment horizontal="right"/>
    </xf>
    <xf numFmtId="43" fontId="0" fillId="36" borderId="30" xfId="312" applyFont="1" applyFill="1" applyBorder="1"/>
    <xf numFmtId="165" fontId="0" fillId="36" borderId="29" xfId="312" applyNumberFormat="1" applyFont="1" applyFill="1" applyBorder="1"/>
    <xf numFmtId="165" fontId="0" fillId="36" borderId="0" xfId="312" applyNumberFormat="1" applyFont="1" applyFill="1" applyBorder="1"/>
    <xf numFmtId="43" fontId="0" fillId="36" borderId="0" xfId="312" applyFont="1" applyFill="1" applyBorder="1"/>
    <xf numFmtId="43" fontId="0" fillId="33" borderId="29" xfId="312" applyFont="1" applyFill="1" applyBorder="1" applyAlignment="1">
      <alignment horizontal="right"/>
    </xf>
    <xf numFmtId="43" fontId="0" fillId="33" borderId="30" xfId="312" applyFont="1" applyFill="1" applyBorder="1"/>
    <xf numFmtId="165" fontId="0" fillId="33" borderId="29" xfId="312" applyNumberFormat="1" applyFont="1" applyFill="1" applyBorder="1"/>
    <xf numFmtId="165" fontId="0" fillId="33" borderId="0" xfId="312" applyNumberFormat="1" applyFont="1" applyFill="1" applyBorder="1"/>
    <xf numFmtId="43" fontId="0" fillId="33" borderId="0" xfId="312" applyFont="1" applyFill="1" applyBorder="1"/>
    <xf numFmtId="43" fontId="0" fillId="42" borderId="29" xfId="312" applyFont="1" applyFill="1" applyBorder="1" applyAlignment="1">
      <alignment horizontal="right"/>
    </xf>
    <xf numFmtId="43" fontId="0" fillId="42" borderId="30" xfId="312" applyFont="1" applyFill="1" applyBorder="1"/>
    <xf numFmtId="165" fontId="0" fillId="42" borderId="29" xfId="312" applyNumberFormat="1" applyFont="1" applyFill="1" applyBorder="1"/>
    <xf numFmtId="165" fontId="0" fillId="42" borderId="0" xfId="312" applyNumberFormat="1" applyFont="1" applyFill="1" applyBorder="1"/>
    <xf numFmtId="43" fontId="0" fillId="42" borderId="0" xfId="312" applyFont="1" applyFill="1" applyBorder="1"/>
    <xf numFmtId="43" fontId="0" fillId="34" borderId="29" xfId="312" applyFont="1" applyFill="1" applyBorder="1" applyAlignment="1">
      <alignment horizontal="right"/>
    </xf>
    <xf numFmtId="43" fontId="0" fillId="34" borderId="30" xfId="312" applyFont="1" applyFill="1" applyBorder="1"/>
    <xf numFmtId="165" fontId="0" fillId="34" borderId="29" xfId="312" applyNumberFormat="1" applyFont="1" applyFill="1" applyBorder="1"/>
    <xf numFmtId="165" fontId="0" fillId="34" borderId="0" xfId="312" applyNumberFormat="1" applyFont="1" applyFill="1" applyBorder="1"/>
    <xf numFmtId="43" fontId="0" fillId="34" borderId="0" xfId="312" applyFont="1" applyFill="1" applyBorder="1"/>
    <xf numFmtId="43" fontId="0" fillId="37" borderId="27" xfId="312" applyFont="1" applyFill="1" applyBorder="1" applyAlignment="1">
      <alignment horizontal="right"/>
    </xf>
    <xf numFmtId="43" fontId="0" fillId="37" borderId="28" xfId="312" applyFont="1" applyFill="1" applyBorder="1"/>
    <xf numFmtId="165" fontId="0" fillId="37" borderId="27" xfId="312" applyNumberFormat="1" applyFont="1" applyFill="1" applyBorder="1"/>
    <xf numFmtId="165" fontId="0" fillId="37" borderId="15" xfId="312" applyNumberFormat="1" applyFont="1" applyFill="1" applyBorder="1"/>
    <xf numFmtId="43" fontId="0" fillId="37" borderId="15" xfId="312" applyFont="1" applyFill="1" applyBorder="1"/>
    <xf numFmtId="43" fontId="0" fillId="39" borderId="0" xfId="312" applyFont="1" applyFill="1"/>
    <xf numFmtId="165" fontId="0" fillId="43" borderId="48" xfId="312" applyNumberFormat="1" applyFont="1" applyFill="1" applyBorder="1" applyAlignment="1">
      <alignment horizontal="right"/>
    </xf>
    <xf numFmtId="165" fontId="0" fillId="43" borderId="7" xfId="312" applyNumberFormat="1" applyFont="1" applyFill="1" applyBorder="1"/>
    <xf numFmtId="43" fontId="0" fillId="43" borderId="7" xfId="312" applyFont="1" applyFill="1" applyBorder="1"/>
    <xf numFmtId="43" fontId="0" fillId="43" borderId="7" xfId="312" applyNumberFormat="1" applyFont="1" applyFill="1" applyBorder="1"/>
    <xf numFmtId="43" fontId="0" fillId="37" borderId="0" xfId="312" applyFont="1" applyFill="1"/>
    <xf numFmtId="165" fontId="16" fillId="51" borderId="0" xfId="312" applyNumberFormat="1" applyFont="1" applyFill="1" applyAlignment="1">
      <alignment horizontal="right"/>
    </xf>
    <xf numFmtId="165" fontId="16" fillId="51" borderId="0" xfId="312" applyNumberFormat="1" applyFont="1" applyFill="1"/>
    <xf numFmtId="43" fontId="16" fillId="51" borderId="0" xfId="312" applyFont="1" applyFill="1" applyAlignment="1">
      <alignment horizontal="center" wrapText="1"/>
    </xf>
    <xf numFmtId="0" fontId="16" fillId="51" borderId="8" xfId="722" applyFont="1" applyFill="1" applyBorder="1"/>
    <xf numFmtId="0" fontId="38" fillId="51" borderId="0" xfId="722" applyFont="1" applyFill="1" applyBorder="1" applyAlignment="1">
      <alignment wrapText="1"/>
    </xf>
    <xf numFmtId="43" fontId="16" fillId="51" borderId="0" xfId="312" applyFont="1" applyFill="1"/>
    <xf numFmtId="0" fontId="16" fillId="51" borderId="0" xfId="722" applyFont="1" applyFill="1"/>
    <xf numFmtId="165" fontId="16" fillId="51" borderId="5" xfId="312" applyNumberFormat="1" applyFont="1" applyFill="1" applyBorder="1"/>
    <xf numFmtId="165" fontId="16" fillId="51" borderId="0" xfId="312" applyNumberFormat="1" applyFont="1" applyFill="1" applyBorder="1"/>
    <xf numFmtId="165" fontId="16" fillId="51" borderId="15" xfId="312" applyNumberFormat="1" applyFont="1" applyFill="1" applyBorder="1"/>
    <xf numFmtId="165" fontId="16" fillId="51" borderId="7" xfId="312" applyNumberFormat="1" applyFont="1" applyFill="1" applyBorder="1"/>
    <xf numFmtId="0" fontId="2" fillId="0" borderId="0" xfId="0" applyFont="1"/>
    <xf numFmtId="0" fontId="1" fillId="0" borderId="49" xfId="0" applyFont="1" applyFill="1" applyBorder="1"/>
    <xf numFmtId="0" fontId="24" fillId="0" borderId="49" xfId="0" applyFont="1" applyFill="1" applyBorder="1"/>
    <xf numFmtId="0" fontId="24" fillId="0" borderId="49" xfId="0" applyFont="1" applyFill="1" applyBorder="1" applyAlignment="1">
      <alignment horizontal="right"/>
    </xf>
    <xf numFmtId="43" fontId="16" fillId="0" borderId="49" xfId="312" applyFont="1" applyBorder="1"/>
    <xf numFmtId="165" fontId="16" fillId="0" borderId="49" xfId="312" applyNumberFormat="1" applyFont="1" applyBorder="1"/>
    <xf numFmtId="0" fontId="0" fillId="0" borderId="49" xfId="0" applyBorder="1"/>
    <xf numFmtId="167" fontId="7" fillId="0" borderId="37" xfId="927" applyNumberFormat="1" applyFont="1" applyBorder="1"/>
    <xf numFmtId="166" fontId="7" fillId="0" borderId="37" xfId="927" applyNumberFormat="1" applyFont="1" applyBorder="1"/>
    <xf numFmtId="167" fontId="18" fillId="0" borderId="50" xfId="927" applyNumberFormat="1" applyFont="1" applyBorder="1"/>
    <xf numFmtId="166" fontId="18" fillId="0" borderId="51" xfId="0" applyNumberFormat="1" applyFont="1" applyBorder="1"/>
    <xf numFmtId="167" fontId="7" fillId="0" borderId="50" xfId="927" applyNumberFormat="1" applyFont="1" applyBorder="1"/>
    <xf numFmtId="166" fontId="7" fillId="0" borderId="49" xfId="0" applyNumberFormat="1" applyFont="1" applyBorder="1"/>
    <xf numFmtId="167" fontId="18" fillId="0" borderId="49" xfId="927" applyNumberFormat="1" applyFont="1" applyBorder="1"/>
    <xf numFmtId="166" fontId="7" fillId="0" borderId="51" xfId="0" applyNumberFormat="1" applyFont="1" applyBorder="1"/>
    <xf numFmtId="167" fontId="7" fillId="0" borderId="49" xfId="927" applyNumberFormat="1" applyFont="1" applyBorder="1"/>
    <xf numFmtId="167" fontId="7" fillId="0" borderId="50" xfId="927" applyNumberFormat="1" applyFont="1" applyFill="1" applyBorder="1"/>
    <xf numFmtId="166" fontId="7" fillId="0" borderId="39" xfId="0" applyNumberFormat="1" applyFont="1" applyBorder="1"/>
    <xf numFmtId="165" fontId="0" fillId="0" borderId="0" xfId="319" applyNumberFormat="1" applyFont="1" applyFill="1" applyAlignment="1">
      <alignment horizontal="right"/>
    </xf>
    <xf numFmtId="165" fontId="0" fillId="0" borderId="0" xfId="319" applyNumberFormat="1" applyFont="1" applyFill="1"/>
    <xf numFmtId="43" fontId="0" fillId="0" borderId="0" xfId="319" applyFont="1" applyFill="1"/>
    <xf numFmtId="43" fontId="0" fillId="0" borderId="0" xfId="319" applyFont="1" applyFill="1" applyBorder="1"/>
    <xf numFmtId="165" fontId="60" fillId="0" borderId="0" xfId="319" applyNumberFormat="1" applyFont="1" applyFill="1"/>
    <xf numFmtId="165" fontId="0" fillId="0" borderId="0" xfId="319" applyNumberFormat="1" applyFont="1" applyFill="1" applyAlignment="1">
      <alignment horizontal="center"/>
    </xf>
    <xf numFmtId="165" fontId="0" fillId="0" borderId="0" xfId="319" applyNumberFormat="1" applyFont="1" applyFill="1" applyBorder="1"/>
    <xf numFmtId="43" fontId="0" fillId="0" borderId="0" xfId="319" applyFont="1" applyFill="1" applyAlignment="1">
      <alignment horizontal="center" wrapText="1"/>
    </xf>
    <xf numFmtId="43" fontId="59" fillId="0" borderId="0" xfId="319" applyFont="1" applyFill="1" applyAlignment="1">
      <alignment horizontal="center" wrapText="1"/>
    </xf>
    <xf numFmtId="43" fontId="60" fillId="0" borderId="0" xfId="319" applyFont="1" applyFill="1" applyAlignment="1">
      <alignment horizontal="center" wrapText="1"/>
    </xf>
    <xf numFmtId="165" fontId="0" fillId="0" borderId="0" xfId="319" applyNumberFormat="1" applyFont="1" applyFill="1" applyAlignment="1">
      <alignment horizontal="center" wrapText="1"/>
    </xf>
    <xf numFmtId="43" fontId="0" fillId="0" borderId="0" xfId="319" applyFont="1" applyFill="1" applyBorder="1" applyAlignment="1">
      <alignment horizontal="center" wrapText="1"/>
    </xf>
    <xf numFmtId="0" fontId="0" fillId="0" borderId="43" xfId="0" applyFill="1" applyBorder="1" applyAlignment="1">
      <alignment horizontal="right" textRotation="90"/>
    </xf>
    <xf numFmtId="0" fontId="0" fillId="0" borderId="44" xfId="0" applyFill="1" applyBorder="1" applyAlignment="1"/>
    <xf numFmtId="0" fontId="0" fillId="0" borderId="52" xfId="0" applyFill="1" applyBorder="1" applyAlignment="1">
      <alignment textRotation="90"/>
    </xf>
    <xf numFmtId="0" fontId="0" fillId="0" borderId="53" xfId="0" applyFill="1" applyBorder="1" applyAlignment="1">
      <alignment textRotation="90"/>
    </xf>
    <xf numFmtId="0" fontId="60" fillId="0" borderId="53" xfId="0" applyFont="1" applyFill="1" applyBorder="1" applyAlignment="1">
      <alignment textRotation="90"/>
    </xf>
    <xf numFmtId="43" fontId="0" fillId="0" borderId="53" xfId="319" applyFont="1" applyFill="1" applyBorder="1" applyAlignment="1">
      <alignment textRotation="90"/>
    </xf>
    <xf numFmtId="165" fontId="0" fillId="0" borderId="52" xfId="319" applyNumberFormat="1" applyFont="1" applyFill="1" applyBorder="1" applyAlignment="1">
      <alignment textRotation="90"/>
    </xf>
    <xf numFmtId="165" fontId="0" fillId="0" borderId="53" xfId="319" applyNumberFormat="1" applyFont="1" applyFill="1" applyBorder="1" applyAlignment="1">
      <alignment textRotation="90"/>
    </xf>
    <xf numFmtId="0" fontId="0" fillId="0" borderId="53" xfId="0" applyFill="1" applyBorder="1" applyAlignment="1">
      <alignment horizontal="center" textRotation="90"/>
    </xf>
    <xf numFmtId="0" fontId="0" fillId="0" borderId="6" xfId="0" applyFill="1" applyBorder="1" applyAlignment="1">
      <alignment textRotation="90"/>
    </xf>
    <xf numFmtId="0" fontId="0" fillId="0" borderId="0" xfId="0" applyFill="1" applyAlignment="1">
      <alignment horizontal="right" textRotation="90"/>
    </xf>
    <xf numFmtId="0" fontId="0" fillId="0" borderId="0" xfId="0" applyFill="1" applyAlignment="1">
      <alignment textRotation="90"/>
    </xf>
    <xf numFmtId="0" fontId="0" fillId="0" borderId="0" xfId="0" applyFill="1" applyBorder="1" applyAlignment="1">
      <alignment textRotation="90"/>
    </xf>
    <xf numFmtId="165" fontId="0" fillId="0" borderId="0" xfId="0" applyNumberFormat="1" applyFill="1" applyBorder="1" applyAlignment="1">
      <alignment textRotation="90"/>
    </xf>
    <xf numFmtId="0" fontId="0" fillId="0" borderId="36" xfId="0" applyFill="1" applyBorder="1" applyAlignment="1">
      <alignment horizontal="right"/>
    </xf>
    <xf numFmtId="0" fontId="0" fillId="0" borderId="8" xfId="0" applyFill="1" applyBorder="1"/>
    <xf numFmtId="0" fontId="0" fillId="0" borderId="45" xfId="0" applyFill="1" applyBorder="1" applyAlignment="1">
      <alignment horizontal="center"/>
    </xf>
    <xf numFmtId="165" fontId="0" fillId="0" borderId="45" xfId="319" applyNumberFormat="1" applyFont="1" applyFill="1" applyBorder="1" applyAlignment="1"/>
    <xf numFmtId="165" fontId="0" fillId="0" borderId="46" xfId="319" applyNumberFormat="1" applyFont="1" applyFill="1" applyBorder="1" applyAlignment="1"/>
    <xf numFmtId="165" fontId="0" fillId="0" borderId="45" xfId="319" applyNumberFormat="1" applyFont="1" applyFill="1" applyBorder="1" applyAlignment="1">
      <alignment horizontal="center"/>
    </xf>
    <xf numFmtId="165" fontId="0" fillId="0" borderId="0" xfId="0" applyNumberFormat="1" applyFill="1" applyBorder="1"/>
    <xf numFmtId="0" fontId="61" fillId="0" borderId="0" xfId="0" applyFont="1" applyFill="1" applyBorder="1" applyAlignment="1">
      <alignment horizontal="right" wrapText="1"/>
    </xf>
    <xf numFmtId="0" fontId="61" fillId="0" borderId="0" xfId="0" applyFont="1" applyFill="1" applyBorder="1" applyAlignment="1">
      <alignment wrapText="1"/>
    </xf>
    <xf numFmtId="0" fontId="61" fillId="0" borderId="0" xfId="0" applyFont="1" applyFill="1" applyBorder="1" applyAlignment="1">
      <alignment horizontal="center" wrapText="1"/>
    </xf>
    <xf numFmtId="43" fontId="61" fillId="0" borderId="0" xfId="319" applyFont="1" applyFill="1" applyBorder="1" applyAlignment="1">
      <alignment horizontal="center" wrapText="1"/>
    </xf>
    <xf numFmtId="165" fontId="61" fillId="0" borderId="0" xfId="319" applyNumberFormat="1" applyFont="1" applyFill="1" applyBorder="1" applyAlignment="1">
      <alignment horizontal="center" wrapText="1"/>
    </xf>
    <xf numFmtId="165" fontId="61" fillId="0" borderId="0" xfId="0" applyNumberFormat="1" applyFont="1" applyFill="1" applyBorder="1" applyAlignment="1">
      <alignment wrapText="1"/>
    </xf>
    <xf numFmtId="0" fontId="0" fillId="0" borderId="0" xfId="319" applyNumberFormat="1" applyFont="1" applyFill="1" applyAlignment="1">
      <alignment horizontal="right"/>
    </xf>
    <xf numFmtId="43" fontId="60" fillId="0" borderId="0" xfId="319" applyFont="1" applyFill="1"/>
    <xf numFmtId="43" fontId="0" fillId="0" borderId="0" xfId="319" applyFont="1" applyFill="1" applyAlignment="1">
      <alignment horizontal="center"/>
    </xf>
    <xf numFmtId="9" fontId="0" fillId="0" borderId="0" xfId="931" applyFont="1" applyFill="1"/>
    <xf numFmtId="43" fontId="60" fillId="0" borderId="0" xfId="319" applyFont="1" applyFill="1" applyBorder="1"/>
    <xf numFmtId="0" fontId="0" fillId="0" borderId="0" xfId="0" applyFill="1" applyAlignment="1">
      <alignment horizontal="right"/>
    </xf>
    <xf numFmtId="43" fontId="0" fillId="0" borderId="0" xfId="319" applyFont="1" applyFill="1" applyAlignment="1">
      <alignment horizontal="right"/>
    </xf>
    <xf numFmtId="43" fontId="0" fillId="0" borderId="34" xfId="319" applyFont="1" applyFill="1" applyBorder="1" applyAlignment="1">
      <alignment horizontal="right"/>
    </xf>
    <xf numFmtId="43" fontId="0" fillId="0" borderId="47" xfId="319" applyFont="1" applyFill="1" applyBorder="1"/>
    <xf numFmtId="165" fontId="0" fillId="0" borderId="34" xfId="319" applyNumberFormat="1" applyFont="1" applyFill="1" applyBorder="1"/>
    <xf numFmtId="165" fontId="0" fillId="0" borderId="5" xfId="319" applyNumberFormat="1" applyFont="1" applyFill="1" applyBorder="1"/>
    <xf numFmtId="43" fontId="0" fillId="0" borderId="5" xfId="319" applyFont="1" applyFill="1" applyBorder="1"/>
    <xf numFmtId="43" fontId="0" fillId="0" borderId="29" xfId="319" applyFont="1" applyFill="1" applyBorder="1" applyAlignment="1">
      <alignment horizontal="right"/>
    </xf>
    <xf numFmtId="43" fontId="0" fillId="0" borderId="30" xfId="319" applyFont="1" applyFill="1" applyBorder="1"/>
    <xf numFmtId="165" fontId="0" fillId="0" borderId="29" xfId="319" applyNumberFormat="1" applyFont="1" applyFill="1" applyBorder="1"/>
    <xf numFmtId="43" fontId="0" fillId="0" borderId="27" xfId="319" applyFont="1" applyFill="1" applyBorder="1" applyAlignment="1">
      <alignment horizontal="right"/>
    </xf>
    <xf numFmtId="43" fontId="0" fillId="0" borderId="28" xfId="319" applyFont="1" applyFill="1" applyBorder="1"/>
    <xf numFmtId="165" fontId="0" fillId="0" borderId="27" xfId="319" applyNumberFormat="1" applyFont="1" applyFill="1" applyBorder="1"/>
    <xf numFmtId="165" fontId="0" fillId="0" borderId="15" xfId="319" applyNumberFormat="1" applyFont="1" applyFill="1" applyBorder="1"/>
    <xf numFmtId="43" fontId="0" fillId="0" borderId="15" xfId="319" applyFont="1" applyFill="1" applyBorder="1"/>
    <xf numFmtId="165" fontId="0" fillId="0" borderId="48" xfId="319" applyNumberFormat="1" applyFont="1" applyFill="1" applyBorder="1" applyAlignment="1">
      <alignment horizontal="right"/>
    </xf>
    <xf numFmtId="165" fontId="0" fillId="0" borderId="7" xfId="319" applyNumberFormat="1" applyFont="1" applyFill="1" applyBorder="1"/>
    <xf numFmtId="43" fontId="0" fillId="0" borderId="7" xfId="319" applyFont="1" applyFill="1" applyBorder="1"/>
    <xf numFmtId="43" fontId="0" fillId="0" borderId="7" xfId="319" applyNumberFormat="1" applyFont="1" applyFill="1" applyBorder="1"/>
    <xf numFmtId="165" fontId="16" fillId="51" borderId="0" xfId="319" applyNumberFormat="1" applyFont="1" applyFill="1" applyAlignment="1">
      <alignment horizontal="right"/>
    </xf>
    <xf numFmtId="165" fontId="16" fillId="51" borderId="0" xfId="319" applyNumberFormat="1" applyFont="1" applyFill="1"/>
    <xf numFmtId="43" fontId="16" fillId="51" borderId="0" xfId="319" applyFont="1" applyFill="1" applyAlignment="1">
      <alignment horizontal="center" wrapText="1"/>
    </xf>
    <xf numFmtId="0" fontId="16" fillId="51" borderId="0" xfId="0" applyFont="1" applyFill="1" applyAlignment="1">
      <alignment horizontal="right" textRotation="90"/>
    </xf>
    <xf numFmtId="0" fontId="16" fillId="51" borderId="8" xfId="0" applyFont="1" applyFill="1" applyBorder="1"/>
    <xf numFmtId="0" fontId="38" fillId="51" borderId="0" xfId="0" applyFont="1" applyFill="1" applyBorder="1" applyAlignment="1">
      <alignment wrapText="1"/>
    </xf>
    <xf numFmtId="43" fontId="16" fillId="51" borderId="0" xfId="319" applyFont="1" applyFill="1"/>
    <xf numFmtId="0" fontId="16" fillId="51" borderId="0" xfId="0" applyFont="1" applyFill="1"/>
    <xf numFmtId="165" fontId="16" fillId="51" borderId="5" xfId="319" applyNumberFormat="1" applyFont="1" applyFill="1" applyBorder="1"/>
    <xf numFmtId="165" fontId="16" fillId="51" borderId="0" xfId="319" applyNumberFormat="1" applyFont="1" applyFill="1" applyBorder="1"/>
    <xf numFmtId="165" fontId="16" fillId="51" borderId="15" xfId="319" applyNumberFormat="1" applyFont="1" applyFill="1" applyBorder="1"/>
    <xf numFmtId="165" fontId="16" fillId="51" borderId="7" xfId="319" applyNumberFormat="1" applyFont="1" applyFill="1" applyBorder="1"/>
    <xf numFmtId="0" fontId="10" fillId="0" borderId="0" xfId="768"/>
    <xf numFmtId="0" fontId="8" fillId="0" borderId="0" xfId="768" applyFont="1"/>
    <xf numFmtId="165" fontId="64" fillId="0" borderId="0" xfId="337" applyNumberFormat="1" applyFont="1" applyAlignment="1">
      <alignment horizontal="right"/>
    </xf>
    <xf numFmtId="14" fontId="10" fillId="0" borderId="0" xfId="768" applyNumberFormat="1"/>
    <xf numFmtId="0" fontId="10" fillId="0" borderId="0" xfId="768" applyAlignment="1">
      <alignment horizontal="center"/>
    </xf>
    <xf numFmtId="0" fontId="65" fillId="0" borderId="0" xfId="768" applyFont="1"/>
    <xf numFmtId="0" fontId="16" fillId="0" borderId="0" xfId="768" applyFont="1"/>
    <xf numFmtId="0" fontId="10" fillId="0" borderId="8" xfId="768" applyBorder="1" applyAlignment="1">
      <alignment horizontal="center"/>
    </xf>
    <xf numFmtId="0" fontId="10" fillId="36" borderId="0" xfId="768" applyFill="1" applyAlignment="1">
      <alignment horizontal="center"/>
    </xf>
    <xf numFmtId="0" fontId="10" fillId="0" borderId="0" xfId="768" applyAlignment="1">
      <alignment horizontal="center" wrapText="1"/>
    </xf>
    <xf numFmtId="0" fontId="2" fillId="0" borderId="0" xfId="768" applyFont="1" applyAlignment="1">
      <alignment horizontal="center"/>
    </xf>
    <xf numFmtId="0" fontId="10" fillId="0" borderId="6" xfId="768" applyBorder="1" applyAlignment="1">
      <alignment horizontal="center"/>
    </xf>
    <xf numFmtId="0" fontId="52" fillId="0" borderId="16" xfId="768" applyFont="1" applyBorder="1" applyAlignment="1">
      <alignment horizontal="center" wrapText="1"/>
    </xf>
    <xf numFmtId="0" fontId="10" fillId="37" borderId="6" xfId="768" applyFill="1" applyBorder="1" applyAlignment="1">
      <alignment horizontal="center" wrapText="1"/>
    </xf>
    <xf numFmtId="0" fontId="16" fillId="37" borderId="6" xfId="768" applyFont="1" applyFill="1" applyBorder="1" applyAlignment="1">
      <alignment horizontal="center"/>
    </xf>
    <xf numFmtId="0" fontId="16" fillId="37" borderId="38" xfId="768" applyFont="1" applyFill="1" applyBorder="1" applyAlignment="1">
      <alignment horizontal="center"/>
    </xf>
    <xf numFmtId="0" fontId="10" fillId="0" borderId="54" xfId="768" applyBorder="1" applyAlignment="1">
      <alignment horizontal="center"/>
    </xf>
    <xf numFmtId="0" fontId="52" fillId="0" borderId="55" xfId="768" applyFont="1" applyBorder="1" applyAlignment="1">
      <alignment horizontal="center" wrapText="1"/>
    </xf>
    <xf numFmtId="0" fontId="16" fillId="37" borderId="56" xfId="768" applyFont="1" applyFill="1" applyBorder="1" applyAlignment="1">
      <alignment horizontal="center"/>
    </xf>
    <xf numFmtId="0" fontId="16" fillId="37" borderId="54" xfId="768" applyFont="1" applyFill="1" applyBorder="1" applyAlignment="1">
      <alignment horizontal="center"/>
    </xf>
    <xf numFmtId="0" fontId="16" fillId="37" borderId="57" xfId="768" applyFont="1" applyFill="1" applyBorder="1" applyAlignment="1">
      <alignment horizontal="center"/>
    </xf>
    <xf numFmtId="0" fontId="10" fillId="0" borderId="58" xfId="768" applyBorder="1"/>
    <xf numFmtId="0" fontId="10" fillId="0" borderId="57" xfId="768" applyBorder="1"/>
    <xf numFmtId="0" fontId="16" fillId="37" borderId="58" xfId="768" applyFont="1" applyFill="1" applyBorder="1" applyAlignment="1">
      <alignment horizontal="center"/>
    </xf>
    <xf numFmtId="0" fontId="10" fillId="36" borderId="0" xfId="768" applyFill="1"/>
    <xf numFmtId="3" fontId="10" fillId="0" borderId="0" xfId="768" applyNumberFormat="1"/>
    <xf numFmtId="3" fontId="10" fillId="0" borderId="58" xfId="768" applyNumberFormat="1" applyBorder="1"/>
    <xf numFmtId="3" fontId="10" fillId="0" borderId="57" xfId="768" applyNumberFormat="1" applyBorder="1"/>
    <xf numFmtId="3" fontId="10" fillId="37" borderId="56" xfId="768" applyNumberFormat="1" applyFill="1" applyBorder="1"/>
    <xf numFmtId="3" fontId="10" fillId="37" borderId="58" xfId="768" applyNumberFormat="1" applyFill="1" applyBorder="1"/>
    <xf numFmtId="3" fontId="10" fillId="37" borderId="57" xfId="768" applyNumberFormat="1" applyFill="1" applyBorder="1"/>
    <xf numFmtId="3" fontId="10" fillId="36" borderId="0" xfId="768" applyNumberFormat="1" applyFill="1"/>
    <xf numFmtId="3" fontId="10" fillId="0" borderId="0" xfId="768" applyNumberFormat="1" applyAlignment="1">
      <alignment horizontal="center"/>
    </xf>
    <xf numFmtId="3" fontId="10" fillId="0" borderId="8" xfId="768" applyNumberFormat="1" applyBorder="1"/>
    <xf numFmtId="0" fontId="16" fillId="0" borderId="8" xfId="768" applyFont="1" applyBorder="1"/>
    <xf numFmtId="3" fontId="10" fillId="0" borderId="6" xfId="768" applyNumberFormat="1" applyBorder="1"/>
    <xf numFmtId="3" fontId="10" fillId="0" borderId="38" xfId="768" applyNumberFormat="1" applyBorder="1"/>
    <xf numFmtId="3" fontId="10" fillId="37" borderId="36" xfId="768" applyNumberFormat="1" applyFill="1" applyBorder="1"/>
    <xf numFmtId="3" fontId="10" fillId="37" borderId="6" xfId="768" applyNumberFormat="1" applyFill="1" applyBorder="1"/>
    <xf numFmtId="3" fontId="10" fillId="37" borderId="38" xfId="768" applyNumberFormat="1" applyFill="1" applyBorder="1"/>
    <xf numFmtId="3" fontId="10" fillId="36" borderId="8" xfId="768" applyNumberFormat="1" applyFill="1" applyBorder="1"/>
    <xf numFmtId="0" fontId="10" fillId="37" borderId="56" xfId="768" applyFill="1" applyBorder="1"/>
    <xf numFmtId="0" fontId="10" fillId="37" borderId="58" xfId="768" applyFill="1" applyBorder="1"/>
    <xf numFmtId="0" fontId="10" fillId="37" borderId="57" xfId="768" applyFill="1" applyBorder="1"/>
    <xf numFmtId="0" fontId="10" fillId="0" borderId="0" xfId="768" applyFill="1"/>
    <xf numFmtId="3" fontId="10" fillId="0" borderId="58" xfId="768" applyNumberFormat="1" applyFill="1" applyBorder="1"/>
    <xf numFmtId="3" fontId="10" fillId="0" borderId="57" xfId="768" applyNumberFormat="1" applyFill="1" applyBorder="1"/>
    <xf numFmtId="0" fontId="10" fillId="33" borderId="0" xfId="768" applyFill="1"/>
    <xf numFmtId="3" fontId="10" fillId="36" borderId="58" xfId="768" applyNumberFormat="1" applyFill="1" applyBorder="1"/>
    <xf numFmtId="3" fontId="10" fillId="0" borderId="49" xfId="768" applyNumberFormat="1" applyBorder="1"/>
    <xf numFmtId="0" fontId="10" fillId="0" borderId="49" xfId="768" applyBorder="1" applyAlignment="1">
      <alignment horizontal="center"/>
    </xf>
    <xf numFmtId="0" fontId="16" fillId="0" borderId="49" xfId="768" applyFont="1" applyBorder="1"/>
    <xf numFmtId="3" fontId="10" fillId="0" borderId="24" xfId="768" applyNumberFormat="1" applyBorder="1"/>
    <xf numFmtId="3" fontId="10" fillId="0" borderId="39" xfId="768" applyNumberFormat="1" applyBorder="1"/>
    <xf numFmtId="3" fontId="10" fillId="37" borderId="37" xfId="768" applyNumberFormat="1" applyFill="1" applyBorder="1"/>
    <xf numFmtId="3" fontId="10" fillId="37" borderId="24" xfId="768" applyNumberFormat="1" applyFill="1" applyBorder="1"/>
    <xf numFmtId="3" fontId="10" fillId="37" borderId="39" xfId="768" applyNumberFormat="1" applyFill="1" applyBorder="1"/>
    <xf numFmtId="3" fontId="10" fillId="36" borderId="49" xfId="768" applyNumberFormat="1" applyFill="1" applyBorder="1"/>
    <xf numFmtId="0" fontId="10" fillId="0" borderId="59" xfId="768" applyBorder="1"/>
    <xf numFmtId="0" fontId="10" fillId="0" borderId="60" xfId="768" applyBorder="1"/>
    <xf numFmtId="0" fontId="10" fillId="37" borderId="61" xfId="768" applyFill="1" applyBorder="1"/>
    <xf numFmtId="0" fontId="10" fillId="37" borderId="59" xfId="768" applyFill="1" applyBorder="1"/>
    <xf numFmtId="0" fontId="10" fillId="37" borderId="60" xfId="768" applyFill="1" applyBorder="1"/>
    <xf numFmtId="0" fontId="10" fillId="38" borderId="0" xfId="768" applyFill="1"/>
    <xf numFmtId="0" fontId="16" fillId="51" borderId="53" xfId="0" applyFont="1" applyFill="1" applyBorder="1" applyAlignment="1">
      <alignment textRotation="90"/>
    </xf>
    <xf numFmtId="0" fontId="38" fillId="51" borderId="0" xfId="0" applyFont="1" applyFill="1" applyBorder="1" applyAlignment="1">
      <alignment horizontal="center" wrapText="1"/>
    </xf>
    <xf numFmtId="0" fontId="3" fillId="0" borderId="44" xfId="722" applyFont="1" applyBorder="1" applyAlignment="1"/>
    <xf numFmtId="0" fontId="2" fillId="0" borderId="4" xfId="0" applyNumberFormat="1" applyFont="1" applyBorder="1" applyAlignment="1" applyProtection="1">
      <protection locked="0"/>
    </xf>
    <xf numFmtId="1" fontId="0" fillId="0" borderId="4" xfId="0" applyNumberFormat="1" applyFill="1" applyBorder="1" applyAlignment="1"/>
    <xf numFmtId="1" fontId="0" fillId="51" borderId="4" xfId="0" applyNumberFormat="1" applyFill="1" applyBorder="1" applyAlignment="1"/>
    <xf numFmtId="0" fontId="0" fillId="51" borderId="4" xfId="0" applyNumberFormat="1" applyFill="1" applyBorder="1" applyAlignment="1" applyProtection="1">
      <protection locked="0"/>
    </xf>
    <xf numFmtId="0" fontId="16" fillId="0" borderId="4" xfId="0" applyNumberFormat="1" applyFont="1" applyBorder="1" applyAlignment="1" applyProtection="1">
      <protection locked="0"/>
    </xf>
    <xf numFmtId="1" fontId="16" fillId="0" borderId="4" xfId="0" applyNumberFormat="1" applyFont="1" applyBorder="1" applyAlignment="1"/>
    <xf numFmtId="0" fontId="16" fillId="51" borderId="4" xfId="0" applyNumberFormat="1" applyFont="1" applyFill="1" applyBorder="1" applyAlignment="1" applyProtection="1">
      <protection locked="0"/>
    </xf>
    <xf numFmtId="43" fontId="16" fillId="51" borderId="4" xfId="312" applyFont="1" applyFill="1" applyBorder="1" applyAlignment="1"/>
    <xf numFmtId="2" fontId="0" fillId="51" borderId="4" xfId="0" applyNumberFormat="1" applyFill="1" applyBorder="1" applyAlignment="1"/>
    <xf numFmtId="0" fontId="16" fillId="51" borderId="26" xfId="0" applyFont="1" applyFill="1" applyBorder="1"/>
    <xf numFmtId="165" fontId="16" fillId="51" borderId="62" xfId="312" applyNumberFormat="1" applyFont="1" applyFill="1" applyBorder="1"/>
    <xf numFmtId="165" fontId="16" fillId="51" borderId="63" xfId="312" applyNumberFormat="1" applyFont="1" applyFill="1" applyBorder="1"/>
    <xf numFmtId="0" fontId="0" fillId="0" borderId="64" xfId="0" applyNumberFormat="1" applyBorder="1" applyAlignment="1" applyProtection="1">
      <protection locked="0"/>
    </xf>
    <xf numFmtId="0" fontId="16" fillId="0" borderId="64" xfId="0" applyNumberFormat="1" applyFont="1" applyBorder="1" applyAlignment="1" applyProtection="1">
      <protection locked="0"/>
    </xf>
    <xf numFmtId="0" fontId="25" fillId="25" borderId="65" xfId="0" applyFont="1" applyFill="1" applyBorder="1" applyAlignment="1">
      <alignment horizontal="center" vertical="center" wrapText="1"/>
    </xf>
    <xf numFmtId="1" fontId="0" fillId="0" borderId="66" xfId="0" applyNumberFormat="1" applyBorder="1" applyAlignment="1"/>
    <xf numFmtId="1" fontId="16" fillId="0" borderId="66" xfId="0" applyNumberFormat="1" applyFont="1" applyBorder="1" applyAlignment="1"/>
    <xf numFmtId="0" fontId="25" fillId="51" borderId="62" xfId="0" applyFont="1" applyFill="1" applyBorder="1" applyAlignment="1">
      <alignment horizontal="center" vertical="center" wrapText="1"/>
    </xf>
    <xf numFmtId="0" fontId="16" fillId="51" borderId="67" xfId="0" applyNumberFormat="1" applyFont="1" applyFill="1" applyBorder="1" applyAlignment="1" applyProtection="1">
      <protection locked="0"/>
    </xf>
    <xf numFmtId="0" fontId="16" fillId="51" borderId="62" xfId="0" applyFont="1" applyFill="1" applyBorder="1"/>
    <xf numFmtId="0" fontId="16" fillId="51" borderId="68" xfId="0" applyFont="1" applyFill="1" applyBorder="1" applyAlignment="1">
      <alignment horizontal="center" vertical="center" wrapText="1"/>
    </xf>
    <xf numFmtId="0" fontId="110" fillId="52" borderId="0" xfId="0" applyFont="1" applyFill="1" applyAlignment="1">
      <alignment horizontal="center" vertical="top" wrapText="1"/>
    </xf>
    <xf numFmtId="0" fontId="16" fillId="0" borderId="49" xfId="0" applyFont="1" applyFill="1" applyBorder="1" applyAlignment="1">
      <alignment horizontal="right"/>
    </xf>
    <xf numFmtId="165" fontId="16" fillId="37" borderId="49" xfId="0" applyNumberFormat="1" applyFont="1" applyFill="1" applyBorder="1"/>
    <xf numFmtId="165" fontId="16" fillId="0" borderId="50" xfId="312" applyNumberFormat="1" applyFont="1" applyBorder="1"/>
    <xf numFmtId="0" fontId="0" fillId="0" borderId="69" xfId="0" applyBorder="1"/>
    <xf numFmtId="0" fontId="0" fillId="0" borderId="60" xfId="0" applyBorder="1"/>
    <xf numFmtId="0" fontId="0" fillId="0" borderId="59" xfId="0" applyBorder="1"/>
    <xf numFmtId="0" fontId="0" fillId="0" borderId="70" xfId="0" applyBorder="1"/>
    <xf numFmtId="0" fontId="6" fillId="35" borderId="71" xfId="0" applyFont="1" applyFill="1" applyBorder="1" applyAlignment="1">
      <alignment horizontal="center" vertical="center"/>
    </xf>
    <xf numFmtId="0" fontId="6" fillId="35" borderId="72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67" fillId="0" borderId="0" xfId="722" applyFont="1" applyFill="1" applyBorder="1" applyAlignment="1">
      <alignment horizontal="center" wrapText="1"/>
    </xf>
    <xf numFmtId="14" fontId="67" fillId="0" borderId="0" xfId="722" applyNumberFormat="1" applyFont="1" applyFill="1" applyAlignment="1" applyProtection="1">
      <alignment horizontal="center" wrapText="1"/>
      <protection locked="0"/>
    </xf>
    <xf numFmtId="0" fontId="67" fillId="0" borderId="0" xfId="722" applyFont="1" applyFill="1" applyAlignment="1" applyProtection="1">
      <alignment horizontal="center" wrapText="1"/>
      <protection locked="0"/>
    </xf>
    <xf numFmtId="0" fontId="67" fillId="0" borderId="0" xfId="722" applyFont="1" applyFill="1" applyAlignment="1">
      <alignment horizontal="center" wrapText="1"/>
    </xf>
    <xf numFmtId="180" fontId="67" fillId="0" borderId="0" xfId="312" applyNumberFormat="1" applyFont="1" applyFill="1" applyAlignment="1" applyProtection="1">
      <alignment horizontal="center" wrapText="1"/>
      <protection locked="0"/>
    </xf>
    <xf numFmtId="43" fontId="67" fillId="0" borderId="0" xfId="312" applyFont="1" applyFill="1" applyAlignment="1" applyProtection="1">
      <alignment horizontal="center" wrapText="1"/>
      <protection locked="0"/>
    </xf>
    <xf numFmtId="2" fontId="67" fillId="46" borderId="0" xfId="312" applyNumberFormat="1" applyFont="1" applyFill="1" applyAlignment="1" applyProtection="1">
      <alignment horizontal="center" wrapText="1"/>
      <protection locked="0"/>
    </xf>
    <xf numFmtId="2" fontId="67" fillId="38" borderId="0" xfId="312" applyNumberFormat="1" applyFont="1" applyFill="1" applyAlignment="1" applyProtection="1">
      <alignment horizontal="center" wrapText="1"/>
      <protection locked="0"/>
    </xf>
    <xf numFmtId="181" fontId="67" fillId="47" borderId="0" xfId="312" applyNumberFormat="1" applyFont="1" applyFill="1" applyAlignment="1" applyProtection="1">
      <alignment horizontal="center" wrapText="1"/>
      <protection locked="0"/>
    </xf>
    <xf numFmtId="182" fontId="67" fillId="45" borderId="0" xfId="312" applyNumberFormat="1" applyFont="1" applyFill="1" applyAlignment="1" applyProtection="1">
      <alignment horizontal="center" wrapText="1"/>
      <protection locked="0"/>
    </xf>
    <xf numFmtId="43" fontId="67" fillId="48" borderId="0" xfId="312" applyFont="1" applyFill="1" applyAlignment="1" applyProtection="1">
      <alignment horizontal="center" wrapText="1"/>
      <protection locked="0"/>
    </xf>
    <xf numFmtId="43" fontId="67" fillId="49" borderId="0" xfId="312" applyFont="1" applyFill="1" applyAlignment="1" applyProtection="1">
      <alignment horizontal="center" wrapText="1"/>
      <protection locked="0"/>
    </xf>
    <xf numFmtId="43" fontId="67" fillId="34" borderId="0" xfId="312" applyFont="1" applyFill="1" applyAlignment="1" applyProtection="1">
      <alignment horizontal="center" wrapText="1"/>
      <protection locked="0"/>
    </xf>
    <xf numFmtId="1" fontId="67" fillId="0" borderId="0" xfId="722" applyNumberFormat="1" applyFont="1" applyFill="1" applyAlignment="1" applyProtection="1">
      <alignment horizontal="center" wrapText="1"/>
    </xf>
    <xf numFmtId="0" fontId="67" fillId="0" borderId="0" xfId="722" applyFont="1" applyFill="1" applyAlignment="1" applyProtection="1">
      <alignment horizontal="center" wrapText="1"/>
    </xf>
    <xf numFmtId="43" fontId="67" fillId="0" borderId="0" xfId="312" applyFont="1" applyFill="1" applyAlignment="1">
      <alignment horizontal="center" wrapText="1"/>
    </xf>
    <xf numFmtId="0" fontId="68" fillId="0" borderId="0" xfId="722" applyFont="1" applyFill="1" applyAlignment="1">
      <alignment horizontal="center" wrapText="1"/>
    </xf>
    <xf numFmtId="0" fontId="68" fillId="0" borderId="0" xfId="722" applyFont="1" applyFill="1" applyBorder="1"/>
    <xf numFmtId="14" fontId="68" fillId="0" borderId="0" xfId="722" applyNumberFormat="1" applyFont="1"/>
    <xf numFmtId="0" fontId="68" fillId="0" borderId="0" xfId="722" applyFont="1"/>
    <xf numFmtId="0" fontId="68" fillId="0" borderId="0" xfId="722" applyFont="1" applyFill="1"/>
    <xf numFmtId="180" fontId="68" fillId="0" borderId="0" xfId="312" applyNumberFormat="1" applyFont="1"/>
    <xf numFmtId="43" fontId="68" fillId="0" borderId="0" xfId="312" applyFont="1" applyFill="1"/>
    <xf numFmtId="165" fontId="68" fillId="46" borderId="0" xfId="312" applyNumberFormat="1" applyFont="1" applyFill="1" applyProtection="1">
      <protection locked="0"/>
    </xf>
    <xf numFmtId="165" fontId="68" fillId="38" borderId="0" xfId="312" applyNumberFormat="1" applyFont="1" applyFill="1" applyProtection="1">
      <protection locked="0"/>
    </xf>
    <xf numFmtId="181" fontId="68" fillId="45" borderId="0" xfId="312" applyNumberFormat="1" applyFont="1" applyFill="1" applyProtection="1">
      <protection locked="0"/>
    </xf>
    <xf numFmtId="165" fontId="68" fillId="45" borderId="0" xfId="312" applyNumberFormat="1" applyFont="1" applyFill="1" applyProtection="1">
      <protection locked="0"/>
    </xf>
    <xf numFmtId="43" fontId="68" fillId="48" borderId="0" xfId="312" applyFont="1" applyFill="1" applyProtection="1">
      <protection locked="0"/>
    </xf>
    <xf numFmtId="165" fontId="68" fillId="49" borderId="0" xfId="312" applyNumberFormat="1" applyFont="1" applyFill="1" applyProtection="1">
      <protection locked="0"/>
    </xf>
    <xf numFmtId="165" fontId="68" fillId="34" borderId="0" xfId="312" applyNumberFormat="1" applyFont="1" applyFill="1" applyProtection="1">
      <protection locked="0"/>
    </xf>
    <xf numFmtId="0" fontId="68" fillId="0" borderId="0" xfId="722" applyFont="1" applyFill="1" applyAlignment="1">
      <alignment horizontal="right"/>
    </xf>
    <xf numFmtId="43" fontId="68" fillId="0" borderId="0" xfId="722" applyNumberFormat="1" applyFont="1" applyFill="1"/>
    <xf numFmtId="1" fontId="68" fillId="38" borderId="0" xfId="722" applyNumberFormat="1" applyFont="1" applyFill="1" applyProtection="1"/>
    <xf numFmtId="0" fontId="68" fillId="0" borderId="0" xfId="722" applyFont="1" applyFill="1" applyProtection="1"/>
    <xf numFmtId="43" fontId="68" fillId="0" borderId="0" xfId="312" applyFont="1" applyFill="1" applyAlignment="1" applyProtection="1">
      <alignment horizontal="right"/>
      <protection locked="0"/>
    </xf>
    <xf numFmtId="0" fontId="67" fillId="0" borderId="0" xfId="722" applyFont="1" applyFill="1" applyAlignment="1" applyProtection="1">
      <alignment wrapText="1"/>
      <protection locked="0"/>
    </xf>
    <xf numFmtId="0" fontId="68" fillId="36" borderId="0" xfId="722" applyFont="1" applyFill="1" applyProtection="1"/>
    <xf numFmtId="0" fontId="67" fillId="0" borderId="0" xfId="722" applyFont="1" applyFill="1" applyAlignment="1">
      <alignment wrapText="1"/>
    </xf>
    <xf numFmtId="0" fontId="68" fillId="0" borderId="0" xfId="722" applyFont="1" applyFill="1" applyAlignment="1">
      <alignment wrapText="1"/>
    </xf>
    <xf numFmtId="14" fontId="68" fillId="0" borderId="0" xfId="722" applyNumberFormat="1" applyFont="1" applyFill="1" applyProtection="1">
      <protection locked="0"/>
    </xf>
    <xf numFmtId="183" fontId="68" fillId="45" borderId="0" xfId="312" applyNumberFormat="1" applyFont="1" applyFill="1" applyProtection="1">
      <protection locked="0"/>
    </xf>
    <xf numFmtId="0" fontId="68" fillId="44" borderId="0" xfId="722" applyFont="1" applyFill="1"/>
    <xf numFmtId="43" fontId="68" fillId="44" borderId="0" xfId="722" applyNumberFormat="1" applyFont="1" applyFill="1"/>
    <xf numFmtId="0" fontId="68" fillId="50" borderId="0" xfId="722" applyFont="1" applyFill="1" applyBorder="1"/>
    <xf numFmtId="14" fontId="68" fillId="50" borderId="0" xfId="722" applyNumberFormat="1" applyFont="1" applyFill="1" applyProtection="1">
      <protection locked="0"/>
    </xf>
    <xf numFmtId="0" fontId="68" fillId="50" borderId="0" xfId="722" applyFont="1" applyFill="1"/>
    <xf numFmtId="180" fontId="68" fillId="50" borderId="0" xfId="312" applyNumberFormat="1" applyFont="1" applyFill="1"/>
    <xf numFmtId="43" fontId="68" fillId="50" borderId="0" xfId="312" applyFont="1" applyFill="1"/>
    <xf numFmtId="165" fontId="68" fillId="50" borderId="0" xfId="312" applyNumberFormat="1" applyFont="1" applyFill="1" applyProtection="1">
      <protection locked="0"/>
    </xf>
    <xf numFmtId="181" fontId="68" fillId="50" borderId="0" xfId="312" applyNumberFormat="1" applyFont="1" applyFill="1" applyProtection="1">
      <protection locked="0"/>
    </xf>
    <xf numFmtId="43" fontId="68" fillId="50" borderId="0" xfId="312" applyFont="1" applyFill="1" applyProtection="1">
      <protection locked="0"/>
    </xf>
    <xf numFmtId="0" fontId="68" fillId="50" borderId="0" xfId="722" applyFont="1" applyFill="1" applyAlignment="1">
      <alignment horizontal="right"/>
    </xf>
    <xf numFmtId="43" fontId="68" fillId="50" borderId="0" xfId="722" applyNumberFormat="1" applyFont="1" applyFill="1"/>
    <xf numFmtId="1" fontId="68" fillId="50" borderId="0" xfId="722" applyNumberFormat="1" applyFont="1" applyFill="1" applyProtection="1"/>
    <xf numFmtId="0" fontId="68" fillId="50" borderId="0" xfId="722" applyFont="1" applyFill="1" applyProtection="1"/>
    <xf numFmtId="43" fontId="68" fillId="50" borderId="0" xfId="312" applyFont="1" applyFill="1" applyAlignment="1" applyProtection="1">
      <alignment horizontal="right"/>
      <protection locked="0"/>
    </xf>
    <xf numFmtId="0" fontId="68" fillId="37" borderId="0" xfId="722" applyFont="1" applyFill="1"/>
    <xf numFmtId="14" fontId="68" fillId="37" borderId="0" xfId="722" applyNumberFormat="1" applyFont="1" applyFill="1" applyProtection="1">
      <protection locked="0"/>
    </xf>
    <xf numFmtId="180" fontId="68" fillId="37" borderId="0" xfId="312" applyNumberFormat="1" applyFont="1" applyFill="1"/>
    <xf numFmtId="43" fontId="68" fillId="37" borderId="0" xfId="312" applyFont="1" applyFill="1"/>
    <xf numFmtId="165" fontId="68" fillId="37" borderId="0" xfId="312" applyNumberFormat="1" applyFont="1" applyFill="1" applyProtection="1">
      <protection locked="0"/>
    </xf>
    <xf numFmtId="181" fontId="68" fillId="37" borderId="0" xfId="312" applyNumberFormat="1" applyFont="1" applyFill="1" applyProtection="1">
      <protection locked="0"/>
    </xf>
    <xf numFmtId="43" fontId="68" fillId="37" borderId="0" xfId="312" applyFont="1" applyFill="1" applyProtection="1">
      <protection locked="0"/>
    </xf>
    <xf numFmtId="0" fontId="68" fillId="37" borderId="0" xfId="722" applyFont="1" applyFill="1" applyAlignment="1">
      <alignment horizontal="right"/>
    </xf>
    <xf numFmtId="43" fontId="68" fillId="37" borderId="0" xfId="722" applyNumberFormat="1" applyFont="1" applyFill="1"/>
    <xf numFmtId="1" fontId="68" fillId="37" borderId="0" xfId="722" applyNumberFormat="1" applyFont="1" applyFill="1" applyProtection="1"/>
    <xf numFmtId="43" fontId="68" fillId="37" borderId="0" xfId="722" applyNumberFormat="1" applyFont="1" applyFill="1" applyProtection="1"/>
    <xf numFmtId="0" fontId="68" fillId="37" borderId="0" xfId="722" applyFont="1" applyFill="1" applyProtection="1"/>
    <xf numFmtId="43" fontId="68" fillId="37" borderId="0" xfId="312" applyFont="1" applyFill="1" applyAlignment="1" applyProtection="1">
      <alignment horizontal="right"/>
      <protection locked="0"/>
    </xf>
    <xf numFmtId="184" fontId="68" fillId="37" borderId="0" xfId="312" applyNumberFormat="1" applyFont="1" applyFill="1" applyAlignment="1" applyProtection="1">
      <alignment horizontal="right"/>
      <protection locked="0"/>
    </xf>
    <xf numFmtId="14" fontId="68" fillId="37" borderId="0" xfId="722" applyNumberFormat="1" applyFont="1" applyFill="1"/>
    <xf numFmtId="181" fontId="68" fillId="0" borderId="0" xfId="722" applyNumberFormat="1" applyFont="1" applyFill="1"/>
    <xf numFmtId="182" fontId="68" fillId="0" borderId="0" xfId="722" applyNumberFormat="1" applyFont="1" applyFill="1"/>
    <xf numFmtId="14" fontId="68" fillId="0" borderId="0" xfId="722" applyNumberFormat="1" applyFont="1" applyFill="1"/>
    <xf numFmtId="165" fontId="68" fillId="0" borderId="0" xfId="722" applyNumberFormat="1" applyFont="1" applyFill="1"/>
    <xf numFmtId="0" fontId="68" fillId="46" borderId="0" xfId="722" applyFont="1" applyFill="1"/>
    <xf numFmtId="0" fontId="68" fillId="38" borderId="0" xfId="722" applyFont="1" applyFill="1"/>
    <xf numFmtId="181" fontId="68" fillId="45" borderId="0" xfId="722" applyNumberFormat="1" applyFont="1" applyFill="1"/>
    <xf numFmtId="182" fontId="68" fillId="45" borderId="0" xfId="722" applyNumberFormat="1" applyFont="1" applyFill="1"/>
    <xf numFmtId="0" fontId="68" fillId="48" borderId="0" xfId="722" applyFont="1" applyFill="1"/>
    <xf numFmtId="0" fontId="68" fillId="49" borderId="0" xfId="722" applyFont="1" applyFill="1"/>
    <xf numFmtId="0" fontId="68" fillId="34" borderId="0" xfId="722" applyFont="1" applyFill="1"/>
    <xf numFmtId="0" fontId="105" fillId="0" borderId="0" xfId="599"/>
    <xf numFmtId="0" fontId="111" fillId="0" borderId="0" xfId="599" applyFont="1" applyAlignment="1">
      <alignment horizontal="center"/>
    </xf>
    <xf numFmtId="0" fontId="105" fillId="51" borderId="0" xfId="599" applyFill="1"/>
    <xf numFmtId="0" fontId="105" fillId="0" borderId="0" xfId="599" applyNumberFormat="1"/>
    <xf numFmtId="0" fontId="105" fillId="51" borderId="0" xfId="599" applyNumberFormat="1" applyFill="1"/>
    <xf numFmtId="0" fontId="112" fillId="0" borderId="0" xfId="599" applyFont="1"/>
    <xf numFmtId="0" fontId="6" fillId="35" borderId="73" xfId="0" applyFont="1" applyFill="1" applyBorder="1" applyAlignment="1">
      <alignment horizontal="center" vertical="center" wrapText="1"/>
    </xf>
    <xf numFmtId="0" fontId="105" fillId="0" borderId="0" xfId="790"/>
    <xf numFmtId="0" fontId="105" fillId="0" borderId="0" xfId="790" applyAlignment="1">
      <alignment horizontal="center"/>
    </xf>
    <xf numFmtId="0" fontId="105" fillId="0" borderId="0" xfId="790" applyAlignment="1">
      <alignment horizontal="right"/>
    </xf>
    <xf numFmtId="0" fontId="105" fillId="53" borderId="5" xfId="790" applyFill="1" applyBorder="1"/>
    <xf numFmtId="0" fontId="105" fillId="53" borderId="5" xfId="790" applyFill="1" applyBorder="1" applyAlignment="1">
      <alignment horizontal="center"/>
    </xf>
    <xf numFmtId="0" fontId="105" fillId="53" borderId="5" xfId="790" applyFill="1" applyBorder="1" applyAlignment="1">
      <alignment horizontal="right"/>
    </xf>
    <xf numFmtId="0" fontId="105" fillId="53" borderId="47" xfId="790" applyFill="1" applyBorder="1" applyAlignment="1">
      <alignment horizontal="center"/>
    </xf>
    <xf numFmtId="0" fontId="105" fillId="53" borderId="0" xfId="790" applyFill="1" applyBorder="1"/>
    <xf numFmtId="0" fontId="105" fillId="53" borderId="30" xfId="790" applyFill="1" applyBorder="1" applyAlignment="1">
      <alignment horizontal="center"/>
    </xf>
    <xf numFmtId="0" fontId="105" fillId="53" borderId="0" xfId="790" applyFill="1" applyBorder="1" applyAlignment="1">
      <alignment horizontal="center"/>
    </xf>
    <xf numFmtId="0" fontId="105" fillId="53" borderId="0" xfId="790" applyFill="1" applyBorder="1" applyAlignment="1">
      <alignment horizontal="right"/>
    </xf>
    <xf numFmtId="0" fontId="113" fillId="0" borderId="0" xfId="790" applyFont="1" applyFill="1" applyBorder="1" applyAlignment="1">
      <alignment horizontal="center" vertical="center"/>
    </xf>
    <xf numFmtId="0" fontId="105" fillId="53" borderId="15" xfId="790" applyFill="1" applyBorder="1"/>
    <xf numFmtId="0" fontId="105" fillId="53" borderId="15" xfId="790" applyFill="1" applyBorder="1" applyAlignment="1">
      <alignment horizontal="center"/>
    </xf>
    <xf numFmtId="0" fontId="105" fillId="53" borderId="15" xfId="790" applyFill="1" applyBorder="1" applyAlignment="1">
      <alignment horizontal="right"/>
    </xf>
    <xf numFmtId="0" fontId="105" fillId="53" borderId="28" xfId="790" applyFill="1" applyBorder="1" applyAlignment="1">
      <alignment horizontal="center"/>
    </xf>
    <xf numFmtId="0" fontId="112" fillId="0" borderId="0" xfId="790" applyFont="1" applyBorder="1" applyAlignment="1">
      <alignment horizontal="center" wrapText="1"/>
    </xf>
    <xf numFmtId="0" fontId="105" fillId="0" borderId="0" xfId="790" applyProtection="1">
      <protection locked="0"/>
    </xf>
    <xf numFmtId="165" fontId="105" fillId="0" borderId="0" xfId="342" applyNumberFormat="1" applyFont="1" applyProtection="1">
      <protection locked="0"/>
    </xf>
    <xf numFmtId="0" fontId="105" fillId="0" borderId="0" xfId="790" applyProtection="1"/>
    <xf numFmtId="0" fontId="105" fillId="0" borderId="0" xfId="790" applyAlignment="1" applyProtection="1">
      <alignment horizontal="center"/>
      <protection locked="0"/>
    </xf>
    <xf numFmtId="165" fontId="105" fillId="0" borderId="0" xfId="790" applyNumberFormat="1" applyAlignment="1" applyProtection="1">
      <alignment horizontal="center"/>
      <protection locked="0"/>
    </xf>
    <xf numFmtId="165" fontId="105" fillId="0" borderId="0" xfId="790" applyNumberFormat="1" applyProtection="1">
      <protection locked="0"/>
    </xf>
    <xf numFmtId="165" fontId="105" fillId="0" borderId="0" xfId="790" applyNumberFormat="1"/>
    <xf numFmtId="165" fontId="112" fillId="0" borderId="0" xfId="790" applyNumberFormat="1" applyFont="1" applyProtection="1">
      <protection locked="0"/>
    </xf>
    <xf numFmtId="0" fontId="10" fillId="0" borderId="0" xfId="714" applyFont="1"/>
    <xf numFmtId="0" fontId="10" fillId="0" borderId="0" xfId="714" applyFont="1" applyBorder="1"/>
    <xf numFmtId="0" fontId="105" fillId="54" borderId="0" xfId="790" applyFill="1" applyProtection="1">
      <protection locked="0"/>
    </xf>
    <xf numFmtId="0" fontId="102" fillId="0" borderId="0" xfId="714" applyFont="1" applyFill="1"/>
    <xf numFmtId="0" fontId="10" fillId="43" borderId="0" xfId="714" applyFont="1" applyFill="1"/>
    <xf numFmtId="0" fontId="10" fillId="0" borderId="0" xfId="714" applyFont="1" applyFill="1"/>
    <xf numFmtId="0" fontId="102" fillId="0" borderId="0" xfId="714"/>
    <xf numFmtId="0" fontId="102" fillId="43" borderId="0" xfId="714" applyFill="1"/>
    <xf numFmtId="0" fontId="102" fillId="0" borderId="0" xfId="714" applyFill="1"/>
    <xf numFmtId="0" fontId="102" fillId="0" borderId="0" xfId="714" applyFont="1"/>
    <xf numFmtId="165" fontId="102" fillId="0" borderId="0" xfId="316" applyNumberFormat="1" applyFont="1"/>
    <xf numFmtId="0" fontId="10" fillId="0" borderId="0" xfId="587" applyFont="1"/>
    <xf numFmtId="0" fontId="10" fillId="0" borderId="0" xfId="587" applyAlignment="1">
      <alignment horizontal="center"/>
    </xf>
    <xf numFmtId="165" fontId="105" fillId="0" borderId="0" xfId="342" applyNumberFormat="1" applyFont="1"/>
    <xf numFmtId="165" fontId="25" fillId="25" borderId="33" xfId="312" applyNumberFormat="1" applyFont="1" applyFill="1" applyBorder="1" applyAlignment="1">
      <alignment horizontal="center" vertical="center" wrapText="1"/>
    </xf>
    <xf numFmtId="165" fontId="0" fillId="0" borderId="4" xfId="312" applyNumberFormat="1" applyFont="1" applyBorder="1" applyAlignment="1" applyProtection="1">
      <protection locked="0"/>
    </xf>
    <xf numFmtId="165" fontId="0" fillId="0" borderId="4" xfId="0" applyNumberFormat="1" applyBorder="1" applyAlignment="1" applyProtection="1">
      <protection locked="0"/>
    </xf>
    <xf numFmtId="4" fontId="0" fillId="0" borderId="4" xfId="0" applyNumberFormat="1" applyBorder="1" applyAlignment="1" applyProtection="1">
      <protection locked="0"/>
    </xf>
    <xf numFmtId="3" fontId="0" fillId="51" borderId="4" xfId="0" applyNumberFormat="1" applyFill="1" applyBorder="1" applyAlignment="1" applyProtection="1">
      <protection locked="0"/>
    </xf>
    <xf numFmtId="3" fontId="0" fillId="0" borderId="4" xfId="0" applyNumberFormat="1" applyBorder="1" applyAlignment="1" applyProtection="1">
      <protection locked="0"/>
    </xf>
    <xf numFmtId="0" fontId="105" fillId="0" borderId="0" xfId="599" applyAlignment="1">
      <alignment wrapText="1"/>
    </xf>
    <xf numFmtId="0" fontId="105" fillId="55" borderId="0" xfId="599" applyNumberFormat="1" applyFill="1"/>
    <xf numFmtId="0" fontId="105" fillId="56" borderId="0" xfId="599" applyFill="1" applyAlignment="1">
      <alignment horizontal="left"/>
    </xf>
    <xf numFmtId="0" fontId="105" fillId="56" borderId="0" xfId="599" applyFill="1"/>
    <xf numFmtId="2" fontId="67" fillId="0" borderId="0" xfId="312" applyNumberFormat="1" applyFont="1" applyFill="1" applyAlignment="1" applyProtection="1">
      <alignment horizontal="center" wrapText="1"/>
      <protection locked="0"/>
    </xf>
    <xf numFmtId="165" fontId="68" fillId="0" borderId="0" xfId="312" applyNumberFormat="1" applyFont="1" applyFill="1" applyProtection="1">
      <protection locked="0"/>
    </xf>
    <xf numFmtId="0" fontId="0" fillId="0" borderId="0" xfId="0" applyAlignment="1">
      <alignment wrapText="1"/>
    </xf>
    <xf numFmtId="0" fontId="0" fillId="51" borderId="0" xfId="0" applyFill="1"/>
    <xf numFmtId="0" fontId="0" fillId="51" borderId="0" xfId="0" applyFill="1" applyAlignment="1">
      <alignment wrapText="1"/>
    </xf>
    <xf numFmtId="0" fontId="28" fillId="0" borderId="0" xfId="0" applyFont="1" applyFill="1"/>
    <xf numFmtId="0" fontId="28" fillId="0" borderId="0" xfId="312" applyNumberFormat="1" applyFont="1" applyFill="1" applyBorder="1" applyAlignment="1">
      <alignment horizontal="center" wrapText="1"/>
    </xf>
    <xf numFmtId="0" fontId="16" fillId="51" borderId="0" xfId="0" applyFont="1" applyFill="1" applyAlignment="1">
      <alignment horizontal="center"/>
    </xf>
    <xf numFmtId="166" fontId="6" fillId="0" borderId="26" xfId="0" applyNumberFormat="1" applyFont="1" applyBorder="1" applyAlignment="1">
      <alignment horizontal="center" wrapText="1"/>
    </xf>
    <xf numFmtId="0" fontId="1" fillId="0" borderId="0" xfId="0" applyFont="1" applyFill="1"/>
    <xf numFmtId="0" fontId="1" fillId="0" borderId="0" xfId="312" applyNumberFormat="1" applyFont="1" applyFill="1" applyBorder="1" applyAlignment="1">
      <alignment horizontal="center" wrapText="1"/>
    </xf>
    <xf numFmtId="165" fontId="1" fillId="0" borderId="0" xfId="312" applyNumberFormat="1" applyFont="1" applyFill="1"/>
    <xf numFmtId="1" fontId="1" fillId="0" borderId="0" xfId="0" applyNumberFormat="1" applyFont="1" applyFill="1"/>
    <xf numFmtId="166" fontId="21" fillId="0" borderId="30" xfId="0" applyNumberFormat="1" applyFont="1" applyFill="1" applyBorder="1"/>
    <xf numFmtId="167" fontId="22" fillId="0" borderId="29" xfId="927" applyNumberFormat="1" applyFont="1" applyFill="1" applyBorder="1"/>
    <xf numFmtId="166" fontId="22" fillId="0" borderId="30" xfId="0" applyNumberFormat="1" applyFont="1" applyFill="1" applyBorder="1"/>
    <xf numFmtId="166" fontId="21" fillId="0" borderId="0" xfId="0" applyNumberFormat="1" applyFont="1" applyFill="1" applyBorder="1"/>
    <xf numFmtId="167" fontId="22" fillId="0" borderId="0" xfId="927" applyNumberFormat="1" applyFont="1" applyFill="1" applyBorder="1"/>
    <xf numFmtId="167" fontId="23" fillId="0" borderId="29" xfId="927" applyNumberFormat="1" applyFont="1" applyFill="1" applyBorder="1"/>
    <xf numFmtId="166" fontId="23" fillId="0" borderId="30" xfId="0" applyNumberFormat="1" applyFont="1" applyFill="1" applyBorder="1"/>
    <xf numFmtId="3" fontId="17" fillId="0" borderId="0" xfId="0" applyNumberFormat="1" applyFont="1" applyFill="1" applyBorder="1" applyAlignment="1" applyProtection="1">
      <alignment horizontal="right" wrapText="1"/>
    </xf>
    <xf numFmtId="0" fontId="27" fillId="0" borderId="0" xfId="0" applyFont="1" applyFill="1"/>
    <xf numFmtId="0" fontId="27" fillId="0" borderId="0" xfId="312" applyNumberFormat="1" applyFont="1" applyFill="1" applyBorder="1" applyAlignment="1">
      <alignment horizontal="center" wrapText="1"/>
    </xf>
    <xf numFmtId="0" fontId="16" fillId="0" borderId="4" xfId="0" applyNumberFormat="1" applyFont="1" applyFill="1" applyBorder="1" applyAlignment="1" applyProtection="1">
      <protection locked="0"/>
    </xf>
    <xf numFmtId="0" fontId="0" fillId="0" borderId="0" xfId="0" applyFill="1" applyAlignment="1">
      <alignment horizontal="center"/>
    </xf>
    <xf numFmtId="40" fontId="0" fillId="0" borderId="0" xfId="0" applyNumberFormat="1" applyFill="1"/>
    <xf numFmtId="3" fontId="2" fillId="0" borderId="0" xfId="0" applyNumberFormat="1" applyFont="1" applyBorder="1" applyAlignment="1" applyProtection="1">
      <alignment horizontal="right" wrapText="1"/>
    </xf>
    <xf numFmtId="206" fontId="1" fillId="0" borderId="0" xfId="312" applyNumberFormat="1" applyFont="1"/>
    <xf numFmtId="206" fontId="1" fillId="0" borderId="0" xfId="0" applyNumberFormat="1" applyFont="1"/>
    <xf numFmtId="206" fontId="1" fillId="0" borderId="0" xfId="312" applyNumberFormat="1" applyFont="1" applyFill="1"/>
    <xf numFmtId="206" fontId="1" fillId="0" borderId="0" xfId="0" applyNumberFormat="1" applyFont="1" applyFill="1"/>
    <xf numFmtId="206" fontId="16" fillId="0" borderId="49" xfId="312" applyNumberFormat="1" applyFont="1" applyBorder="1"/>
    <xf numFmtId="206" fontId="27" fillId="0" borderId="0" xfId="0" applyNumberFormat="1" applyFont="1"/>
    <xf numFmtId="206" fontId="28" fillId="0" borderId="0" xfId="0" applyNumberFormat="1" applyFont="1"/>
    <xf numFmtId="206" fontId="28" fillId="0" borderId="0" xfId="0" applyNumberFormat="1" applyFont="1" applyFill="1"/>
    <xf numFmtId="206" fontId="27" fillId="0" borderId="0" xfId="0" applyNumberFormat="1" applyFont="1" applyFill="1"/>
    <xf numFmtId="206" fontId="0" fillId="0" borderId="0" xfId="0" applyNumberFormat="1"/>
    <xf numFmtId="206" fontId="0" fillId="37" borderId="0" xfId="0" applyNumberFormat="1" applyFill="1"/>
    <xf numFmtId="0" fontId="1" fillId="0" borderId="0" xfId="0" applyFont="1" applyFill="1" applyAlignment="1">
      <alignment vertical="center" wrapText="1" shrinkToFit="1"/>
    </xf>
    <xf numFmtId="0" fontId="27" fillId="0" borderId="0" xfId="0" applyFont="1" applyFill="1" applyAlignment="1">
      <alignment vertical="center" wrapText="1" shrinkToFit="1"/>
    </xf>
    <xf numFmtId="0" fontId="27" fillId="0" borderId="0" xfId="0" applyFont="1" applyFill="1" applyBorder="1"/>
    <xf numFmtId="0" fontId="2" fillId="0" borderId="0" xfId="0" applyFont="1" applyFill="1"/>
    <xf numFmtId="0" fontId="2" fillId="0" borderId="4" xfId="0" applyNumberFormat="1" applyFont="1" applyFill="1" applyBorder="1" applyAlignment="1" applyProtection="1">
      <protection locked="0"/>
    </xf>
    <xf numFmtId="0" fontId="28" fillId="0" borderId="0" xfId="0" applyFont="1" applyFill="1" applyProtection="1"/>
    <xf numFmtId="0" fontId="16" fillId="0" borderId="0" xfId="0" applyFont="1"/>
    <xf numFmtId="0" fontId="116" fillId="57" borderId="6" xfId="0" applyFont="1" applyFill="1" applyBorder="1" applyAlignment="1">
      <alignment vertical="center" wrapText="1" shrinkToFit="1"/>
    </xf>
    <xf numFmtId="0" fontId="116" fillId="57" borderId="6" xfId="0" applyFont="1" applyFill="1" applyBorder="1" applyAlignment="1">
      <alignment horizontal="center" vertical="center" wrapText="1" shrinkToFit="1"/>
    </xf>
    <xf numFmtId="0" fontId="6" fillId="56" borderId="0" xfId="0" applyFont="1" applyFill="1" applyAlignment="1">
      <alignment horizontal="center" vertical="center" wrapText="1" shrinkToFit="1"/>
    </xf>
    <xf numFmtId="0" fontId="5" fillId="0" borderId="0" xfId="0" applyFont="1" applyAlignment="1">
      <alignment horizontal="center"/>
    </xf>
    <xf numFmtId="0" fontId="5" fillId="0" borderId="74" xfId="0" applyFont="1" applyBorder="1" applyAlignment="1">
      <alignment horizontal="center"/>
    </xf>
    <xf numFmtId="0" fontId="6" fillId="36" borderId="75" xfId="0" applyFont="1" applyFill="1" applyBorder="1" applyAlignment="1">
      <alignment horizontal="center"/>
    </xf>
    <xf numFmtId="0" fontId="6" fillId="36" borderId="76" xfId="0" applyFont="1" applyFill="1" applyBorder="1" applyAlignment="1">
      <alignment horizontal="center"/>
    </xf>
    <xf numFmtId="0" fontId="6" fillId="36" borderId="77" xfId="0" applyFont="1" applyFill="1" applyBorder="1" applyAlignment="1">
      <alignment horizontal="center"/>
    </xf>
    <xf numFmtId="0" fontId="25" fillId="25" borderId="78" xfId="0" applyFont="1" applyFill="1" applyBorder="1" applyAlignment="1">
      <alignment horizontal="center" vertical="center" wrapText="1"/>
    </xf>
    <xf numFmtId="0" fontId="25" fillId="25" borderId="79" xfId="0" applyFont="1" applyFill="1" applyBorder="1" applyAlignment="1">
      <alignment horizontal="center" vertical="center" wrapText="1"/>
    </xf>
    <xf numFmtId="0" fontId="25" fillId="25" borderId="87" xfId="0" applyFont="1" applyFill="1" applyBorder="1" applyAlignment="1">
      <alignment horizontal="center" vertical="center" wrapText="1"/>
    </xf>
    <xf numFmtId="0" fontId="25" fillId="25" borderId="88" xfId="0" applyFont="1" applyFill="1" applyBorder="1" applyAlignment="1">
      <alignment horizontal="center" vertical="center" wrapText="1"/>
    </xf>
    <xf numFmtId="0" fontId="0" fillId="0" borderId="89" xfId="0" applyBorder="1" applyAlignment="1">
      <alignment wrapText="1"/>
    </xf>
    <xf numFmtId="0" fontId="25" fillId="25" borderId="90" xfId="0" applyFont="1" applyFill="1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25" fillId="25" borderId="80" xfId="0" applyFont="1" applyFill="1" applyBorder="1" applyAlignment="1">
      <alignment horizontal="center" vertical="center" wrapText="1"/>
    </xf>
    <xf numFmtId="0" fontId="25" fillId="25" borderId="81" xfId="0" applyFont="1" applyFill="1" applyBorder="1" applyAlignment="1">
      <alignment horizontal="center" vertical="center" wrapText="1"/>
    </xf>
    <xf numFmtId="0" fontId="18" fillId="0" borderId="3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8" fillId="0" borderId="34" xfId="0" applyFont="1" applyBorder="1" applyAlignment="1">
      <alignment horizontal="center" wrapText="1"/>
    </xf>
    <xf numFmtId="0" fontId="18" fillId="0" borderId="47" xfId="0" applyFont="1" applyBorder="1" applyAlignment="1">
      <alignment horizontal="center" wrapText="1"/>
    </xf>
    <xf numFmtId="0" fontId="18" fillId="0" borderId="5" xfId="0" applyFont="1" applyBorder="1" applyAlignment="1">
      <alignment horizontal="center" wrapText="1"/>
    </xf>
    <xf numFmtId="0" fontId="112" fillId="0" borderId="36" xfId="790" applyFont="1" applyBorder="1" applyAlignment="1">
      <alignment horizontal="center" wrapText="1"/>
    </xf>
    <xf numFmtId="0" fontId="112" fillId="0" borderId="8" xfId="790" applyFont="1" applyBorder="1" applyAlignment="1">
      <alignment horizontal="center" wrapText="1"/>
    </xf>
    <xf numFmtId="0" fontId="112" fillId="0" borderId="38" xfId="790" applyFont="1" applyBorder="1" applyAlignment="1">
      <alignment horizontal="center" wrapText="1"/>
    </xf>
    <xf numFmtId="0" fontId="114" fillId="0" borderId="48" xfId="790" applyFont="1" applyFill="1" applyBorder="1" applyAlignment="1">
      <alignment horizontal="center"/>
    </xf>
    <xf numFmtId="0" fontId="114" fillId="0" borderId="7" xfId="790" applyFont="1" applyFill="1" applyBorder="1" applyAlignment="1">
      <alignment horizontal="center"/>
    </xf>
    <xf numFmtId="0" fontId="114" fillId="0" borderId="82" xfId="790" applyFont="1" applyFill="1" applyBorder="1" applyAlignment="1">
      <alignment horizontal="center"/>
    </xf>
    <xf numFmtId="0" fontId="115" fillId="53" borderId="0" xfId="790" applyFont="1" applyFill="1" applyBorder="1" applyAlignment="1">
      <alignment horizontal="right" vertical="center"/>
    </xf>
    <xf numFmtId="200" fontId="105" fillId="0" borderId="36" xfId="790" applyNumberFormat="1" applyFill="1" applyBorder="1" applyAlignment="1">
      <alignment horizontal="left" vertical="center"/>
    </xf>
    <xf numFmtId="200" fontId="105" fillId="0" borderId="38" xfId="790" applyNumberFormat="1" applyFill="1" applyBorder="1" applyAlignment="1">
      <alignment horizontal="left" vertical="center"/>
    </xf>
    <xf numFmtId="0" fontId="113" fillId="0" borderId="83" xfId="790" applyFont="1" applyFill="1" applyBorder="1" applyAlignment="1">
      <alignment horizontal="center" vertical="center"/>
    </xf>
    <xf numFmtId="0" fontId="113" fillId="0" borderId="84" xfId="790" applyFont="1" applyFill="1" applyBorder="1" applyAlignment="1">
      <alignment horizontal="center" vertical="center"/>
    </xf>
    <xf numFmtId="0" fontId="113" fillId="0" borderId="55" xfId="790" applyFont="1" applyFill="1" applyBorder="1" applyAlignment="1">
      <alignment horizontal="center" vertical="center"/>
    </xf>
    <xf numFmtId="0" fontId="113" fillId="0" borderId="61" xfId="790" applyFont="1" applyFill="1" applyBorder="1" applyAlignment="1">
      <alignment horizontal="center" vertical="center"/>
    </xf>
    <xf numFmtId="0" fontId="113" fillId="0" borderId="16" xfId="790" applyFont="1" applyFill="1" applyBorder="1" applyAlignment="1">
      <alignment horizontal="center" vertical="center"/>
    </xf>
    <xf numFmtId="0" fontId="113" fillId="0" borderId="60" xfId="790" applyFont="1" applyFill="1" applyBorder="1" applyAlignment="1">
      <alignment horizontal="center" vertical="center"/>
    </xf>
    <xf numFmtId="0" fontId="106" fillId="53" borderId="0" xfId="476" applyFill="1" applyBorder="1" applyAlignment="1">
      <alignment horizontal="center" vertical="center"/>
    </xf>
    <xf numFmtId="201" fontId="105" fillId="0" borderId="36" xfId="790" applyNumberFormat="1" applyFill="1" applyBorder="1" applyAlignment="1">
      <alignment horizontal="left" vertical="center"/>
    </xf>
    <xf numFmtId="201" fontId="105" fillId="0" borderId="38" xfId="790" applyNumberFormat="1" applyFill="1" applyBorder="1" applyAlignment="1">
      <alignment horizontal="left" vertical="center"/>
    </xf>
    <xf numFmtId="0" fontId="25" fillId="25" borderId="85" xfId="0" applyFont="1" applyFill="1" applyBorder="1" applyAlignment="1">
      <alignment horizontal="center" vertical="center" wrapText="1"/>
    </xf>
    <xf numFmtId="0" fontId="25" fillId="25" borderId="33" xfId="0" applyFont="1" applyFill="1" applyBorder="1" applyAlignment="1">
      <alignment horizontal="center" vertical="center" wrapText="1"/>
    </xf>
    <xf numFmtId="0" fontId="2" fillId="0" borderId="45" xfId="722" applyBorder="1" applyAlignment="1">
      <alignment horizontal="center"/>
    </xf>
    <xf numFmtId="0" fontId="2" fillId="0" borderId="8" xfId="722" applyBorder="1" applyAlignment="1">
      <alignment horizontal="center"/>
    </xf>
    <xf numFmtId="0" fontId="2" fillId="0" borderId="86" xfId="722" applyBorder="1" applyAlignment="1">
      <alignment horizontal="center"/>
    </xf>
    <xf numFmtId="165" fontId="0" fillId="0" borderId="45" xfId="312" applyNumberFormat="1" applyFont="1" applyBorder="1" applyAlignment="1">
      <alignment horizontal="center"/>
    </xf>
    <xf numFmtId="165" fontId="0" fillId="0" borderId="8" xfId="312" applyNumberFormat="1" applyFont="1" applyBorder="1" applyAlignment="1">
      <alignment horizontal="center"/>
    </xf>
    <xf numFmtId="165" fontId="0" fillId="0" borderId="86" xfId="312" applyNumberFormat="1" applyFont="1" applyBorder="1" applyAlignment="1">
      <alignment horizontal="center"/>
    </xf>
    <xf numFmtId="0" fontId="2" fillId="33" borderId="45" xfId="722" applyFill="1" applyBorder="1" applyAlignment="1">
      <alignment horizontal="center"/>
    </xf>
    <xf numFmtId="0" fontId="2" fillId="33" borderId="8" xfId="722" applyFill="1" applyBorder="1" applyAlignment="1">
      <alignment horizontal="center"/>
    </xf>
    <xf numFmtId="0" fontId="2" fillId="33" borderId="86" xfId="722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86" xfId="0" applyFill="1" applyBorder="1" applyAlignment="1">
      <alignment horizontal="center"/>
    </xf>
    <xf numFmtId="165" fontId="0" fillId="0" borderId="45" xfId="319" applyNumberFormat="1" applyFont="1" applyFill="1" applyBorder="1" applyAlignment="1">
      <alignment horizontal="center"/>
    </xf>
    <xf numFmtId="165" fontId="0" fillId="0" borderId="8" xfId="319" applyNumberFormat="1" applyFont="1" applyFill="1" applyBorder="1" applyAlignment="1">
      <alignment horizontal="center"/>
    </xf>
    <xf numFmtId="165" fontId="0" fillId="0" borderId="86" xfId="319" applyNumberFormat="1" applyFont="1" applyFill="1" applyBorder="1" applyAlignment="1">
      <alignment horizontal="center"/>
    </xf>
    <xf numFmtId="0" fontId="10" fillId="0" borderId="36" xfId="768" applyBorder="1" applyAlignment="1">
      <alignment horizontal="center"/>
    </xf>
    <xf numFmtId="0" fontId="10" fillId="0" borderId="8" xfId="768" applyBorder="1" applyAlignment="1">
      <alignment horizontal="center"/>
    </xf>
    <xf numFmtId="0" fontId="10" fillId="0" borderId="38" xfId="768" applyBorder="1" applyAlignment="1">
      <alignment horizontal="center"/>
    </xf>
    <xf numFmtId="0" fontId="10" fillId="0" borderId="0" xfId="768" applyAlignment="1">
      <alignment horizontal="center"/>
    </xf>
    <xf numFmtId="0" fontId="0" fillId="58" borderId="0" xfId="0" applyFill="1"/>
    <xf numFmtId="0" fontId="117" fillId="59" borderId="92" xfId="0" applyFont="1" applyFill="1" applyBorder="1" applyAlignment="1">
      <alignment horizontal="center" vertical="center"/>
    </xf>
    <xf numFmtId="0" fontId="117" fillId="59" borderId="93" xfId="0" applyFont="1" applyFill="1" applyBorder="1" applyAlignment="1">
      <alignment horizontal="center" vertical="center"/>
    </xf>
    <xf numFmtId="0" fontId="117" fillId="59" borderId="94" xfId="0" applyFont="1" applyFill="1" applyBorder="1" applyAlignment="1">
      <alignment horizontal="center" vertical="center"/>
    </xf>
    <xf numFmtId="0" fontId="117" fillId="59" borderId="95" xfId="0" applyFont="1" applyFill="1" applyBorder="1" applyAlignment="1">
      <alignment horizontal="center" vertical="center"/>
    </xf>
    <xf numFmtId="0" fontId="117" fillId="59" borderId="96" xfId="0" applyFont="1" applyFill="1" applyBorder="1" applyAlignment="1">
      <alignment horizontal="center" vertical="center"/>
    </xf>
    <xf numFmtId="0" fontId="117" fillId="59" borderId="97" xfId="0" applyFont="1" applyFill="1" applyBorder="1" applyAlignment="1">
      <alignment horizontal="center" vertical="center"/>
    </xf>
    <xf numFmtId="0" fontId="0" fillId="0" borderId="98" xfId="0" applyBorder="1" applyAlignment="1">
      <alignment horizontal="left" vertical="top" wrapText="1"/>
    </xf>
    <xf numFmtId="0" fontId="0" fillId="0" borderId="99" xfId="0" applyBorder="1" applyAlignment="1">
      <alignment horizontal="left" vertical="top" wrapText="1"/>
    </xf>
    <xf numFmtId="0" fontId="112" fillId="60" borderId="6" xfId="0" applyFont="1" applyFill="1" applyBorder="1"/>
    <xf numFmtId="0" fontId="112" fillId="51" borderId="6" xfId="0" applyFont="1" applyFill="1" applyBorder="1"/>
    <xf numFmtId="0" fontId="112" fillId="61" borderId="6" xfId="0" applyFont="1" applyFill="1" applyBorder="1"/>
    <xf numFmtId="0" fontId="112" fillId="62" borderId="6" xfId="0" applyFont="1" applyFill="1" applyBorder="1"/>
    <xf numFmtId="0" fontId="0" fillId="63" borderId="0" xfId="0" applyFill="1"/>
    <xf numFmtId="17" fontId="0" fillId="0" borderId="0" xfId="0" applyNumberFormat="1"/>
    <xf numFmtId="17" fontId="0" fillId="64" borderId="0" xfId="0" quotePrefix="1" applyNumberFormat="1" applyFill="1"/>
    <xf numFmtId="0" fontId="118" fillId="0" borderId="0" xfId="0" applyFont="1"/>
    <xf numFmtId="0" fontId="0" fillId="0" borderId="0" xfId="0" applyAlignment="1">
      <alignment horizontal="right"/>
    </xf>
  </cellXfs>
  <cellStyles count="1064">
    <cellStyle name=" 1" xfId="1"/>
    <cellStyle name=" 2" xfId="2"/>
    <cellStyle name=" 3" xfId="3"/>
    <cellStyle name="_x000d__x000a_JournalTemplate=C:\COMFO\CTALK\JOURSTD.TPL_x000d__x000a_LbStateAddress=3 3 0 251 1 89 2 311_x000d__x000a_LbStateJou" xfId="4"/>
    <cellStyle name="%" xfId="5"/>
    <cellStyle name="% 2" xfId="6"/>
    <cellStyle name="% 2 2" xfId="7"/>
    <cellStyle name="% 3" xfId="8"/>
    <cellStyle name="% 3 2" xfId="9"/>
    <cellStyle name="% 4" xfId="10"/>
    <cellStyle name="%_302_Baselines_Oct12 (Revised) (2)" xfId="11"/>
    <cellStyle name="%_302_Baselines_Oct12 (Revised) (2) 2" xfId="12"/>
    <cellStyle name="%_Book1" xfId="13"/>
    <cellStyle name="%_Copy of Copy of SEN_Questionnaire_2013" xfId="14"/>
    <cellStyle name="%_Copy of Copy of SEN_Questionnaire_2013 (2)" xfId="15"/>
    <cellStyle name="%_DSG Cost centres from LBurbidge 16Oct12" xfId="16"/>
    <cellStyle name="%_DSG Cost centres from LBurbidge 16Oct12 2" xfId="17"/>
    <cellStyle name="%_DSG Cost centres from LBurbidge 16Oct12_Schools Budget Plan 2013-14 V4 @ 14Jan2013" xfId="18"/>
    <cellStyle name="%_DSG Cost centres from LBurbidge 16Oct12_Schools Budget Plan 2013-14 V4 @ 14Jan2013 2" xfId="19"/>
    <cellStyle name="%_DSG Cost centres from LBurbidge 16Oct12_Schools Budget Plan 2013-14 V4 @ 14Jan2013 2 2" xfId="20"/>
    <cellStyle name="%_Reconciliation since 26042013" xfId="21"/>
    <cellStyle name="%_Reconciliation since 26042013 2" xfId="22"/>
    <cellStyle name="%_Restatement of baselines - CB" xfId="23"/>
    <cellStyle name="%_Restatement of baselines - CB 2" xfId="24"/>
    <cellStyle name="%_Schools Budget Plan 2013-14 V1 sent to group - SS" xfId="25"/>
    <cellStyle name="%_Schools Budget Plan 2013-14 V1 sent to group - SS 2" xfId="26"/>
    <cellStyle name="%_Schools Budget Plan 2013-14 V1 sent to group - SS_Schools Budget Plan 2013-14 V4 @ 14Jan2013" xfId="27"/>
    <cellStyle name="%_Schools Budget Plan 2013-14 V1 sent to group - SS_Schools Budget Plan 2013-14 V4 @ 14Jan2013 2" xfId="28"/>
    <cellStyle name="%_Schools Budget Plan 2013-14 V1 sent to group - SS_Schools Budget Plan 2013-14 V4 @ 14Jan2013 2 2" xfId="29"/>
    <cellStyle name="%_Schools Budget Plan 2013-14 V4 @ 14Jan2013" xfId="30"/>
    <cellStyle name="%_Schools Budget Plan 2013-14 V4 @ 14Jan2013 2" xfId="31"/>
    <cellStyle name="%_Schools Budget Plan 2013-14 V4 @ 14Jan2013 2 2" xfId="32"/>
    <cellStyle name="]_x000a__x000a_Width=797_x000a__x000a_Height=554_x000a__x000a__x000a__x000a_[Code]_x000a__x000a_Code0=/nyf50_x000a__x000a_Code1=4500000136_x000a__x000a_Code2=ME23_x000a__x000a_Code3=4500002322_x000a__x000a_Code4=#_x000a__x000a_Code5=MB01_x000a__x000a_" xfId="33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34"/>
    <cellStyle name="]_x000d__x000a_Width=797_x000d__x000a_Height=554_x000d__x000a__x000d__x000a_[Code]_x000d__x000a_Code0=/nyf50_x000d__x000a_Code1=4500000136_x000d__x000a_Code2=ME23_x000d__x000a_Code3=4500002322_x000d__x000a_Code4=#_x000d__x000a_Code5=MB01_x000d__x000a_ 2" xfId="35"/>
    <cellStyle name="]_x000d__x000a_Width=797_x000d__x000a_Height=554_x000d__x000a__x000d__x000a_[Code]_x000d__x000a_Code0=/nyf50_x000d__x000a_Code1=4500000136_x000d__x000a_Code2=ME23_x000d__x000a_Code3=4500002322_x000d__x000a_Code4=#_x000d__x000a_Code5=MB01_x000d__x000a_ 2 2" xfId="36"/>
    <cellStyle name="]_x000d__x000a_Width=797_x000d__x000a_Height=554_x000d__x000a__x000d__x000a_[Code]_x000d__x000a_Code0=/nyf50_x000d__x000a_Code1=4500000136_x000d__x000a_Code2=ME23_x000d__x000a_Code3=4500002322_x000d__x000a_Code4=#_x000d__x000a_Code5=MB01_x000d__x000a_ 3" xfId="37"/>
    <cellStyle name="]_x000d__x000a_Width=797_x000d__x000a_Height=554_x000d__x000a__x000d__x000a_[Code]_x000d__x000a_Code0=/nyf50_x000d__x000a_Code1=4500000136_x000d__x000a_Code2=ME23_x000d__x000a_Code3=4500002322_x000d__x000a_Code4=#_x000d__x000a_Code5=MB01_x000d__x000a_ 3 2" xfId="38"/>
    <cellStyle name="]_x000d__x000a_Width=797_x000d__x000a_Height=554_x000d__x000a__x000d__x000a_[Code]_x000d__x000a_Code0=/nyf50_x000d__x000a_Code1=4500000136_x000d__x000a_Code2=ME23_x000d__x000a_Code3=4500002322_x000d__x000a_Code4=#_x000d__x000a_Code5=MB01_x000d__x000a_ 4" xfId="39"/>
    <cellStyle name="]_x000d__x000a_Width=797_x000d__x000a_Height=554_x000d__x000a__x000d__x000a_[Code]_x000d__x000a_Code0=/nyf50_x000d__x000a_Code1=4500000136_x000d__x000a_Code2=ME23_x000d__x000a_Code3=4500002322_x000d__x000a_Code4=#_x000d__x000a_Code5=MB01_x000d__x000a__Copy of Capital Programme 2013-14  (to services) for Cabinet 2" xfId="40"/>
    <cellStyle name="]_x000d__x000a_Zoomed=1_x000d__x000a_Row=0_x000d__x000a_Column=0_x000d__x000a_Height=0_x000d__x000a_Width=0_x000d__x000a_FontName=FoxFont_x000d__x000a_FontStyle=0_x000d__x000a_FontSize=9_x000d__x000a_PrtFontName=FoxPrin" xfId="41"/>
    <cellStyle name="]_x000d__x000a_Zoomed=1_x000d__x000a_Row=0_x000d__x000a_Column=0_x000d__x000a_Height=0_x000d__x000a_Width=0_x000d__x000a_FontName=FoxFont_x000d__x000a_FontStyle=0_x000d__x000a_FontSize=9_x000d__x000a_PrtFontName=FoxPrin 2" xfId="42"/>
    <cellStyle name="]_x000d__x000a_Zoomed=1_x000d__x000a_Row=0_x000d__x000a_Column=0_x000d__x000a_Height=0_x000d__x000a_Width=0_x000d__x000a_FontName=FoxFont_x000d__x000a_FontStyle=0_x000d__x000a_FontSize=9_x000d__x000a_PrtFontName=FoxPrin 2 2" xfId="43"/>
    <cellStyle name="]_x000d__x000a_Zoomed=1_x000d__x000a_Row=0_x000d__x000a_Column=0_x000d__x000a_Height=0_x000d__x000a_Width=0_x000d__x000a_FontName=FoxFont_x000d__x000a_FontStyle=0_x000d__x000a_FontSize=9_x000d__x000a_PrtFontName=FoxPrin 2 2 2" xfId="44"/>
    <cellStyle name="]_x000d__x000a_Zoomed=1_x000d__x000a_Row=0_x000d__x000a_Column=0_x000d__x000a_Height=0_x000d__x000a_Width=0_x000d__x000a_FontName=FoxFont_x000d__x000a_FontStyle=0_x000d__x000a_FontSize=9_x000d__x000a_PrtFontName=FoxPrin 2 3" xfId="45"/>
    <cellStyle name="]_x000d__x000a_Zoomed=1_x000d__x000a_Row=0_x000d__x000a_Column=0_x000d__x000a_Height=0_x000d__x000a_Width=0_x000d__x000a_FontName=FoxFont_x000d__x000a_FontStyle=0_x000d__x000a_FontSize=9_x000d__x000a_PrtFontName=FoxPrin 3" xfId="46"/>
    <cellStyle name="]_x000d__x000a_Zoomed=1_x000d__x000a_Row=0_x000d__x000a_Column=0_x000d__x000a_Height=0_x000d__x000a_Width=0_x000d__x000a_FontName=FoxFont_x000d__x000a_FontStyle=0_x000d__x000a_FontSize=9_x000d__x000a_PrtFontName=FoxPrin 3 2" xfId="47"/>
    <cellStyle name="]_x000d__x000a_Zoomed=1_x000d__x000a_Row=0_x000d__x000a_Column=0_x000d__x000a_Height=0_x000d__x000a_Width=0_x000d__x000a_FontName=FoxFont_x000d__x000a_FontStyle=0_x000d__x000a_FontSize=9_x000d__x000a_PrtFontName=FoxPrin 3_All Schools2" xfId="48"/>
    <cellStyle name="]_x000d__x000a_Zoomed=1_x000d__x000a_Row=0_x000d__x000a_Column=0_x000d__x000a_Height=0_x000d__x000a_Width=0_x000d__x000a_FontName=FoxFont_x000d__x000a_FontStyle=0_x000d__x000a_FontSize=9_x000d__x000a_PrtFontName=FoxPrin 4" xfId="49"/>
    <cellStyle name="]_x000d__x000a_Zoomed=1_x000d__x000a_Row=0_x000d__x000a_Column=0_x000d__x000a_Height=0_x000d__x000a_Width=0_x000d__x000a_FontName=FoxFont_x000d__x000a_FontStyle=0_x000d__x000a_FontSize=9_x000d__x000a_PrtFontName=FoxPrin_All Schools2" xfId="50"/>
    <cellStyle name="_38006 University Academy Keighley MFG Calculation" xfId="51"/>
    <cellStyle name="~Product" xfId="52"/>
    <cellStyle name="~subhead" xfId="53"/>
    <cellStyle name="20 % - Accent1" xfId="54"/>
    <cellStyle name="20 % - Accent1 2" xfId="55"/>
    <cellStyle name="20 % - Accent2" xfId="56"/>
    <cellStyle name="20 % - Accent2 2" xfId="57"/>
    <cellStyle name="20 % - Accent3" xfId="58"/>
    <cellStyle name="20 % - Accent3 2" xfId="59"/>
    <cellStyle name="20 % - Accent4" xfId="60"/>
    <cellStyle name="20 % - Accent4 2" xfId="61"/>
    <cellStyle name="20 % - Accent5" xfId="62"/>
    <cellStyle name="20 % - Accent5 2" xfId="63"/>
    <cellStyle name="20 % - Accent6" xfId="64"/>
    <cellStyle name="20 % - Accent6 2" xfId="65"/>
    <cellStyle name="20% - Accent1" xfId="66" builtinId="30" customBuiltin="1"/>
    <cellStyle name="20% - Accent1 2" xfId="67"/>
    <cellStyle name="20% - Accent1 2 2" xfId="68"/>
    <cellStyle name="20% - Accent1 3" xfId="69"/>
    <cellStyle name="20% - Accent1 4" xfId="70"/>
    <cellStyle name="20% - Accent1 5" xfId="71"/>
    <cellStyle name="20% - Accent2" xfId="72" builtinId="34" customBuiltin="1"/>
    <cellStyle name="20% - Accent2 2" xfId="73"/>
    <cellStyle name="20% - Accent2 2 2" xfId="74"/>
    <cellStyle name="20% - Accent2 3" xfId="75"/>
    <cellStyle name="20% - Accent2 4" xfId="76"/>
    <cellStyle name="20% - Accent2 5" xfId="77"/>
    <cellStyle name="20% - Accent3" xfId="78" builtinId="38" customBuiltin="1"/>
    <cellStyle name="20% - Accent3 2" xfId="79"/>
    <cellStyle name="20% - Accent3 2 2" xfId="80"/>
    <cellStyle name="20% - Accent3 3" xfId="81"/>
    <cellStyle name="20% - Accent3 4" xfId="82"/>
    <cellStyle name="20% - Accent3 5" xfId="83"/>
    <cellStyle name="20% - Accent4" xfId="84" builtinId="42" customBuiltin="1"/>
    <cellStyle name="20% - Accent4 2" xfId="85"/>
    <cellStyle name="20% - Accent4 2 2" xfId="86"/>
    <cellStyle name="20% - Accent4 3" xfId="87"/>
    <cellStyle name="20% - Accent4 4" xfId="88"/>
    <cellStyle name="20% - Accent4 5" xfId="89"/>
    <cellStyle name="20% - Accent5" xfId="90" builtinId="46" customBuiltin="1"/>
    <cellStyle name="20% - Accent5 2" xfId="91"/>
    <cellStyle name="20% - Accent5 2 2" xfId="92"/>
    <cellStyle name="20% - Accent5 3" xfId="93"/>
    <cellStyle name="20% - Accent5 4" xfId="94"/>
    <cellStyle name="20% - Accent5 5" xfId="95"/>
    <cellStyle name="20% - Accent6" xfId="96" builtinId="50" customBuiltin="1"/>
    <cellStyle name="20% - Accent6 2" xfId="97"/>
    <cellStyle name="20% - Accent6 2 2" xfId="98"/>
    <cellStyle name="20% - Accent6 3" xfId="99"/>
    <cellStyle name="20% - Accent6 4" xfId="100"/>
    <cellStyle name="20% - Accent6 5" xfId="101"/>
    <cellStyle name="40 % - Accent1" xfId="102"/>
    <cellStyle name="40 % - Accent1 2" xfId="103"/>
    <cellStyle name="40 % - Accent2" xfId="104"/>
    <cellStyle name="40 % - Accent2 2" xfId="105"/>
    <cellStyle name="40 % - Accent3" xfId="106"/>
    <cellStyle name="40 % - Accent3 2" xfId="107"/>
    <cellStyle name="40 % - Accent4" xfId="108"/>
    <cellStyle name="40 % - Accent4 2" xfId="109"/>
    <cellStyle name="40 % - Accent5" xfId="110"/>
    <cellStyle name="40 % - Accent5 2" xfId="111"/>
    <cellStyle name="40 % - Accent6" xfId="112"/>
    <cellStyle name="40 % - Accent6 2" xfId="113"/>
    <cellStyle name="40% - Accent1" xfId="114" builtinId="31" customBuiltin="1"/>
    <cellStyle name="40% - Accent1 2" xfId="115"/>
    <cellStyle name="40% - Accent1 2 2" xfId="116"/>
    <cellStyle name="40% - Accent1 3" xfId="117"/>
    <cellStyle name="40% - Accent1 4" xfId="118"/>
    <cellStyle name="40% - Accent1 5" xfId="119"/>
    <cellStyle name="40% - Accent2" xfId="120" builtinId="35" customBuiltin="1"/>
    <cellStyle name="40% - Accent2 2" xfId="121"/>
    <cellStyle name="40% - Accent2 2 2" xfId="122"/>
    <cellStyle name="40% - Accent2 3" xfId="123"/>
    <cellStyle name="40% - Accent2 4" xfId="124"/>
    <cellStyle name="40% - Accent2 5" xfId="125"/>
    <cellStyle name="40% - Accent3" xfId="126" builtinId="39" customBuiltin="1"/>
    <cellStyle name="40% - Accent3 2" xfId="127"/>
    <cellStyle name="40% - Accent3 2 2" xfId="128"/>
    <cellStyle name="40% - Accent3 3" xfId="129"/>
    <cellStyle name="40% - Accent3 4" xfId="130"/>
    <cellStyle name="40% - Accent3 5" xfId="131"/>
    <cellStyle name="40% - Accent4" xfId="132" builtinId="43" customBuiltin="1"/>
    <cellStyle name="40% - Accent4 2" xfId="133"/>
    <cellStyle name="40% - Accent4 2 2" xfId="134"/>
    <cellStyle name="40% - Accent4 3" xfId="135"/>
    <cellStyle name="40% - Accent4 4" xfId="136"/>
    <cellStyle name="40% - Accent4 5" xfId="137"/>
    <cellStyle name="40% - Accent5" xfId="138" builtinId="47" customBuiltin="1"/>
    <cellStyle name="40% - Accent5 2" xfId="139"/>
    <cellStyle name="40% - Accent5 2 2" xfId="140"/>
    <cellStyle name="40% - Accent5 3" xfId="141"/>
    <cellStyle name="40% - Accent5 4" xfId="142"/>
    <cellStyle name="40% - Accent5 5" xfId="143"/>
    <cellStyle name="40% - Accent6" xfId="144" builtinId="51" customBuiltin="1"/>
    <cellStyle name="40% - Accent6 2" xfId="145"/>
    <cellStyle name="40% - Accent6 2 2" xfId="146"/>
    <cellStyle name="40% - Accent6 3" xfId="147"/>
    <cellStyle name="40% - Accent6 4" xfId="148"/>
    <cellStyle name="40% - Accent6 5" xfId="149"/>
    <cellStyle name="60 % - Accent1" xfId="150"/>
    <cellStyle name="60 % - Accent2" xfId="151"/>
    <cellStyle name="60 % - Accent3" xfId="152"/>
    <cellStyle name="60 % - Accent4" xfId="153"/>
    <cellStyle name="60 % - Accent5" xfId="154"/>
    <cellStyle name="60 % - Accent6" xfId="155"/>
    <cellStyle name="60% - Accent1" xfId="156" builtinId="32" customBuiltin="1"/>
    <cellStyle name="60% - Accent1 2" xfId="157"/>
    <cellStyle name="60% - Accent1 2 2" xfId="158"/>
    <cellStyle name="60% - Accent1 3" xfId="159"/>
    <cellStyle name="60% - Accent1 4" xfId="160"/>
    <cellStyle name="60% - Accent1 5" xfId="161"/>
    <cellStyle name="60% - Accent2" xfId="162" builtinId="36" customBuiltin="1"/>
    <cellStyle name="60% - Accent2 2" xfId="163"/>
    <cellStyle name="60% - Accent2 2 2" xfId="164"/>
    <cellStyle name="60% - Accent2 3" xfId="165"/>
    <cellStyle name="60% - Accent2 4" xfId="166"/>
    <cellStyle name="60% - Accent2 5" xfId="167"/>
    <cellStyle name="60% - Accent3" xfId="168" builtinId="40" customBuiltin="1"/>
    <cellStyle name="60% - Accent3 2" xfId="169"/>
    <cellStyle name="60% - Accent3 2 2" xfId="170"/>
    <cellStyle name="60% - Accent3 3" xfId="171"/>
    <cellStyle name="60% - Accent3 4" xfId="172"/>
    <cellStyle name="60% - Accent3 5" xfId="173"/>
    <cellStyle name="60% - Accent4" xfId="174" builtinId="44" customBuiltin="1"/>
    <cellStyle name="60% - Accent4 2" xfId="175"/>
    <cellStyle name="60% - Accent4 2 2" xfId="176"/>
    <cellStyle name="60% - Accent4 3" xfId="177"/>
    <cellStyle name="60% - Accent4 4" xfId="178"/>
    <cellStyle name="60% - Accent4 5" xfId="179"/>
    <cellStyle name="60% - Accent5" xfId="180" builtinId="48" customBuiltin="1"/>
    <cellStyle name="60% - Accent5 2" xfId="181"/>
    <cellStyle name="60% - Accent5 2 2" xfId="182"/>
    <cellStyle name="60% - Accent5 3" xfId="183"/>
    <cellStyle name="60% - Accent5 4" xfId="184"/>
    <cellStyle name="60% - Accent5 5" xfId="185"/>
    <cellStyle name="60% - Accent6" xfId="186" builtinId="52" customBuiltin="1"/>
    <cellStyle name="60% - Accent6 2" xfId="187"/>
    <cellStyle name="60% - Accent6 2 2" xfId="188"/>
    <cellStyle name="60% - Accent6 3" xfId="189"/>
    <cellStyle name="60% - Accent6 4" xfId="190"/>
    <cellStyle name="60% - Accent6 5" xfId="191"/>
    <cellStyle name="Accent1" xfId="192" builtinId="29" customBuiltin="1"/>
    <cellStyle name="Accent1 2" xfId="193"/>
    <cellStyle name="Accent1 2 2" xfId="194"/>
    <cellStyle name="Accent1 3" xfId="195"/>
    <cellStyle name="Accent1 4" xfId="196"/>
    <cellStyle name="Accent1 5" xfId="197"/>
    <cellStyle name="Accent2" xfId="198" builtinId="33" customBuiltin="1"/>
    <cellStyle name="Accent2 2" xfId="199"/>
    <cellStyle name="Accent2 2 2" xfId="200"/>
    <cellStyle name="Accent2 3" xfId="201"/>
    <cellStyle name="Accent2 4" xfId="202"/>
    <cellStyle name="Accent2 5" xfId="203"/>
    <cellStyle name="Accent3" xfId="204" builtinId="37" customBuiltin="1"/>
    <cellStyle name="Accent3 2" xfId="205"/>
    <cellStyle name="Accent3 2 2" xfId="206"/>
    <cellStyle name="Accent3 3" xfId="207"/>
    <cellStyle name="Accent3 4" xfId="208"/>
    <cellStyle name="Accent3 5" xfId="209"/>
    <cellStyle name="Accent4" xfId="210" builtinId="41" customBuiltin="1"/>
    <cellStyle name="Accent4 2" xfId="211"/>
    <cellStyle name="Accent4 2 2" xfId="212"/>
    <cellStyle name="Accent4 3" xfId="213"/>
    <cellStyle name="Accent4 4" xfId="214"/>
    <cellStyle name="Accent4 5" xfId="215"/>
    <cellStyle name="Accent5" xfId="216" builtinId="45" customBuiltin="1"/>
    <cellStyle name="Accent5 2" xfId="217"/>
    <cellStyle name="Accent5 2 2" xfId="218"/>
    <cellStyle name="Accent5 3" xfId="219"/>
    <cellStyle name="Accent5 4" xfId="220"/>
    <cellStyle name="Accent5 5" xfId="221"/>
    <cellStyle name="Accent6" xfId="222" builtinId="49" customBuiltin="1"/>
    <cellStyle name="Accent6 2" xfId="223"/>
    <cellStyle name="Accent6 2 2" xfId="224"/>
    <cellStyle name="Accent6 3" xfId="225"/>
    <cellStyle name="Accent6 4" xfId="226"/>
    <cellStyle name="Accent6 5" xfId="227"/>
    <cellStyle name="active" xfId="228"/>
    <cellStyle name="Avertissement" xfId="229"/>
    <cellStyle name="Bad" xfId="230" builtinId="27" customBuiltin="1"/>
    <cellStyle name="Bad 2" xfId="231"/>
    <cellStyle name="Bad 2 2" xfId="232"/>
    <cellStyle name="Bad 3" xfId="233"/>
    <cellStyle name="Bad 4" xfId="234"/>
    <cellStyle name="Bad 5" xfId="235"/>
    <cellStyle name="Calc Currency (0)" xfId="236"/>
    <cellStyle name="Calc Currency (2)" xfId="237"/>
    <cellStyle name="Calc Percent (0)" xfId="238"/>
    <cellStyle name="Calc Percent (1)" xfId="239"/>
    <cellStyle name="Calc Percent (2)" xfId="240"/>
    <cellStyle name="Calc Units (0)" xfId="241"/>
    <cellStyle name="Calc Units (1)" xfId="242"/>
    <cellStyle name="Calc Units (2)" xfId="243"/>
    <cellStyle name="Calcul" xfId="244"/>
    <cellStyle name="Calculation" xfId="245" builtinId="22" customBuiltin="1"/>
    <cellStyle name="Calculation 2" xfId="246"/>
    <cellStyle name="Calculation 2 2" xfId="247"/>
    <cellStyle name="Calculation 2 2 2" xfId="248"/>
    <cellStyle name="Calculation 2 2 2 2" xfId="249"/>
    <cellStyle name="Calculation 2 2 2 3" xfId="250"/>
    <cellStyle name="Calculation 2 2 3" xfId="251"/>
    <cellStyle name="Calculation 2 2 4" xfId="252"/>
    <cellStyle name="Calculation 2 3" xfId="253"/>
    <cellStyle name="Calculation 2 3 2" xfId="254"/>
    <cellStyle name="Calculation 2 3 3" xfId="255"/>
    <cellStyle name="Calculation 2 4" xfId="256"/>
    <cellStyle name="Calculation 2 4 2" xfId="257"/>
    <cellStyle name="Calculation 2 4 3" xfId="258"/>
    <cellStyle name="Calculation 2 5" xfId="259"/>
    <cellStyle name="Calculation 3" xfId="260"/>
    <cellStyle name="Calculation 3 2" xfId="261"/>
    <cellStyle name="Calculation 3 2 2" xfId="262"/>
    <cellStyle name="Calculation 3 2 2 2" xfId="263"/>
    <cellStyle name="Calculation 3 2 2 3" xfId="264"/>
    <cellStyle name="Calculation 3 2 3" xfId="265"/>
    <cellStyle name="Calculation 3 2 4" xfId="266"/>
    <cellStyle name="Calculation 3 3" xfId="267"/>
    <cellStyle name="Calculation 3 3 2" xfId="268"/>
    <cellStyle name="Calculation 3 3 3" xfId="269"/>
    <cellStyle name="Calculation 3 4" xfId="270"/>
    <cellStyle name="Calculation 3 4 2" xfId="271"/>
    <cellStyle name="Calculation 3 4 3" xfId="272"/>
    <cellStyle name="Calculation 3 5" xfId="273"/>
    <cellStyle name="Calculation 4" xfId="274"/>
    <cellStyle name="Calculation 4 2" xfId="275"/>
    <cellStyle name="Calculation 4 2 2" xfId="276"/>
    <cellStyle name="Calculation 4 2 2 2" xfId="277"/>
    <cellStyle name="Calculation 4 2 2 3" xfId="278"/>
    <cellStyle name="Calculation 4 2 3" xfId="279"/>
    <cellStyle name="Calculation 4 2 4" xfId="280"/>
    <cellStyle name="Calculation 4 3" xfId="281"/>
    <cellStyle name="Calculation 4 3 2" xfId="282"/>
    <cellStyle name="Calculation 4 3 3" xfId="283"/>
    <cellStyle name="Calculation 4 4" xfId="284"/>
    <cellStyle name="Calculation 4 4 2" xfId="285"/>
    <cellStyle name="Calculation 4 4 3" xfId="286"/>
    <cellStyle name="Calculation 4 5" xfId="287"/>
    <cellStyle name="Calculation 5" xfId="288"/>
    <cellStyle name="Calculation 5 2" xfId="289"/>
    <cellStyle name="Calculation 5 2 2" xfId="290"/>
    <cellStyle name="Calculation 5 2 3" xfId="291"/>
    <cellStyle name="Calculation 5 3" xfId="292"/>
    <cellStyle name="Calculation 5 4" xfId="293"/>
    <cellStyle name="Calculation 6" xfId="294"/>
    <cellStyle name="Calculation 6 2" xfId="295"/>
    <cellStyle name="Calculation 6 2 2" xfId="296"/>
    <cellStyle name="Calculation 6 2 3" xfId="297"/>
    <cellStyle name="Calculation 6 3" xfId="298"/>
    <cellStyle name="Calculation 6 4" xfId="299"/>
    <cellStyle name="Calculation 7" xfId="300"/>
    <cellStyle name="Calculation 7 2" xfId="301"/>
    <cellStyle name="Calculation 7 3" xfId="302"/>
    <cellStyle name="Calculation 8" xfId="303"/>
    <cellStyle name="Cellule liée" xfId="304"/>
    <cellStyle name="centre across selection" xfId="305"/>
    <cellStyle name="Check Cell" xfId="306" builtinId="23" customBuiltin="1"/>
    <cellStyle name="Check Cell 2" xfId="307"/>
    <cellStyle name="Check Cell 2 2" xfId="308"/>
    <cellStyle name="Check Cell 3" xfId="309"/>
    <cellStyle name="Check Cell 4" xfId="310"/>
    <cellStyle name="Check Cell 5" xfId="311"/>
    <cellStyle name="Comma" xfId="312" builtinId="3"/>
    <cellStyle name="Comma [00]" xfId="313"/>
    <cellStyle name="Comma 10" xfId="314"/>
    <cellStyle name="Comma 10 2" xfId="315"/>
    <cellStyle name="Comma 11" xfId="316"/>
    <cellStyle name="Comma 12" xfId="317"/>
    <cellStyle name="Comma 13" xfId="318"/>
    <cellStyle name="Comma 2" xfId="319"/>
    <cellStyle name="Comma 2 10" xfId="320"/>
    <cellStyle name="Comma 2 11" xfId="321"/>
    <cellStyle name="Comma 2 12" xfId="322"/>
    <cellStyle name="Comma 2 12 2" xfId="323"/>
    <cellStyle name="Comma 2 13" xfId="324"/>
    <cellStyle name="Comma 2 13 2" xfId="325"/>
    <cellStyle name="Comma 2 14" xfId="326"/>
    <cellStyle name="Comma 2 2" xfId="327"/>
    <cellStyle name="Comma 2 2 2" xfId="328"/>
    <cellStyle name="Comma 2 2 2 2" xfId="329"/>
    <cellStyle name="Comma 2 3" xfId="330"/>
    <cellStyle name="Comma 2 4" xfId="331"/>
    <cellStyle name="Comma 2 5" xfId="332"/>
    <cellStyle name="Comma 2 6" xfId="333"/>
    <cellStyle name="Comma 2 7" xfId="334"/>
    <cellStyle name="Comma 2 8" xfId="335"/>
    <cellStyle name="Comma 2 9" xfId="336"/>
    <cellStyle name="Comma 3" xfId="337"/>
    <cellStyle name="Comma 3 2" xfId="338"/>
    <cellStyle name="Comma 4" xfId="339"/>
    <cellStyle name="Comma 4 2" xfId="340"/>
    <cellStyle name="Comma 5" xfId="341"/>
    <cellStyle name="Comma 5 2" xfId="342"/>
    <cellStyle name="Comma 6" xfId="343"/>
    <cellStyle name="Comma 6 2" xfId="344"/>
    <cellStyle name="Comma 7" xfId="345"/>
    <cellStyle name="Comma 7 2" xfId="346"/>
    <cellStyle name="Comma 7 3" xfId="347"/>
    <cellStyle name="Comma 8" xfId="348"/>
    <cellStyle name="Comma 8 2" xfId="349"/>
    <cellStyle name="Comma 9" xfId="350"/>
    <cellStyle name="Comma 9 2" xfId="351"/>
    <cellStyle name="Comma0" xfId="352"/>
    <cellStyle name="Commentaire" xfId="353"/>
    <cellStyle name="Currency [00]" xfId="354"/>
    <cellStyle name="Currency 10" xfId="355"/>
    <cellStyle name="Currency 11" xfId="356"/>
    <cellStyle name="Currency 12" xfId="357"/>
    <cellStyle name="Currency 13" xfId="358"/>
    <cellStyle name="Currency 14" xfId="359"/>
    <cellStyle name="Currency 15" xfId="360"/>
    <cellStyle name="Currency 16" xfId="361"/>
    <cellStyle name="Currency 2" xfId="362"/>
    <cellStyle name="Currency 2 2" xfId="363"/>
    <cellStyle name="Currency 2 2 2" xfId="364"/>
    <cellStyle name="Currency 2 3" xfId="365"/>
    <cellStyle name="Currency 3" xfId="366"/>
    <cellStyle name="Currency 3 2" xfId="367"/>
    <cellStyle name="Currency 4" xfId="368"/>
    <cellStyle name="Currency 5" xfId="369"/>
    <cellStyle name="Currency 6" xfId="370"/>
    <cellStyle name="Currency 7" xfId="371"/>
    <cellStyle name="Currency 8" xfId="372"/>
    <cellStyle name="Currency 9" xfId="373"/>
    <cellStyle name="Currency0" xfId="374"/>
    <cellStyle name="dak" xfId="375"/>
    <cellStyle name="Date" xfId="376"/>
    <cellStyle name="Date Short" xfId="377"/>
    <cellStyle name="DetailStyleText" xfId="378"/>
    <cellStyle name="Emphasis 1" xfId="379"/>
    <cellStyle name="Emphasis 2" xfId="380"/>
    <cellStyle name="Emphasis 3" xfId="381"/>
    <cellStyle name="Enter Currency (0)" xfId="382"/>
    <cellStyle name="Enter Currency (2)" xfId="383"/>
    <cellStyle name="Enter Units (0)" xfId="384"/>
    <cellStyle name="Enter Units (1)" xfId="385"/>
    <cellStyle name="Enter Units (2)" xfId="386"/>
    <cellStyle name="Entrée" xfId="387"/>
    <cellStyle name="Estimated" xfId="388"/>
    <cellStyle name="Euro" xfId="389"/>
    <cellStyle name="Èurrency [0]" xfId="390"/>
    <cellStyle name="Explanatory Text" xfId="391" builtinId="53" customBuiltin="1"/>
    <cellStyle name="Explanatory Text 2" xfId="392"/>
    <cellStyle name="Explanatory Text 2 2" xfId="393"/>
    <cellStyle name="Explanatory Text 3" xfId="394"/>
    <cellStyle name="Explanatory Text 4" xfId="395"/>
    <cellStyle name="Explanatory Text 5" xfId="396"/>
    <cellStyle name="external input" xfId="397"/>
    <cellStyle name="FinancialTitleStyle" xfId="398"/>
    <cellStyle name="Fixed" xfId="399"/>
    <cellStyle name="flashing" xfId="400"/>
    <cellStyle name="flashing 2" xfId="401"/>
    <cellStyle name="flashing 2 2" xfId="402"/>
    <cellStyle name="flashing 2 3" xfId="403"/>
    <cellStyle name="flashing 3" xfId="404"/>
    <cellStyle name="Good" xfId="405" builtinId="26" customBuiltin="1"/>
    <cellStyle name="Good 2" xfId="406"/>
    <cellStyle name="Good 2 2" xfId="407"/>
    <cellStyle name="Good 3" xfId="408"/>
    <cellStyle name="Good 4" xfId="409"/>
    <cellStyle name="Good 5" xfId="410"/>
    <cellStyle name="Grey" xfId="411"/>
    <cellStyle name="Header" xfId="412"/>
    <cellStyle name="Header1" xfId="413"/>
    <cellStyle name="Header2" xfId="414"/>
    <cellStyle name="HeaderGrant" xfId="415"/>
    <cellStyle name="HeaderGrant 2" xfId="416"/>
    <cellStyle name="HeaderGrant 2 2" xfId="417"/>
    <cellStyle name="HeaderGrant 2 2 2" xfId="418"/>
    <cellStyle name="HeaderGrant 2 2 3" xfId="419"/>
    <cellStyle name="HeaderGrant 2 3" xfId="420"/>
    <cellStyle name="HeaderGrant 2 3 2" xfId="421"/>
    <cellStyle name="HeaderGrant 2 3 3" xfId="422"/>
    <cellStyle name="HeaderGrant 2 4" xfId="423"/>
    <cellStyle name="HeaderGrant 2 4 2" xfId="424"/>
    <cellStyle name="HeaderGrant 2 4 3" xfId="425"/>
    <cellStyle name="HeaderGrant 2 5" xfId="426"/>
    <cellStyle name="HeaderGrant 3" xfId="427"/>
    <cellStyle name="HeaderGrant 3 2" xfId="428"/>
    <cellStyle name="HeaderGrant 3 2 2" xfId="429"/>
    <cellStyle name="HeaderGrant 3 2 3" xfId="430"/>
    <cellStyle name="HeaderGrant 3 3" xfId="431"/>
    <cellStyle name="HeaderGrant 3 3 2" xfId="432"/>
    <cellStyle name="HeaderGrant 3 3 3" xfId="433"/>
    <cellStyle name="HeaderGrant 3 4" xfId="434"/>
    <cellStyle name="HeaderGrant 3 4 2" xfId="435"/>
    <cellStyle name="HeaderGrant 3 4 3" xfId="436"/>
    <cellStyle name="HeaderGrant 3 5" xfId="437"/>
    <cellStyle name="HeaderGrant 4" xfId="438"/>
    <cellStyle name="HeaderGrant 4 2" xfId="439"/>
    <cellStyle name="HeaderGrant 4 3" xfId="440"/>
    <cellStyle name="HeaderGrant 5" xfId="441"/>
    <cellStyle name="HeaderGrant 5 2" xfId="442"/>
    <cellStyle name="HeaderGrant 5 3" xfId="443"/>
    <cellStyle name="HeaderGrant 6" xfId="444"/>
    <cellStyle name="HeaderGrant 6 2" xfId="445"/>
    <cellStyle name="HeaderGrant 6 3" xfId="446"/>
    <cellStyle name="HeaderGrant 7" xfId="447"/>
    <cellStyle name="HeaderLEA" xfId="448"/>
    <cellStyle name="Heading 1" xfId="449" builtinId="16" customBuiltin="1"/>
    <cellStyle name="Heading 1 2" xfId="450"/>
    <cellStyle name="Heading 1 2 2" xfId="451"/>
    <cellStyle name="Heading 1 3" xfId="452"/>
    <cellStyle name="Heading 1 4" xfId="453"/>
    <cellStyle name="Heading 1 5" xfId="454"/>
    <cellStyle name="Heading 2" xfId="455" builtinId="17" customBuiltin="1"/>
    <cellStyle name="Heading 2 2" xfId="456"/>
    <cellStyle name="Heading 2 2 2" xfId="457"/>
    <cellStyle name="Heading 2 3" xfId="458"/>
    <cellStyle name="Heading 2 4" xfId="459"/>
    <cellStyle name="Heading 2 5" xfId="460"/>
    <cellStyle name="Heading 3" xfId="461" builtinId="18" customBuiltin="1"/>
    <cellStyle name="Heading 3 2" xfId="462"/>
    <cellStyle name="Heading 3 2 2" xfId="463"/>
    <cellStyle name="Heading 3 3" xfId="464"/>
    <cellStyle name="Heading 3 4" xfId="465"/>
    <cellStyle name="Heading 3 5" xfId="466"/>
    <cellStyle name="Heading 4" xfId="467" builtinId="19" customBuiltin="1"/>
    <cellStyle name="Heading 4 2" xfId="468"/>
    <cellStyle name="Heading 4 2 2" xfId="469"/>
    <cellStyle name="Heading 4 3" xfId="470"/>
    <cellStyle name="Heading 4 4" xfId="471"/>
    <cellStyle name="Heading 4 5" xfId="472"/>
    <cellStyle name="Hyperlink 2" xfId="473"/>
    <cellStyle name="Hyperlink 2 2" xfId="474"/>
    <cellStyle name="Hyperlink 3" xfId="475"/>
    <cellStyle name="Hyperlink 3 2" xfId="476"/>
    <cellStyle name="Hyperlink 4" xfId="477"/>
    <cellStyle name="Hyperlink 5" xfId="478"/>
    <cellStyle name="Imported" xfId="479"/>
    <cellStyle name="input" xfId="480"/>
    <cellStyle name="Input [yellow]" xfId="481"/>
    <cellStyle name="Input 2" xfId="482"/>
    <cellStyle name="input 2 2" xfId="483"/>
    <cellStyle name="Input 2 2 2" xfId="484"/>
    <cellStyle name="Input 2 2 2 2" xfId="485"/>
    <cellStyle name="Input 2 2 2 3" xfId="486"/>
    <cellStyle name="Input 2 2 3" xfId="487"/>
    <cellStyle name="Input 2 2 4" xfId="488"/>
    <cellStyle name="Input 2 3" xfId="489"/>
    <cellStyle name="Input 2 3 2" xfId="490"/>
    <cellStyle name="Input 2 3 3" xfId="491"/>
    <cellStyle name="Input 2 4" xfId="492"/>
    <cellStyle name="Input 2 4 2" xfId="493"/>
    <cellStyle name="Input 2 4 3" xfId="494"/>
    <cellStyle name="Input 2 5" xfId="495"/>
    <cellStyle name="Input 3" xfId="496"/>
    <cellStyle name="Input 3 2" xfId="497"/>
    <cellStyle name="Input 3 2 2" xfId="498"/>
    <cellStyle name="Input 3 2 2 2" xfId="499"/>
    <cellStyle name="Input 3 2 2 3" xfId="500"/>
    <cellStyle name="Input 3 2 3" xfId="501"/>
    <cellStyle name="Input 3 2 4" xfId="502"/>
    <cellStyle name="Input 3 3" xfId="503"/>
    <cellStyle name="Input 3 3 2" xfId="504"/>
    <cellStyle name="Input 3 3 3" xfId="505"/>
    <cellStyle name="Input 3 4" xfId="506"/>
    <cellStyle name="Input 3 4 2" xfId="507"/>
    <cellStyle name="Input 3 4 3" xfId="508"/>
    <cellStyle name="Input 3 5" xfId="509"/>
    <cellStyle name="Input 4" xfId="510"/>
    <cellStyle name="Input 4 2" xfId="511"/>
    <cellStyle name="Input 4 2 2" xfId="512"/>
    <cellStyle name="Input 4 2 2 2" xfId="513"/>
    <cellStyle name="Input 4 2 2 3" xfId="514"/>
    <cellStyle name="Input 4 2 3" xfId="515"/>
    <cellStyle name="Input 4 2 4" xfId="516"/>
    <cellStyle name="Input 4 3" xfId="517"/>
    <cellStyle name="Input 4 3 2" xfId="518"/>
    <cellStyle name="Input 4 3 3" xfId="519"/>
    <cellStyle name="Input 4 4" xfId="520"/>
    <cellStyle name="Input 4 4 2" xfId="521"/>
    <cellStyle name="Input 4 4 3" xfId="522"/>
    <cellStyle name="Input 4 5" xfId="523"/>
    <cellStyle name="Input 5" xfId="524"/>
    <cellStyle name="Input 5 2" xfId="525"/>
    <cellStyle name="Input 5 2 2" xfId="526"/>
    <cellStyle name="Input 5 2 3" xfId="527"/>
    <cellStyle name="Input 5 3" xfId="528"/>
    <cellStyle name="Input 5 4" xfId="529"/>
    <cellStyle name="Input 6" xfId="530"/>
    <cellStyle name="Input 6 2" xfId="531"/>
    <cellStyle name="Input 6 2 2" xfId="532"/>
    <cellStyle name="Input 6 2 3" xfId="533"/>
    <cellStyle name="Input 6 3" xfId="534"/>
    <cellStyle name="Input 6 4" xfId="535"/>
    <cellStyle name="Input 7" xfId="536"/>
    <cellStyle name="Input 7 2" xfId="537"/>
    <cellStyle name="Input 7 3" xfId="538"/>
    <cellStyle name="Input 8" xfId="539"/>
    <cellStyle name="Insatisfaisant" xfId="540"/>
    <cellStyle name="LEAName" xfId="541"/>
    <cellStyle name="LEAName 2" xfId="542"/>
    <cellStyle name="LEAName 3" xfId="543"/>
    <cellStyle name="LEANumber" xfId="544"/>
    <cellStyle name="LEANumber 2" xfId="545"/>
    <cellStyle name="LEANumber 3" xfId="546"/>
    <cellStyle name="Link Currency (0)" xfId="547"/>
    <cellStyle name="Link Currency (2)" xfId="548"/>
    <cellStyle name="Link Units (0)" xfId="549"/>
    <cellStyle name="Link Units (1)" xfId="550"/>
    <cellStyle name="Link Units (2)" xfId="551"/>
    <cellStyle name="Linked Cell" xfId="552" builtinId="24" customBuiltin="1"/>
    <cellStyle name="Linked Cell 2" xfId="553"/>
    <cellStyle name="Linked Cell 2 2" xfId="554"/>
    <cellStyle name="Linked Cell 3" xfId="555"/>
    <cellStyle name="Linked Cell 4" xfId="556"/>
    <cellStyle name="Linked Cell 5" xfId="557"/>
    <cellStyle name="log projection" xfId="558"/>
    <cellStyle name="log projection 2" xfId="559"/>
    <cellStyle name="log projection 2 2" xfId="560"/>
    <cellStyle name="log projection 2 3" xfId="561"/>
    <cellStyle name="log projection 2 4" xfId="562"/>
    <cellStyle name="log projection 3" xfId="563"/>
    <cellStyle name="log projection 3 2" xfId="564"/>
    <cellStyle name="log projection 3 3" xfId="565"/>
    <cellStyle name="log projection 4" xfId="566"/>
    <cellStyle name="log projection 4 2" xfId="567"/>
    <cellStyle name="log projection 4 3" xfId="568"/>
    <cellStyle name="log projection 5" xfId="569"/>
    <cellStyle name="Milliers [0]_march98" xfId="570"/>
    <cellStyle name="Milliers_march98" xfId="571"/>
    <cellStyle name="Monétaire [0]_march98" xfId="572"/>
    <cellStyle name="Monétaire_march98" xfId="573"/>
    <cellStyle name="Neutral" xfId="574" builtinId="28" customBuiltin="1"/>
    <cellStyle name="Neutral 2" xfId="575"/>
    <cellStyle name="Neutral 2 2" xfId="576"/>
    <cellStyle name="Neutral 3" xfId="577"/>
    <cellStyle name="Neutral 4" xfId="578"/>
    <cellStyle name="Neutral 5" xfId="579"/>
    <cellStyle name="Neutre" xfId="580"/>
    <cellStyle name="new" xfId="581"/>
    <cellStyle name="Normal" xfId="0" builtinId="0"/>
    <cellStyle name="Normal - Style1" xfId="582"/>
    <cellStyle name="Normal - Style2" xfId="583"/>
    <cellStyle name="Normal - Style3" xfId="584"/>
    <cellStyle name="Normal - Style4" xfId="585"/>
    <cellStyle name="Normal - Style5" xfId="586"/>
    <cellStyle name="Normal 10" xfId="587"/>
    <cellStyle name="Normal 10 2" xfId="588"/>
    <cellStyle name="Normal 10 2 2" xfId="589"/>
    <cellStyle name="Normal 10 2 2 2" xfId="590"/>
    <cellStyle name="Normal 10 3" xfId="591"/>
    <cellStyle name="Normal 10 3 2" xfId="592"/>
    <cellStyle name="Normal 10 4" xfId="593"/>
    <cellStyle name="Normal 10 4 2" xfId="594"/>
    <cellStyle name="Normal 10 4 2 2" xfId="595"/>
    <cellStyle name="Normal 10 4 3" xfId="596"/>
    <cellStyle name="Normal 11" xfId="597"/>
    <cellStyle name="Normal 11 2" xfId="598"/>
    <cellStyle name="Normal 11 3" xfId="599"/>
    <cellStyle name="Normal 11 3 2" xfId="600"/>
    <cellStyle name="Normal 11 3 2 2" xfId="601"/>
    <cellStyle name="Normal 11 3 3" xfId="602"/>
    <cellStyle name="Normal 11 3 3 2" xfId="603"/>
    <cellStyle name="Normal 11 3 4" xfId="604"/>
    <cellStyle name="Normal 11 4" xfId="605"/>
    <cellStyle name="Normal 12" xfId="606"/>
    <cellStyle name="Normal 12 2" xfId="607"/>
    <cellStyle name="Normal 12 3" xfId="608"/>
    <cellStyle name="Normal 12 3 2" xfId="609"/>
    <cellStyle name="Normal 13" xfId="610"/>
    <cellStyle name="Normal 13 2" xfId="611"/>
    <cellStyle name="Normal 13 3" xfId="612"/>
    <cellStyle name="Normal 14" xfId="613"/>
    <cellStyle name="Normal 14 2" xfId="614"/>
    <cellStyle name="Normal 15" xfId="615"/>
    <cellStyle name="Normal 16" xfId="616"/>
    <cellStyle name="Normal 16 2" xfId="617"/>
    <cellStyle name="Normal 17" xfId="618"/>
    <cellStyle name="Normal 17 2" xfId="619"/>
    <cellStyle name="Normal 18" xfId="620"/>
    <cellStyle name="Normal 18 2" xfId="621"/>
    <cellStyle name="Normal 18 3" xfId="622"/>
    <cellStyle name="Normal 19" xfId="623"/>
    <cellStyle name="Normal 19 2" xfId="624"/>
    <cellStyle name="Normal 2" xfId="625"/>
    <cellStyle name="Normal 2 10" xfId="626"/>
    <cellStyle name="Normal 2 11" xfId="627"/>
    <cellStyle name="Normal 2 12" xfId="628"/>
    <cellStyle name="Normal 2 13" xfId="629"/>
    <cellStyle name="Normal 2 14" xfId="630"/>
    <cellStyle name="Normal 2 14 2" xfId="631"/>
    <cellStyle name="Normal 2 15" xfId="632"/>
    <cellStyle name="Normal 2 16" xfId="633"/>
    <cellStyle name="Normal 2 17" xfId="634"/>
    <cellStyle name="Normal 2 2" xfId="635"/>
    <cellStyle name="Normal 2 2 10" xfId="636"/>
    <cellStyle name="Normal 2 2 10 2" xfId="637"/>
    <cellStyle name="Normal 2 2 10 2 2" xfId="638"/>
    <cellStyle name="Normal 2 2 10 3" xfId="639"/>
    <cellStyle name="Normal 2 2 11" xfId="640"/>
    <cellStyle name="Normal 2 2 11 2" xfId="641"/>
    <cellStyle name="Normal 2 2 11 2 2" xfId="642"/>
    <cellStyle name="Normal 2 2 11 3" xfId="643"/>
    <cellStyle name="Normal 2 2 12" xfId="644"/>
    <cellStyle name="Normal 2 2 12 2" xfId="645"/>
    <cellStyle name="Normal 2 2 13" xfId="646"/>
    <cellStyle name="Normal 2 2 2" xfId="647"/>
    <cellStyle name="Normal 2 2 2 2" xfId="648"/>
    <cellStyle name="Normal 2 2 2 2 2" xfId="649"/>
    <cellStyle name="Normal 2 2 2 3" xfId="650"/>
    <cellStyle name="Normal 2 2 2 3 2" xfId="651"/>
    <cellStyle name="Normal 2 2 2 4" xfId="652"/>
    <cellStyle name="Normal 2 2 2 4 2" xfId="653"/>
    <cellStyle name="Normal 2 2 2 5" xfId="654"/>
    <cellStyle name="Normal 2 2 2 5 2" xfId="655"/>
    <cellStyle name="Normal 2 2 2 6" xfId="656"/>
    <cellStyle name="Normal 2 2 2 6 2" xfId="657"/>
    <cellStyle name="Normal 2 2 2 7" xfId="658"/>
    <cellStyle name="Normal 2 2 2 7 2" xfId="659"/>
    <cellStyle name="Normal 2 2 2 8" xfId="660"/>
    <cellStyle name="Normal 2 2 2 8 2" xfId="661"/>
    <cellStyle name="Normal 2 2 2 9" xfId="662"/>
    <cellStyle name="Normal 2 2 3" xfId="663"/>
    <cellStyle name="Normal 2 2 3 2" xfId="664"/>
    <cellStyle name="Normal 2 2 4" xfId="665"/>
    <cellStyle name="Normal 2 2 4 2" xfId="666"/>
    <cellStyle name="Normal 2 2 5" xfId="667"/>
    <cellStyle name="Normal 2 2 5 2" xfId="668"/>
    <cellStyle name="Normal 2 2 6" xfId="669"/>
    <cellStyle name="Normal 2 2 6 2" xfId="670"/>
    <cellStyle name="Normal 2 2 7" xfId="671"/>
    <cellStyle name="Normal 2 2 7 2" xfId="672"/>
    <cellStyle name="Normal 2 2 7 2 2" xfId="673"/>
    <cellStyle name="Normal 2 2 7 3" xfId="674"/>
    <cellStyle name="Normal 2 2 8" xfId="675"/>
    <cellStyle name="Normal 2 2 8 2" xfId="676"/>
    <cellStyle name="Normal 2 2 8 2 2" xfId="677"/>
    <cellStyle name="Normal 2 2 8 3" xfId="678"/>
    <cellStyle name="Normal 2 2 9" xfId="679"/>
    <cellStyle name="Normal 2 2 9 2" xfId="680"/>
    <cellStyle name="Normal 2 2 9 2 2" xfId="681"/>
    <cellStyle name="Normal 2 2 9 3" xfId="682"/>
    <cellStyle name="Normal 2 3" xfId="683"/>
    <cellStyle name="Normal 2 4" xfId="684"/>
    <cellStyle name="Normal 2 4 2" xfId="685"/>
    <cellStyle name="Normal 2 5" xfId="686"/>
    <cellStyle name="Normal 2 5 2" xfId="687"/>
    <cellStyle name="Normal 2 5 2 2" xfId="688"/>
    <cellStyle name="Normal 2 5 3" xfId="689"/>
    <cellStyle name="Normal 2 6" xfId="690"/>
    <cellStyle name="Normal 2 6 2" xfId="691"/>
    <cellStyle name="Normal 2 6 2 2" xfId="692"/>
    <cellStyle name="Normal 2 6 3" xfId="693"/>
    <cellStyle name="Normal 2 7" xfId="694"/>
    <cellStyle name="Normal 2 7 2" xfId="695"/>
    <cellStyle name="Normal 2 7 2 2" xfId="696"/>
    <cellStyle name="Normal 2 7 3" xfId="697"/>
    <cellStyle name="Normal 2 8" xfId="698"/>
    <cellStyle name="Normal 2 8 2" xfId="699"/>
    <cellStyle name="Normal 2 8 2 2" xfId="700"/>
    <cellStyle name="Normal 2 8 3" xfId="701"/>
    <cellStyle name="Normal 2 9" xfId="702"/>
    <cellStyle name="Normal 2_Acads List" xfId="703"/>
    <cellStyle name="Normal 20" xfId="704"/>
    <cellStyle name="Normal 20 2" xfId="705"/>
    <cellStyle name="Normal 21" xfId="706"/>
    <cellStyle name="Normal 22" xfId="707"/>
    <cellStyle name="Normal 22 2" xfId="708"/>
    <cellStyle name="Normal 23" xfId="709"/>
    <cellStyle name="Normal 23 2" xfId="710"/>
    <cellStyle name="Normal 24" xfId="711"/>
    <cellStyle name="Normal 24 2" xfId="712"/>
    <cellStyle name="Normal 24 3" xfId="713"/>
    <cellStyle name="Normal 25" xfId="714"/>
    <cellStyle name="Normal 25 2" xfId="715"/>
    <cellStyle name="Normal 26" xfId="716"/>
    <cellStyle name="Normal 26 2" xfId="717"/>
    <cellStyle name="Normal 27" xfId="718"/>
    <cellStyle name="Normal 27 2" xfId="719"/>
    <cellStyle name="Normal 28" xfId="720"/>
    <cellStyle name="Normal 29" xfId="721"/>
    <cellStyle name="Normal 3" xfId="722"/>
    <cellStyle name="Normal 3 10" xfId="723"/>
    <cellStyle name="Normal 3 11" xfId="724"/>
    <cellStyle name="Normal 3 12" xfId="725"/>
    <cellStyle name="Normal 3 13" xfId="726"/>
    <cellStyle name="Normal 3 14" xfId="727"/>
    <cellStyle name="Normal 3 15" xfId="728"/>
    <cellStyle name="Normal 3 2" xfId="729"/>
    <cellStyle name="Normal 3 2 2" xfId="730"/>
    <cellStyle name="Normal 3 2 3" xfId="731"/>
    <cellStyle name="Normal 3 2 4" xfId="732"/>
    <cellStyle name="Normal 3 2 5" xfId="733"/>
    <cellStyle name="Normal 3 2 6" xfId="734"/>
    <cellStyle name="Normal 3 2 7" xfId="735"/>
    <cellStyle name="Normal 3 2_Main Allocation Sheet" xfId="736"/>
    <cellStyle name="Normal 3 3" xfId="737"/>
    <cellStyle name="Normal 3 3 2" xfId="738"/>
    <cellStyle name="Normal 3 3 2 2" xfId="739"/>
    <cellStyle name="Normal 3 3 3" xfId="740"/>
    <cellStyle name="Normal 3 4" xfId="741"/>
    <cellStyle name="Normal 3 4 2" xfId="742"/>
    <cellStyle name="Normal 3 4 2 2" xfId="743"/>
    <cellStyle name="Normal 3 4 3" xfId="744"/>
    <cellStyle name="Normal 3 5" xfId="745"/>
    <cellStyle name="Normal 3 5 2" xfId="746"/>
    <cellStyle name="Normal 3 5 2 2" xfId="747"/>
    <cellStyle name="Normal 3 5 3" xfId="748"/>
    <cellStyle name="Normal 3 6" xfId="749"/>
    <cellStyle name="Normal 3 6 2" xfId="750"/>
    <cellStyle name="Normal 3 6 2 2" xfId="751"/>
    <cellStyle name="Normal 3 6 3" xfId="752"/>
    <cellStyle name="Normal 3 7" xfId="753"/>
    <cellStyle name="Normal 3 8" xfId="754"/>
    <cellStyle name="Normal 3 9" xfId="755"/>
    <cellStyle name="Normal 3_Colleges and Providers" xfId="756"/>
    <cellStyle name="Normal 30" xfId="757"/>
    <cellStyle name="Normal 31" xfId="758"/>
    <cellStyle name="Normal 32" xfId="759"/>
    <cellStyle name="Normal 33" xfId="760"/>
    <cellStyle name="Normal 34" xfId="761"/>
    <cellStyle name="Normal 35" xfId="762"/>
    <cellStyle name="Normal 35 2" xfId="763"/>
    <cellStyle name="Normal 36" xfId="764"/>
    <cellStyle name="Normal 37" xfId="765"/>
    <cellStyle name="Normal 38" xfId="766"/>
    <cellStyle name="Normal 39" xfId="767"/>
    <cellStyle name="Normal 4" xfId="768"/>
    <cellStyle name="Normal 4 2" xfId="769"/>
    <cellStyle name="Normal 4 2 2" xfId="770"/>
    <cellStyle name="Normal 4 2 2 2" xfId="771"/>
    <cellStyle name="Normal 4 2 3" xfId="772"/>
    <cellStyle name="Normal 4 3" xfId="773"/>
    <cellStyle name="Normal 4 3 2" xfId="774"/>
    <cellStyle name="Normal 4 3 2 2" xfId="775"/>
    <cellStyle name="Normal 4 3 3" xfId="776"/>
    <cellStyle name="Normal 4 4" xfId="777"/>
    <cellStyle name="Normal 4 4 2" xfId="778"/>
    <cellStyle name="Normal 4 4 2 2" xfId="779"/>
    <cellStyle name="Normal 4 4 3" xfId="780"/>
    <cellStyle name="Normal 4 5" xfId="781"/>
    <cellStyle name="Normal 4 5 2" xfId="782"/>
    <cellStyle name="Normal 4 5 2 2" xfId="783"/>
    <cellStyle name="Normal 4 5 3" xfId="784"/>
    <cellStyle name="Normal 4 6" xfId="785"/>
    <cellStyle name="Normal 4 6 2" xfId="786"/>
    <cellStyle name="Normal 4 6 2 2" xfId="787"/>
    <cellStyle name="Normal 4 6 3" xfId="788"/>
    <cellStyle name="Normal 4 7" xfId="789"/>
    <cellStyle name="Normal 4 8" xfId="790"/>
    <cellStyle name="Normal 4 9" xfId="791"/>
    <cellStyle name="Normal 4_Regional Readiness Sheet" xfId="792"/>
    <cellStyle name="Normal 40" xfId="793"/>
    <cellStyle name="Normal 41" xfId="794"/>
    <cellStyle name="Normal 42" xfId="795"/>
    <cellStyle name="Normal 43" xfId="796"/>
    <cellStyle name="Normal 44" xfId="797"/>
    <cellStyle name="Normal 45" xfId="798"/>
    <cellStyle name="Normal 5" xfId="799"/>
    <cellStyle name="Normal 5 2" xfId="800"/>
    <cellStyle name="Normal 5 2 2" xfId="801"/>
    <cellStyle name="Normal 5 3" xfId="802"/>
    <cellStyle name="Normal 5 3 2" xfId="803"/>
    <cellStyle name="Normal 5 4" xfId="804"/>
    <cellStyle name="Normal 5 5" xfId="805"/>
    <cellStyle name="Normal 6" xfId="806"/>
    <cellStyle name="Normal 6 2" xfId="807"/>
    <cellStyle name="Normal 6 3" xfId="808"/>
    <cellStyle name="Normal 6 3 2" xfId="809"/>
    <cellStyle name="Normal 6 4" xfId="810"/>
    <cellStyle name="Normal 7" xfId="811"/>
    <cellStyle name="Normal 7 2" xfId="812"/>
    <cellStyle name="Normal 8" xfId="813"/>
    <cellStyle name="Normal 8 2" xfId="814"/>
    <cellStyle name="Normal 9" xfId="815"/>
    <cellStyle name="Normal 9 2" xfId="816"/>
    <cellStyle name="Normal 9 2 2" xfId="817"/>
    <cellStyle name="Normal 9 2 2 2" xfId="818"/>
    <cellStyle name="Normal 9 3" xfId="819"/>
    <cellStyle name="Normal 9 3 2" xfId="820"/>
    <cellStyle name="Normal 9 4" xfId="821"/>
    <cellStyle name="Normal 9 4 2" xfId="822"/>
    <cellStyle name="Normal 9 4 2 2" xfId="823"/>
    <cellStyle name="Normal 9 4 3" xfId="824"/>
    <cellStyle name="NormalStyleCurrency" xfId="825"/>
    <cellStyle name="NormalStyleText" xfId="826"/>
    <cellStyle name="Note" xfId="827" builtinId="10" customBuiltin="1"/>
    <cellStyle name="Note 2" xfId="828"/>
    <cellStyle name="Note 2 2" xfId="829"/>
    <cellStyle name="Note 2 2 2" xfId="830"/>
    <cellStyle name="Note 2 2 3" xfId="831"/>
    <cellStyle name="Note 2 2 4" xfId="832"/>
    <cellStyle name="Note 2 3" xfId="833"/>
    <cellStyle name="Note 2 3 2" xfId="834"/>
    <cellStyle name="Note 2 3 3" xfId="835"/>
    <cellStyle name="Note 2 4" xfId="836"/>
    <cellStyle name="Note 2 4 2" xfId="837"/>
    <cellStyle name="Note 2 4 3" xfId="838"/>
    <cellStyle name="Note 2 5" xfId="839"/>
    <cellStyle name="Note 2 5 2" xfId="840"/>
    <cellStyle name="Note 2 6" xfId="841"/>
    <cellStyle name="Note 2 6 2" xfId="842"/>
    <cellStyle name="Note 3" xfId="843"/>
    <cellStyle name="Note 3 2" xfId="844"/>
    <cellStyle name="Note 3 2 2" xfId="845"/>
    <cellStyle name="Note 3 2 3" xfId="846"/>
    <cellStyle name="Note 3 3" xfId="847"/>
    <cellStyle name="Note 3 3 2" xfId="848"/>
    <cellStyle name="Note 3 3 3" xfId="849"/>
    <cellStyle name="Note 3 4" xfId="850"/>
    <cellStyle name="Note 3 4 2" xfId="851"/>
    <cellStyle name="Note 3 4 3" xfId="852"/>
    <cellStyle name="Note 3 5" xfId="853"/>
    <cellStyle name="Note 4" xfId="854"/>
    <cellStyle name="Note 4 2" xfId="855"/>
    <cellStyle name="Note 4 2 2" xfId="856"/>
    <cellStyle name="Note 4 2 3" xfId="857"/>
    <cellStyle name="Note 4 3" xfId="858"/>
    <cellStyle name="Note 4 3 2" xfId="859"/>
    <cellStyle name="Note 4 3 3" xfId="860"/>
    <cellStyle name="Note 4 4" xfId="861"/>
    <cellStyle name="Note 4 4 2" xfId="862"/>
    <cellStyle name="Note 4 4 3" xfId="863"/>
    <cellStyle name="Note 4 5" xfId="864"/>
    <cellStyle name="Note 5" xfId="865"/>
    <cellStyle name="Note 5 2" xfId="866"/>
    <cellStyle name="Note 5 3" xfId="867"/>
    <cellStyle name="Note 6" xfId="868"/>
    <cellStyle name="Note 6 2" xfId="869"/>
    <cellStyle name="Note 6 3" xfId="870"/>
    <cellStyle name="Note 7" xfId="871"/>
    <cellStyle name="Note 7 2" xfId="872"/>
    <cellStyle name="Note 7 3" xfId="873"/>
    <cellStyle name="Note 8" xfId="874"/>
    <cellStyle name="Note 8 2" xfId="875"/>
    <cellStyle name="Number" xfId="876"/>
    <cellStyle name="Number 2" xfId="877"/>
    <cellStyle name="Number 3" xfId="878"/>
    <cellStyle name="Œ…‹æØ‚è [0.00]_laroux" xfId="879"/>
    <cellStyle name="Œ…‹æØ‚è_laroux" xfId="880"/>
    <cellStyle name="Output" xfId="881" builtinId="21" customBuiltin="1"/>
    <cellStyle name="Output 2" xfId="882"/>
    <cellStyle name="Output 2 2" xfId="883"/>
    <cellStyle name="Output 2 2 2" xfId="884"/>
    <cellStyle name="Output 2 2 3" xfId="885"/>
    <cellStyle name="Output 2 2 4" xfId="886"/>
    <cellStyle name="Output 2 3" xfId="887"/>
    <cellStyle name="Output 2 3 2" xfId="888"/>
    <cellStyle name="Output 2 3 3" xfId="889"/>
    <cellStyle name="Output 2 4" xfId="890"/>
    <cellStyle name="Output 2 4 2" xfId="891"/>
    <cellStyle name="Output 2 4 3" xfId="892"/>
    <cellStyle name="Output 2 5" xfId="893"/>
    <cellStyle name="Output 3" xfId="894"/>
    <cellStyle name="Output 3 2" xfId="895"/>
    <cellStyle name="Output 3 2 2" xfId="896"/>
    <cellStyle name="Output 3 2 3" xfId="897"/>
    <cellStyle name="Output 3 3" xfId="898"/>
    <cellStyle name="Output 3 3 2" xfId="899"/>
    <cellStyle name="Output 3 3 3" xfId="900"/>
    <cellStyle name="Output 3 4" xfId="901"/>
    <cellStyle name="Output 3 4 2" xfId="902"/>
    <cellStyle name="Output 3 4 3" xfId="903"/>
    <cellStyle name="Output 3 5" xfId="904"/>
    <cellStyle name="Output 4" xfId="905"/>
    <cellStyle name="Output 4 2" xfId="906"/>
    <cellStyle name="Output 4 2 2" xfId="907"/>
    <cellStyle name="Output 4 2 3" xfId="908"/>
    <cellStyle name="Output 4 3" xfId="909"/>
    <cellStyle name="Output 4 3 2" xfId="910"/>
    <cellStyle name="Output 4 3 3" xfId="911"/>
    <cellStyle name="Output 4 4" xfId="912"/>
    <cellStyle name="Output 4 4 2" xfId="913"/>
    <cellStyle name="Output 4 4 3" xfId="914"/>
    <cellStyle name="Output 4 5" xfId="915"/>
    <cellStyle name="Output 5" xfId="916"/>
    <cellStyle name="Output 5 2" xfId="917"/>
    <cellStyle name="Output 5 3" xfId="918"/>
    <cellStyle name="Output 6" xfId="919"/>
    <cellStyle name="Output 6 2" xfId="920"/>
    <cellStyle name="Output 6 3" xfId="921"/>
    <cellStyle name="Output 7" xfId="922"/>
    <cellStyle name="Output 7 2" xfId="923"/>
    <cellStyle name="Output 7 3" xfId="924"/>
    <cellStyle name="Output 8" xfId="925"/>
    <cellStyle name="Page heading" xfId="926"/>
    <cellStyle name="Percent" xfId="927" builtinId="5"/>
    <cellStyle name="Percent [0]" xfId="928"/>
    <cellStyle name="Percent [00]" xfId="929"/>
    <cellStyle name="Percent [2]" xfId="930"/>
    <cellStyle name="Percent 2" xfId="931"/>
    <cellStyle name="Percent 2 2" xfId="932"/>
    <cellStyle name="Percent 2 2 2" xfId="933"/>
    <cellStyle name="Percent 2 3" xfId="934"/>
    <cellStyle name="Percent 2 3 2" xfId="935"/>
    <cellStyle name="Percent 2 4" xfId="936"/>
    <cellStyle name="Percent 2 4 2" xfId="937"/>
    <cellStyle name="Percent 2 5" xfId="938"/>
    <cellStyle name="Percent 3" xfId="939"/>
    <cellStyle name="Percent 3 2" xfId="940"/>
    <cellStyle name="Percent 4" xfId="941"/>
    <cellStyle name="Percent 4 2" xfId="942"/>
    <cellStyle name="Percent 5" xfId="943"/>
    <cellStyle name="Percent 6" xfId="944"/>
    <cellStyle name="Percent 7" xfId="945"/>
    <cellStyle name="PrePop Currency (0)" xfId="946"/>
    <cellStyle name="PrePop Currency (2)" xfId="947"/>
    <cellStyle name="PrePop Units (0)" xfId="948"/>
    <cellStyle name="PrePop Units (1)" xfId="949"/>
    <cellStyle name="PrePop Units (2)" xfId="950"/>
    <cellStyle name="provisional PN158/97" xfId="951"/>
    <cellStyle name="PSChar" xfId="952"/>
    <cellStyle name="PSDate" xfId="953"/>
    <cellStyle name="PSDec" xfId="954"/>
    <cellStyle name="PSHeading" xfId="955"/>
    <cellStyle name="PSInt" xfId="956"/>
    <cellStyle name="PSSpacer" xfId="957"/>
    <cellStyle name="P嗴_x000c_〘 ńバ঒〘 " xfId="958"/>
    <cellStyle name="P嗴_x000c_〘 ńバ঒〘  2" xfId="959"/>
    <cellStyle name="P嗴_x000c_〘 ńバ঒〘 _Main Allocation Sheet" xfId="960"/>
    <cellStyle name="SAPBEXstdData" xfId="961"/>
    <cellStyle name="SAPBEXstdData 2" xfId="962"/>
    <cellStyle name="SAPBEXstdData 2 2" xfId="963"/>
    <cellStyle name="SAPBEXstdData 2 3" xfId="964"/>
    <cellStyle name="SAPBEXstdData 3" xfId="965"/>
    <cellStyle name="SAPBEXstdData 3 2" xfId="966"/>
    <cellStyle name="SAPBEXstdData 3 3" xfId="967"/>
    <cellStyle name="SAPBEXstdData 4" xfId="968"/>
    <cellStyle name="SAPBEXstdData 4 2" xfId="969"/>
    <cellStyle name="SAPBEXstdData 4 3" xfId="970"/>
    <cellStyle name="SAPBEXstdData 5" xfId="971"/>
    <cellStyle name="Satisfaisant" xfId="972"/>
    <cellStyle name="Sheet Title" xfId="973"/>
    <cellStyle name="Sortie" xfId="974"/>
    <cellStyle name="Style 1" xfId="975"/>
    <cellStyle name="Style 1 2" xfId="976"/>
    <cellStyle name="Style 1_Main Allocation Sheet" xfId="977"/>
    <cellStyle name="Style 22" xfId="978"/>
    <cellStyle name="Style 23" xfId="979"/>
    <cellStyle name="Style 24" xfId="980"/>
    <cellStyle name="Style 25" xfId="981"/>
    <cellStyle name="Style 26" xfId="982"/>
    <cellStyle name="Style 27" xfId="983"/>
    <cellStyle name="sub" xfId="984"/>
    <cellStyle name="table imported" xfId="985"/>
    <cellStyle name="table imported 2" xfId="986"/>
    <cellStyle name="table imported 2 2" xfId="987"/>
    <cellStyle name="table sum" xfId="988"/>
    <cellStyle name="table sum 2" xfId="989"/>
    <cellStyle name="table sum 2 2" xfId="990"/>
    <cellStyle name="table values" xfId="991"/>
    <cellStyle name="table values 2" xfId="992"/>
    <cellStyle name="table values 2 2" xfId="993"/>
    <cellStyle name="Text Indent A" xfId="994"/>
    <cellStyle name="Text Indent B" xfId="995"/>
    <cellStyle name="Text Indent C" xfId="996"/>
    <cellStyle name="Texte explicatif" xfId="997"/>
    <cellStyle name="Title" xfId="998" builtinId="15" customBuiltin="1"/>
    <cellStyle name="Title 2" xfId="999"/>
    <cellStyle name="Title 3" xfId="1000"/>
    <cellStyle name="Title 4" xfId="1001"/>
    <cellStyle name="Title 5" xfId="1002"/>
    <cellStyle name="Titre" xfId="1003"/>
    <cellStyle name="Titre 1" xfId="1004"/>
    <cellStyle name="Titre 2" xfId="1005"/>
    <cellStyle name="Titre 3" xfId="1006"/>
    <cellStyle name="Titre 4" xfId="1007"/>
    <cellStyle name="Total" xfId="1008" builtinId="25" customBuiltin="1"/>
    <cellStyle name="Total 2" xfId="1009"/>
    <cellStyle name="Total 2 2" xfId="1010"/>
    <cellStyle name="Total 2 2 2" xfId="1011"/>
    <cellStyle name="Total 2 2 3" xfId="1012"/>
    <cellStyle name="Total 2 2 4" xfId="1013"/>
    <cellStyle name="Total 2 3" xfId="1014"/>
    <cellStyle name="Total 2 3 2" xfId="1015"/>
    <cellStyle name="Total 2 3 3" xfId="1016"/>
    <cellStyle name="Total 2 4" xfId="1017"/>
    <cellStyle name="Total 2 4 2" xfId="1018"/>
    <cellStyle name="Total 2 4 3" xfId="1019"/>
    <cellStyle name="Total 2 5" xfId="1020"/>
    <cellStyle name="Total 3" xfId="1021"/>
    <cellStyle name="Total 3 2" xfId="1022"/>
    <cellStyle name="Total 3 2 2" xfId="1023"/>
    <cellStyle name="Total 3 2 3" xfId="1024"/>
    <cellStyle name="Total 3 3" xfId="1025"/>
    <cellStyle name="Total 3 3 2" xfId="1026"/>
    <cellStyle name="Total 3 3 3" xfId="1027"/>
    <cellStyle name="Total 3 4" xfId="1028"/>
    <cellStyle name="Total 3 4 2" xfId="1029"/>
    <cellStyle name="Total 3 4 3" xfId="1030"/>
    <cellStyle name="Total 3 5" xfId="1031"/>
    <cellStyle name="Total 4" xfId="1032"/>
    <cellStyle name="Total 4 2" xfId="1033"/>
    <cellStyle name="Total 4 2 2" xfId="1034"/>
    <cellStyle name="Total 4 2 3" xfId="1035"/>
    <cellStyle name="Total 4 3" xfId="1036"/>
    <cellStyle name="Total 4 3 2" xfId="1037"/>
    <cellStyle name="Total 4 3 3" xfId="1038"/>
    <cellStyle name="Total 4 4" xfId="1039"/>
    <cellStyle name="Total 4 4 2" xfId="1040"/>
    <cellStyle name="Total 4 4 3" xfId="1041"/>
    <cellStyle name="Total 4 5" xfId="1042"/>
    <cellStyle name="Total 5" xfId="1043"/>
    <cellStyle name="Total 5 2" xfId="1044"/>
    <cellStyle name="Total 5 3" xfId="1045"/>
    <cellStyle name="Total 6" xfId="1046"/>
    <cellStyle name="Total 6 2" xfId="1047"/>
    <cellStyle name="Total 6 3" xfId="1048"/>
    <cellStyle name="Total 7" xfId="1049"/>
    <cellStyle name="Total 7 2" xfId="1050"/>
    <cellStyle name="Total 7 3" xfId="1051"/>
    <cellStyle name="Total 8" xfId="1052"/>
    <cellStyle name="TotalStyleCurrency" xfId="1053"/>
    <cellStyle name="TotalStyleText" xfId="1054"/>
    <cellStyle name="u5shares" xfId="1055"/>
    <cellStyle name="Variable assumptions" xfId="1056"/>
    <cellStyle name="Vérification" xfId="1057"/>
    <cellStyle name="Warning Text" xfId="1058" builtinId="11" customBuiltin="1"/>
    <cellStyle name="Warning Text 2" xfId="1059"/>
    <cellStyle name="Warning Text 2 2" xfId="1060"/>
    <cellStyle name="Warning Text 3" xfId="1061"/>
    <cellStyle name="Warning Text 4" xfId="1062"/>
    <cellStyle name="Warning Text 5" xfId="1063"/>
  </cellStyles>
  <dxfs count="39"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 patternType="gray0625">
          <bgColor indexed="34"/>
        </patternFill>
      </fill>
    </dxf>
    <dxf>
      <fill>
        <patternFill patternType="gray0625">
          <bgColor indexed="34"/>
        </patternFill>
      </fill>
    </dxf>
    <dxf>
      <fill>
        <patternFill patternType="gray0625">
          <bgColor indexed="34"/>
        </patternFill>
      </fill>
    </dxf>
    <dxf>
      <fill>
        <patternFill patternType="gray0625">
          <bgColor indexed="34"/>
        </patternFill>
      </fill>
    </dxf>
    <dxf>
      <fill>
        <patternFill patternType="gray0625">
          <bgColor indexed="34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OCT14Census!$D$130:$T$130</c:f>
              <c:strCache>
                <c:ptCount val="17"/>
                <c:pt idx="0">
                  <c:v>N1</c:v>
                </c:pt>
                <c:pt idx="1">
                  <c:v>N2</c:v>
                </c:pt>
                <c:pt idx="2">
                  <c:v>R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</c:strCache>
            </c:strRef>
          </c:cat>
          <c:val>
            <c:numRef>
              <c:f>OCT14Census!$D$131:$T$131</c:f>
              <c:numCache>
                <c:formatCode>General</c:formatCode>
                <c:ptCount val="17"/>
                <c:pt idx="0">
                  <c:v>272</c:v>
                </c:pt>
                <c:pt idx="1">
                  <c:v>2579</c:v>
                </c:pt>
                <c:pt idx="2">
                  <c:v>4284</c:v>
                </c:pt>
                <c:pt idx="3">
                  <c:v>4300</c:v>
                </c:pt>
                <c:pt idx="4">
                  <c:v>4373</c:v>
                </c:pt>
                <c:pt idx="5">
                  <c:v>4052</c:v>
                </c:pt>
                <c:pt idx="6">
                  <c:v>3912</c:v>
                </c:pt>
                <c:pt idx="7">
                  <c:v>3844</c:v>
                </c:pt>
                <c:pt idx="8">
                  <c:v>3620</c:v>
                </c:pt>
                <c:pt idx="9">
                  <c:v>3817</c:v>
                </c:pt>
                <c:pt idx="10">
                  <c:v>3778</c:v>
                </c:pt>
                <c:pt idx="11">
                  <c:v>3568</c:v>
                </c:pt>
                <c:pt idx="12">
                  <c:v>3737</c:v>
                </c:pt>
                <c:pt idx="13">
                  <c:v>3680</c:v>
                </c:pt>
                <c:pt idx="14">
                  <c:v>2517</c:v>
                </c:pt>
                <c:pt idx="15">
                  <c:v>2090</c:v>
                </c:pt>
                <c:pt idx="16">
                  <c:v>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02496"/>
        <c:axId val="53804416"/>
      </c:barChart>
      <c:catAx>
        <c:axId val="538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804416"/>
        <c:crosses val="autoZero"/>
        <c:auto val="1"/>
        <c:lblAlgn val="ctr"/>
        <c:lblOffset val="100"/>
        <c:noMultiLvlLbl val="0"/>
      </c:catAx>
      <c:valAx>
        <c:axId val="53804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8024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Oct-14</c:v>
          </c:tx>
          <c:invertIfNegative val="0"/>
          <c:cat>
            <c:strLit>
              <c:ptCount val="12"/>
              <c:pt idx="0">
                <c:v>R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</c:strLit>
          </c:cat>
          <c:val>
            <c:numLit>
              <c:formatCode>General</c:formatCode>
              <c:ptCount val="12"/>
              <c:pt idx="0">
                <c:v>4284</c:v>
              </c:pt>
              <c:pt idx="1">
                <c:v>4300</c:v>
              </c:pt>
              <c:pt idx="2">
                <c:v>4373</c:v>
              </c:pt>
              <c:pt idx="3">
                <c:v>4052</c:v>
              </c:pt>
              <c:pt idx="4">
                <c:v>3912</c:v>
              </c:pt>
              <c:pt idx="5">
                <c:v>3844</c:v>
              </c:pt>
              <c:pt idx="6">
                <c:v>3620</c:v>
              </c:pt>
              <c:pt idx="7">
                <c:v>3817</c:v>
              </c:pt>
              <c:pt idx="8">
                <c:v>3778</c:v>
              </c:pt>
              <c:pt idx="9">
                <c:v>3568</c:v>
              </c:pt>
              <c:pt idx="10">
                <c:v>3737</c:v>
              </c:pt>
              <c:pt idx="11">
                <c:v>3680</c:v>
              </c:pt>
            </c:numLit>
          </c:val>
        </c:ser>
        <c:ser>
          <c:idx val="1"/>
          <c:order val="1"/>
          <c:tx>
            <c:v>Oct-15</c:v>
          </c:tx>
          <c:invertIfNegative val="0"/>
          <c:cat>
            <c:strLit>
              <c:ptCount val="12"/>
              <c:pt idx="0">
                <c:v>R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</c:strLit>
          </c:cat>
          <c:val>
            <c:numLit>
              <c:formatCode>General</c:formatCode>
              <c:ptCount val="12"/>
              <c:pt idx="0">
                <c:v>4433</c:v>
              </c:pt>
              <c:pt idx="1">
                <c:v>4395</c:v>
              </c:pt>
              <c:pt idx="2">
                <c:v>4289</c:v>
              </c:pt>
              <c:pt idx="3">
                <c:v>4308</c:v>
              </c:pt>
              <c:pt idx="4">
                <c:v>4070</c:v>
              </c:pt>
              <c:pt idx="5">
                <c:v>3925</c:v>
              </c:pt>
              <c:pt idx="6">
                <c:v>3833</c:v>
              </c:pt>
              <c:pt idx="7">
                <c:v>3913</c:v>
              </c:pt>
              <c:pt idx="8">
                <c:v>3857</c:v>
              </c:pt>
              <c:pt idx="9">
                <c:v>3825</c:v>
              </c:pt>
              <c:pt idx="10">
                <c:v>3592</c:v>
              </c:pt>
              <c:pt idx="11">
                <c:v>3784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21312"/>
        <c:axId val="132070400"/>
      </c:barChart>
      <c:catAx>
        <c:axId val="12982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070400"/>
        <c:crosses val="autoZero"/>
        <c:auto val="1"/>
        <c:lblAlgn val="ctr"/>
        <c:lblOffset val="100"/>
        <c:noMultiLvlLbl val="0"/>
      </c:catAx>
      <c:valAx>
        <c:axId val="132070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8213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Home!A1"/><Relationship Id="rId1" Type="http://schemas.openxmlformats.org/officeDocument/2006/relationships/hyperlink" Target="#NEW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1695450</xdr:colOff>
      <xdr:row>2</xdr:row>
      <xdr:rowOff>428625</xdr:rowOff>
    </xdr:from>
    <xdr:to>
      <xdr:col>1</xdr:col>
      <xdr:colOff>2019300</xdr:colOff>
      <xdr:row>2</xdr:row>
      <xdr:rowOff>428625</xdr:rowOff>
    </xdr:to>
    <xdr:sp macro="" textlink="">
      <xdr:nvSpPr>
        <xdr:cNvPr id="3403" name="Line 1"/>
        <xdr:cNvSpPr>
          <a:spLocks noChangeShapeType="1"/>
        </xdr:cNvSpPr>
      </xdr:nvSpPr>
      <xdr:spPr bwMode="auto">
        <a:xfrm>
          <a:off x="4267200" y="914400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310815</xdr:colOff>
      <xdr:row>1</xdr:row>
      <xdr:rowOff>120316</xdr:rowOff>
    </xdr:from>
    <xdr:to>
      <xdr:col>8</xdr:col>
      <xdr:colOff>721894</xdr:colOff>
      <xdr:row>4</xdr:row>
      <xdr:rowOff>40105</xdr:rowOff>
    </xdr:to>
    <xdr:sp macro="[0]!Addaschool" textlink="">
      <xdr:nvSpPr>
        <xdr:cNvPr id="2" name="Rounded Rectangle 1"/>
        <xdr:cNvSpPr/>
      </xdr:nvSpPr>
      <xdr:spPr>
        <a:xfrm>
          <a:off x="6326604" y="360948"/>
          <a:ext cx="1283369" cy="711868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/>
          </a:solidFill>
        </a:ln>
        <a:effectLst>
          <a:glow rad="12700">
            <a:schemeClr val="accent1">
              <a:alpha val="40000"/>
            </a:schemeClr>
          </a:glow>
          <a:innerShdw dir="16200000">
            <a:prstClr val="black">
              <a:alpha val="50000"/>
            </a:prstClr>
          </a:innerShdw>
          <a:reflection stA="89000" endPos="0" dir="5400000" sy="-100000" algn="bl" rotWithShape="0"/>
          <a:softEdge rad="38100"/>
        </a:effectLst>
        <a:scene3d>
          <a:camera prst="orthographicFront"/>
          <a:lightRig rig="threePt" dir="t">
            <a:rot lat="0" lon="0" rev="2400000"/>
          </a:lightRig>
        </a:scene3d>
        <a:sp3d extrusionH="101600" contourW="12700" prstMaterial="metal">
          <a:bevelT/>
          <a:bevelB w="114300" prst="artDeco"/>
          <a:extrusionClr>
            <a:schemeClr val="accent1">
              <a:lumMod val="60000"/>
              <a:lumOff val="40000"/>
            </a:schemeClr>
          </a:extrusionClr>
          <a:contourClr>
            <a:schemeClr val="accent1">
              <a:lumMod val="75000"/>
            </a:schemeClr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lang="en-GB" sz="1100" b="1"/>
            <a:t>&lt;&lt;Click to Add</a:t>
          </a:r>
          <a:r>
            <a:rPr lang="en-GB" sz="1100" b="1" baseline="0"/>
            <a:t> &amp; Compare another School</a:t>
          </a:r>
          <a:endParaRPr lang="en-GB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268941</xdr:colOff>
      <xdr:row>4</xdr:row>
      <xdr:rowOff>33618</xdr:rowOff>
    </xdr:from>
    <xdr:to>
      <xdr:col>15</xdr:col>
      <xdr:colOff>453839</xdr:colOff>
      <xdr:row>5</xdr:row>
      <xdr:rowOff>349783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15127941" y="900393"/>
          <a:ext cx="1861298" cy="678115"/>
        </a:xfrm>
        <a:prstGeom prst="rect">
          <a:avLst/>
        </a:prstGeom>
        <a:gradFill>
          <a:gsLst>
            <a:gs pos="0">
              <a:srgbClr val="8488C4">
                <a:lumMod val="0"/>
                <a:lumOff val="100000"/>
              </a:srgbClr>
            </a:gs>
            <a:gs pos="53000">
              <a:srgbClr val="D4DEFF"/>
            </a:gs>
            <a:gs pos="83000">
              <a:srgbClr val="D4DEFF"/>
            </a:gs>
            <a:gs pos="100000">
              <a:srgbClr val="96AB94"/>
            </a:gs>
          </a:gsLst>
          <a:lin ang="8100000" scaled="1"/>
        </a:gradFill>
        <a:ln w="9525" cmpd="sng">
          <a:solidFill>
            <a:schemeClr val="bg2">
              <a:lumMod val="90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/>
            <a:t>News</a:t>
          </a:r>
        </a:p>
      </xdr:txBody>
    </xdr:sp>
    <xdr:clientData/>
  </xdr:twoCellAnchor>
  <xdr:twoCellAnchor>
    <xdr:from>
      <xdr:col>16</xdr:col>
      <xdr:colOff>0</xdr:colOff>
      <xdr:row>4</xdr:row>
      <xdr:rowOff>33618</xdr:rowOff>
    </xdr:from>
    <xdr:to>
      <xdr:col>17</xdr:col>
      <xdr:colOff>631531</xdr:colOff>
      <xdr:row>5</xdr:row>
      <xdr:rowOff>349783</xdr:rowOff>
    </xdr:to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17173575" y="900393"/>
          <a:ext cx="1031581" cy="678115"/>
        </a:xfrm>
        <a:prstGeom prst="rect">
          <a:avLst/>
        </a:prstGeom>
        <a:gradFill flip="none" rotWithShape="1">
          <a:gsLst>
            <a:gs pos="0">
              <a:srgbClr val="8488C4">
                <a:lumMod val="1000"/>
                <a:lumOff val="99000"/>
              </a:srgbClr>
            </a:gs>
            <a:gs pos="53000">
              <a:srgbClr val="D4DEFF"/>
            </a:gs>
            <a:gs pos="83000">
              <a:srgbClr val="D4DEFF"/>
            </a:gs>
            <a:gs pos="100000">
              <a:srgbClr val="96AB94"/>
            </a:gs>
          </a:gsLst>
          <a:lin ang="8100000" scaled="1"/>
          <a:tileRect/>
        </a:gradFill>
        <a:ln w="9525" cmpd="sng">
          <a:solidFill>
            <a:schemeClr val="bg2">
              <a:lumMod val="90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/>
            <a:t>Home</a:t>
          </a:r>
        </a:p>
      </xdr:txBody>
    </xdr:sp>
    <xdr:clientData/>
  </xdr:twoCellAnchor>
  <xdr:twoCellAnchor>
    <xdr:from>
      <xdr:col>6</xdr:col>
      <xdr:colOff>161925</xdr:colOff>
      <xdr:row>10</xdr:row>
      <xdr:rowOff>3361</xdr:rowOff>
    </xdr:from>
    <xdr:to>
      <xdr:col>6</xdr:col>
      <xdr:colOff>541805</xdr:colOff>
      <xdr:row>11</xdr:row>
      <xdr:rowOff>22411</xdr:rowOff>
    </xdr:to>
    <xdr:sp macro="" textlink="">
      <xdr:nvSpPr>
        <xdr:cNvPr id="4" name="Right Arrow 3"/>
        <xdr:cNvSpPr/>
      </xdr:nvSpPr>
      <xdr:spPr>
        <a:xfrm rot="10800000">
          <a:off x="9153525" y="2556061"/>
          <a:ext cx="379880" cy="209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136</xdr:row>
      <xdr:rowOff>19050</xdr:rowOff>
    </xdr:from>
    <xdr:to>
      <xdr:col>21</xdr:col>
      <xdr:colOff>647700</xdr:colOff>
      <xdr:row>150</xdr:row>
      <xdr:rowOff>95250</xdr:rowOff>
    </xdr:to>
    <xdr:graphicFrame macro="">
      <xdr:nvGraphicFramePr>
        <xdr:cNvPr id="184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561975</xdr:colOff>
      <xdr:row>139</xdr:row>
      <xdr:rowOff>71437</xdr:rowOff>
    </xdr:from>
    <xdr:to>
      <xdr:col>16</xdr:col>
      <xdr:colOff>247650</xdr:colOff>
      <xdr:row>153</xdr:row>
      <xdr:rowOff>147637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hools%20accountancy\Bank%20Account%20Funding\2008-09\Option%20D\Funding%20Option%20D%202008-09%20TE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%20accountancy/School%20Funding%20Team/2015-16/Copy%20of%20Copy%20of%20EOYReport15-16%20V8.2%20@%2022Mar%20for%20web%20-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%20accountancy/School%20Funding%20Team/2015-16/Pupil_Premium_final_allocations_2015_to_2016_School_table%2015April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%20accountancy/CFR/2015-16/Export/CFR20152016_BenchMarkData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all Schs Funding"/>
      <sheetName val="Funding Statements"/>
      <sheetName val="OPT D 2008-9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specialtopup"/>
      <sheetName val="AutEHCPtopup"/>
      <sheetName val="AutARPtopup"/>
      <sheetName val="Choose"/>
      <sheetName val="News"/>
      <sheetName val="Home"/>
      <sheetName val="BudgetShare"/>
      <sheetName val="Payments"/>
      <sheetName val="Pupils"/>
      <sheetName val="CFR"/>
      <sheetName val="HighNeeds"/>
      <sheetName val="EHCPtopup"/>
      <sheetName val="ARPtopup"/>
      <sheetName val="Specialtopup"/>
      <sheetName val="PRUTopups"/>
      <sheetName val="HNRates"/>
      <sheetName val="EarlyYears"/>
      <sheetName val="EYSprUpdate"/>
      <sheetName val="SixthForm"/>
      <sheetName val="PupilPremium"/>
      <sheetName val="Grants"/>
      <sheetName val="Growth"/>
      <sheetName val="MFG"/>
      <sheetName val="NotionalSEN"/>
      <sheetName val="Compare"/>
      <sheetName val="BarnetReport"/>
      <sheetName val="NicoleAdj"/>
      <sheetName val="NicoleAprilBCD"/>
      <sheetName val="NicoleBCD"/>
      <sheetName val="NicoleAll"/>
      <sheetName val="RunCost"/>
      <sheetName val="BudMon"/>
      <sheetName val="EYData"/>
      <sheetName val="NEWISB"/>
      <sheetName val="AUTTOPUPS"/>
      <sheetName val="AutTopupData"/>
      <sheetName val="Month8"/>
      <sheetName val="Schools"/>
      <sheetName val="1415Funding"/>
      <sheetName val="OCT14Census"/>
      <sheetName val="Schooldata"/>
      <sheetName val="CostCentres"/>
      <sheetName val="Exclusions"/>
      <sheetName val="PPJuly2"/>
      <sheetName val="PPFSM6July1"/>
      <sheetName val="HNPlaces"/>
      <sheetName val="HNPUPILS"/>
      <sheetName val="PRUCENSUS"/>
      <sheetName val="BulgeProt"/>
      <sheetName val="UIFSM"/>
      <sheetName val="UIFSMdata"/>
      <sheetName val="NNDRfromR&amp;B"/>
      <sheetName val="TRANSeoy15"/>
      <sheetName val="Autopay1"/>
      <sheetName val="Autopay2"/>
      <sheetName val="Autopay3"/>
      <sheetName val="Autopay4"/>
      <sheetName val="DFCfinal"/>
      <sheetName val="SummerLAC"/>
      <sheetName val="UIFSMAdj"/>
      <sheetName val="UIFSMJul"/>
      <sheetName val="EHCP+ARPJuly"/>
      <sheetName val="SpecJuly"/>
      <sheetName val="POST16Allocs"/>
      <sheetName val="EY SUMA adj"/>
      <sheetName val="EY SUMAdata"/>
      <sheetName val="EY BUDMON Jul15"/>
      <sheetName val="Recoup"/>
      <sheetName val="NNDROct"/>
      <sheetName val="SummerSchools"/>
      <sheetName val="MP"/>
      <sheetName val="PEGrant1516"/>
      <sheetName val="RBaseline"/>
      <sheetName val="Sheet2"/>
      <sheetName val="LAPPGAdd"/>
      <sheetName val="Sheet3"/>
      <sheetName val="TRANS"/>
      <sheetName val="Rates"/>
      <sheetName val="Y7catchup"/>
      <sheetName val="EYAutAct"/>
      <sheetName val="Claremont"/>
      <sheetName val="BudmonJan"/>
      <sheetName val="Autopivot"/>
      <sheetName val="SprSENAdj"/>
      <sheetName val="SprTopupData"/>
      <sheetName val="VSallocs"/>
      <sheetName val="BUDGET SHARE inc ADJUSTMENT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E4" t="str">
            <v>RUN</v>
          </cell>
        </row>
        <row r="5">
          <cell r="D5" t="str">
            <v>DFE</v>
          </cell>
          <cell r="E5" t="str">
            <v>Original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Oct</v>
          </cell>
          <cell r="K5" t="str">
            <v>Dec</v>
          </cell>
          <cell r="L5" t="str">
            <v>Feb</v>
          </cell>
          <cell r="M5" t="str">
            <v>Grand Total</v>
          </cell>
        </row>
        <row r="6">
          <cell r="D6">
            <v>6905</v>
          </cell>
          <cell r="E6">
            <v>7694495.1968170572</v>
          </cell>
          <cell r="F6"/>
          <cell r="G6">
            <v>76437</v>
          </cell>
          <cell r="H6">
            <v>-32462.323135755258</v>
          </cell>
          <cell r="I6"/>
          <cell r="J6">
            <v>-50937</v>
          </cell>
          <cell r="K6">
            <v>-36400.17</v>
          </cell>
          <cell r="L6">
            <v>8050</v>
          </cell>
          <cell r="M6">
            <v>7659182.7036813023</v>
          </cell>
        </row>
        <row r="7">
          <cell r="D7">
            <v>3521</v>
          </cell>
          <cell r="E7">
            <v>3782021.4590153238</v>
          </cell>
          <cell r="F7"/>
          <cell r="G7"/>
          <cell r="H7">
            <v>-31957.095502124292</v>
          </cell>
          <cell r="I7"/>
          <cell r="J7">
            <v>10250</v>
          </cell>
          <cell r="K7">
            <v>17871.929999999997</v>
          </cell>
          <cell r="L7">
            <v>-3404.5599999999995</v>
          </cell>
          <cell r="M7">
            <v>3774781.7335131997</v>
          </cell>
        </row>
        <row r="8">
          <cell r="D8">
            <v>6906</v>
          </cell>
          <cell r="E8">
            <v>5315986.9257439319</v>
          </cell>
          <cell r="F8"/>
          <cell r="G8">
            <v>22572</v>
          </cell>
          <cell r="H8">
            <v>13782.357623318385</v>
          </cell>
          <cell r="I8"/>
          <cell r="J8">
            <v>-22572</v>
          </cell>
          <cell r="K8">
            <v>14187.83</v>
          </cell>
          <cell r="L8">
            <v>-8264</v>
          </cell>
          <cell r="M8">
            <v>5335693.1133672502</v>
          </cell>
        </row>
        <row r="9">
          <cell r="E9">
            <v>16792503.58157631</v>
          </cell>
          <cell r="F9">
            <v>0</v>
          </cell>
          <cell r="G9">
            <v>99009</v>
          </cell>
          <cell r="H9">
            <v>-50637.061014561164</v>
          </cell>
          <cell r="I9">
            <v>0</v>
          </cell>
          <cell r="J9">
            <v>-63259</v>
          </cell>
          <cell r="K9">
            <v>-4340.4100000000017</v>
          </cell>
          <cell r="L9">
            <v>-3618.5599999999995</v>
          </cell>
          <cell r="M9">
            <v>16769657.550561752</v>
          </cell>
        </row>
        <row r="10">
          <cell r="D10">
            <v>1000</v>
          </cell>
          <cell r="E10">
            <v>404999.08</v>
          </cell>
          <cell r="F10"/>
          <cell r="G10">
            <v>0</v>
          </cell>
          <cell r="H10">
            <v>3375.1675639097821</v>
          </cell>
          <cell r="I10"/>
          <cell r="J10"/>
          <cell r="K10">
            <v>-7606.51</v>
          </cell>
          <cell r="L10">
            <v>-17272.329999999998</v>
          </cell>
          <cell r="M10">
            <v>383495.40756390977</v>
          </cell>
        </row>
        <row r="11">
          <cell r="D11">
            <v>1001</v>
          </cell>
          <cell r="E11">
            <v>321416.87845201237</v>
          </cell>
          <cell r="F11"/>
          <cell r="G11">
            <v>0</v>
          </cell>
          <cell r="H11">
            <v>5721.3782078726208</v>
          </cell>
          <cell r="I11"/>
          <cell r="J11"/>
          <cell r="K11">
            <v>13722.240000000002</v>
          </cell>
          <cell r="L11">
            <v>-2329.9399999999996</v>
          </cell>
          <cell r="M11">
            <v>338530.55665988498</v>
          </cell>
        </row>
        <row r="12">
          <cell r="D12">
            <v>1002</v>
          </cell>
          <cell r="E12">
            <v>473964.10600539809</v>
          </cell>
          <cell r="F12"/>
          <cell r="G12">
            <v>0</v>
          </cell>
          <cell r="H12">
            <v>7053.7906015037652</v>
          </cell>
          <cell r="I12"/>
          <cell r="J12"/>
          <cell r="K12">
            <v>-4751.9000000000005</v>
          </cell>
          <cell r="L12">
            <v>-11311.619999999999</v>
          </cell>
          <cell r="M12">
            <v>464954.37660690182</v>
          </cell>
        </row>
        <row r="13">
          <cell r="D13">
            <v>1003</v>
          </cell>
          <cell r="E13">
            <v>508435.49970293831</v>
          </cell>
          <cell r="F13"/>
          <cell r="G13">
            <v>0</v>
          </cell>
          <cell r="H13">
            <v>7238.0146662669013</v>
          </cell>
          <cell r="I13"/>
          <cell r="J13"/>
          <cell r="K13">
            <v>-25967.200000000001</v>
          </cell>
          <cell r="L13">
            <v>-34572.75</v>
          </cell>
          <cell r="M13">
            <v>455133.56436920521</v>
          </cell>
        </row>
        <row r="14">
          <cell r="E14">
            <v>1708815.5641603488</v>
          </cell>
          <cell r="F14">
            <v>0</v>
          </cell>
          <cell r="G14">
            <v>0</v>
          </cell>
          <cell r="H14">
            <v>23388.351039553068</v>
          </cell>
          <cell r="I14">
            <v>0</v>
          </cell>
          <cell r="J14">
            <v>0</v>
          </cell>
          <cell r="K14">
            <v>-24603.37</v>
          </cell>
          <cell r="L14">
            <v>-65486.64</v>
          </cell>
          <cell r="M14">
            <v>1642113.9051999017</v>
          </cell>
        </row>
        <row r="15">
          <cell r="D15">
            <v>3520</v>
          </cell>
          <cell r="E15">
            <v>1648079.8267125769</v>
          </cell>
          <cell r="F15"/>
          <cell r="G15"/>
          <cell r="H15">
            <v>6302.0952380952431</v>
          </cell>
          <cell r="I15"/>
          <cell r="J15"/>
          <cell r="K15">
            <v>10639.75</v>
          </cell>
          <cell r="L15">
            <v>6279</v>
          </cell>
          <cell r="M15">
            <v>1671300.6719506721</v>
          </cell>
        </row>
        <row r="16">
          <cell r="D16">
            <v>3300</v>
          </cell>
          <cell r="E16">
            <v>1179994.4530874202</v>
          </cell>
          <cell r="F16"/>
          <cell r="G16"/>
          <cell r="H16">
            <v>-10629.972087378639</v>
          </cell>
          <cell r="I16"/>
          <cell r="J16"/>
          <cell r="K16">
            <v>5375.68</v>
          </cell>
          <cell r="L16">
            <v>1725.33</v>
          </cell>
          <cell r="M16">
            <v>1176465.4910000416</v>
          </cell>
        </row>
        <row r="17">
          <cell r="D17">
            <v>3317</v>
          </cell>
          <cell r="E17">
            <v>1235084.4760536707</v>
          </cell>
          <cell r="F17"/>
          <cell r="G17"/>
          <cell r="H17">
            <v>10556.607180451138</v>
          </cell>
          <cell r="I17"/>
          <cell r="J17"/>
          <cell r="K17">
            <v>15726.449999999999</v>
          </cell>
          <cell r="L17">
            <v>-1284.2</v>
          </cell>
          <cell r="M17">
            <v>1260083.3332341218</v>
          </cell>
        </row>
        <row r="18">
          <cell r="D18">
            <v>2020</v>
          </cell>
          <cell r="E18">
            <v>402708.70833333331</v>
          </cell>
          <cell r="F18"/>
          <cell r="G18">
            <v>2686.85</v>
          </cell>
          <cell r="H18">
            <v>19456</v>
          </cell>
          <cell r="I18"/>
          <cell r="J18">
            <v>-2686.85</v>
          </cell>
          <cell r="K18">
            <v>4754.17</v>
          </cell>
          <cell r="L18"/>
          <cell r="M18">
            <v>426918.8783333333</v>
          </cell>
        </row>
        <row r="19">
          <cell r="D19">
            <v>3500</v>
          </cell>
          <cell r="E19">
            <v>998449.14006083889</v>
          </cell>
          <cell r="F19"/>
          <cell r="G19"/>
          <cell r="H19">
            <v>-10637.782700831021</v>
          </cell>
          <cell r="I19"/>
          <cell r="J19"/>
          <cell r="K19">
            <v>-1215.7299999999996</v>
          </cell>
          <cell r="L19">
            <v>12848.31</v>
          </cell>
          <cell r="M19">
            <v>999443.9373600079</v>
          </cell>
        </row>
        <row r="20">
          <cell r="D20">
            <v>3514</v>
          </cell>
          <cell r="E20">
            <v>1081291.5011027455</v>
          </cell>
          <cell r="F20"/>
          <cell r="G20"/>
          <cell r="H20">
            <v>1094.0540540540533</v>
          </cell>
          <cell r="I20"/>
          <cell r="J20"/>
          <cell r="K20">
            <v>5328.75</v>
          </cell>
          <cell r="L20">
            <v>0</v>
          </cell>
          <cell r="M20">
            <v>1087714.3051567995</v>
          </cell>
        </row>
        <row r="21">
          <cell r="D21">
            <v>2002</v>
          </cell>
          <cell r="E21">
            <v>2892400.9697866603</v>
          </cell>
          <cell r="F21">
            <v>0</v>
          </cell>
          <cell r="G21">
            <v>594</v>
          </cell>
          <cell r="H21">
            <v>55459.193148980412</v>
          </cell>
          <cell r="I21"/>
          <cell r="J21">
            <v>-739.5</v>
          </cell>
          <cell r="K21">
            <v>-1217.3400000000001</v>
          </cell>
          <cell r="L21">
            <v>4364.579999999999</v>
          </cell>
          <cell r="M21">
            <v>2950861.9029356409</v>
          </cell>
        </row>
        <row r="22">
          <cell r="D22">
            <v>2079</v>
          </cell>
          <cell r="E22">
            <v>1962354.0803003735</v>
          </cell>
          <cell r="F22"/>
          <cell r="G22"/>
          <cell r="H22">
            <v>12973.230973986687</v>
          </cell>
          <cell r="I22"/>
          <cell r="J22">
            <v>0</v>
          </cell>
          <cell r="K22">
            <v>3128.7099999999996</v>
          </cell>
          <cell r="L22">
            <v>-3605.3</v>
          </cell>
          <cell r="M22">
            <v>1974850.7212743601</v>
          </cell>
        </row>
        <row r="23">
          <cell r="D23">
            <v>3524</v>
          </cell>
          <cell r="E23">
            <v>1088159.8116993683</v>
          </cell>
          <cell r="F23"/>
          <cell r="G23"/>
          <cell r="H23">
            <v>809.4501804206318</v>
          </cell>
          <cell r="I23"/>
          <cell r="J23"/>
          <cell r="K23">
            <v>3655.05</v>
          </cell>
          <cell r="L23">
            <v>5205.01</v>
          </cell>
          <cell r="M23">
            <v>1097829.321879789</v>
          </cell>
        </row>
        <row r="24">
          <cell r="D24">
            <v>2003</v>
          </cell>
          <cell r="E24">
            <v>2279208.6962356395</v>
          </cell>
          <cell r="F24"/>
          <cell r="G24">
            <v>940.49591328870156</v>
          </cell>
          <cell r="H24">
            <v>35654.741030886791</v>
          </cell>
          <cell r="I24"/>
          <cell r="J24">
            <v>-1355.75</v>
          </cell>
          <cell r="K24">
            <v>-16086.29</v>
          </cell>
          <cell r="L24">
            <v>-13902.550000000001</v>
          </cell>
          <cell r="M24">
            <v>2284459.343179815</v>
          </cell>
        </row>
        <row r="25">
          <cell r="D25">
            <v>3511</v>
          </cell>
          <cell r="E25">
            <v>1921050.696257497</v>
          </cell>
          <cell r="F25"/>
          <cell r="G25"/>
          <cell r="H25">
            <v>4863.943785672378</v>
          </cell>
          <cell r="I25"/>
          <cell r="J25"/>
          <cell r="K25">
            <v>2305.56</v>
          </cell>
          <cell r="L25">
            <v>1454.7399999999998</v>
          </cell>
          <cell r="M25">
            <v>1929674.9400431693</v>
          </cell>
        </row>
        <row r="26">
          <cell r="D26">
            <v>3519</v>
          </cell>
          <cell r="E26">
            <v>3969674.0088117751</v>
          </cell>
          <cell r="F26">
            <v>3893</v>
          </cell>
          <cell r="G26">
            <v>4286.2348888888882</v>
          </cell>
          <cell r="H26">
            <v>-30643.583005890148</v>
          </cell>
          <cell r="I26"/>
          <cell r="J26">
            <v>-793.34999999997672</v>
          </cell>
          <cell r="K26">
            <v>-30820.329999999991</v>
          </cell>
          <cell r="L26">
            <v>43307.15</v>
          </cell>
          <cell r="M26">
            <v>3958903.1306947735</v>
          </cell>
        </row>
        <row r="27">
          <cell r="D27">
            <v>2008</v>
          </cell>
          <cell r="E27">
            <v>1480710.8488341747</v>
          </cell>
          <cell r="F27"/>
          <cell r="G27">
            <v>715</v>
          </cell>
          <cell r="H27">
            <v>-2009.4920195004111</v>
          </cell>
          <cell r="I27"/>
          <cell r="J27"/>
          <cell r="K27">
            <v>10273.049999999999</v>
          </cell>
          <cell r="L27">
            <v>9055.5499999999993</v>
          </cell>
          <cell r="M27">
            <v>1498744.9568146744</v>
          </cell>
        </row>
        <row r="28">
          <cell r="D28">
            <v>2007</v>
          </cell>
          <cell r="E28">
            <v>1596118.1224628089</v>
          </cell>
          <cell r="F28"/>
          <cell r="G28">
            <v>715</v>
          </cell>
          <cell r="H28">
            <v>5666.2049861495761</v>
          </cell>
          <cell r="I28"/>
          <cell r="J28"/>
          <cell r="K28">
            <v>-7322</v>
          </cell>
          <cell r="L28">
            <v>6279</v>
          </cell>
          <cell r="M28">
            <v>1601456.3274489585</v>
          </cell>
        </row>
        <row r="29">
          <cell r="D29">
            <v>2009</v>
          </cell>
          <cell r="E29">
            <v>1812803.5182156118</v>
          </cell>
          <cell r="F29"/>
          <cell r="G29">
            <v>517</v>
          </cell>
          <cell r="H29">
            <v>-39256.110701754384</v>
          </cell>
          <cell r="I29"/>
          <cell r="J29">
            <v>-360</v>
          </cell>
          <cell r="K29">
            <v>6581.22</v>
          </cell>
          <cell r="L29">
            <v>1045.4299999999998</v>
          </cell>
          <cell r="M29">
            <v>1781331.0575138573</v>
          </cell>
        </row>
        <row r="30">
          <cell r="D30">
            <v>2067</v>
          </cell>
          <cell r="E30">
            <v>1211465.4550095249</v>
          </cell>
          <cell r="F30">
            <v>58000</v>
          </cell>
          <cell r="G30">
            <v>335.5</v>
          </cell>
          <cell r="H30">
            <v>-4254.5635964912217</v>
          </cell>
          <cell r="I30"/>
          <cell r="J30">
            <v>-616.25</v>
          </cell>
          <cell r="K30">
            <v>7005.08</v>
          </cell>
          <cell r="L30">
            <v>-184.42000000000007</v>
          </cell>
          <cell r="M30">
            <v>1271750.8014130339</v>
          </cell>
        </row>
        <row r="31">
          <cell r="D31">
            <v>2010</v>
          </cell>
          <cell r="E31">
            <v>2390492.2776190666</v>
          </cell>
          <cell r="F31"/>
          <cell r="G31">
            <v>-1272.8045847446338</v>
          </cell>
          <cell r="H31">
            <v>-19664.934760190401</v>
          </cell>
          <cell r="I31"/>
          <cell r="J31">
            <v>-1109.25</v>
          </cell>
          <cell r="K31">
            <v>-51325.94999999999</v>
          </cell>
          <cell r="L31">
            <v>3481.16</v>
          </cell>
          <cell r="M31">
            <v>2320600.4982741312</v>
          </cell>
        </row>
        <row r="32">
          <cell r="D32">
            <v>3302</v>
          </cell>
          <cell r="E32">
            <v>945152.28916523338</v>
          </cell>
          <cell r="F32"/>
          <cell r="G32"/>
          <cell r="H32">
            <v>17964.085225563922</v>
          </cell>
          <cell r="I32"/>
          <cell r="J32"/>
          <cell r="K32">
            <v>3352.2699999999991</v>
          </cell>
          <cell r="L32">
            <v>-8787.85</v>
          </cell>
          <cell r="M32">
            <v>957680.79439079738</v>
          </cell>
        </row>
        <row r="33">
          <cell r="D33">
            <v>2011</v>
          </cell>
          <cell r="E33">
            <v>1082042.699763963</v>
          </cell>
          <cell r="F33"/>
          <cell r="G33">
            <v>693</v>
          </cell>
          <cell r="H33">
            <v>13338.588983050849</v>
          </cell>
          <cell r="I33"/>
          <cell r="J33">
            <v>-862.75</v>
          </cell>
          <cell r="K33">
            <v>14430.48</v>
          </cell>
          <cell r="L33">
            <v>15455</v>
          </cell>
          <cell r="M33">
            <v>1125097.0187470138</v>
          </cell>
        </row>
        <row r="34">
          <cell r="D34">
            <v>3522</v>
          </cell>
          <cell r="E34">
            <v>2492090.4612029884</v>
          </cell>
          <cell r="F34"/>
          <cell r="G34">
            <v>836</v>
          </cell>
          <cell r="H34">
            <v>28926.900637341369</v>
          </cell>
          <cell r="I34"/>
          <cell r="J34">
            <v>-1479</v>
          </cell>
          <cell r="K34">
            <v>-8784.7499999999982</v>
          </cell>
          <cell r="L34">
            <v>-219545.38999999998</v>
          </cell>
          <cell r="M34">
            <v>2292044.2218403295</v>
          </cell>
        </row>
        <row r="35">
          <cell r="D35">
            <v>2014</v>
          </cell>
          <cell r="E35">
            <v>3563484.2981765484</v>
          </cell>
          <cell r="F35"/>
          <cell r="G35">
            <v>1039.5</v>
          </cell>
          <cell r="H35">
            <v>4393.0864310777024</v>
          </cell>
          <cell r="I35"/>
          <cell r="J35">
            <v>-1479</v>
          </cell>
          <cell r="K35">
            <v>-10416.529999999999</v>
          </cell>
          <cell r="L35">
            <v>6348.12</v>
          </cell>
          <cell r="M35">
            <v>3563369.4746076264</v>
          </cell>
        </row>
        <row r="36">
          <cell r="D36">
            <v>2015</v>
          </cell>
          <cell r="E36">
            <v>1725451.2028983403</v>
          </cell>
          <cell r="F36"/>
          <cell r="G36">
            <v>786.50414197466307</v>
          </cell>
          <cell r="H36">
            <v>21059.370958178108</v>
          </cell>
          <cell r="I36"/>
          <cell r="J36">
            <v>-862.75</v>
          </cell>
          <cell r="K36">
            <v>-9542.8700000000008</v>
          </cell>
          <cell r="L36">
            <v>-3490.2</v>
          </cell>
          <cell r="M36">
            <v>1733401.257998493</v>
          </cell>
        </row>
        <row r="37">
          <cell r="D37">
            <v>2016</v>
          </cell>
          <cell r="E37">
            <v>1061045.0623770491</v>
          </cell>
          <cell r="F37"/>
          <cell r="G37">
            <v>349.25</v>
          </cell>
          <cell r="H37">
            <v>-2330.2499999999927</v>
          </cell>
          <cell r="I37"/>
          <cell r="J37">
            <v>-616.25</v>
          </cell>
          <cell r="K37">
            <v>3924</v>
          </cell>
          <cell r="L37">
            <v>4649.17</v>
          </cell>
          <cell r="M37">
            <v>1067020.982377049</v>
          </cell>
        </row>
        <row r="38">
          <cell r="D38">
            <v>2017</v>
          </cell>
          <cell r="E38">
            <v>1985260.0972989525</v>
          </cell>
          <cell r="F38"/>
          <cell r="G38">
            <v>453.75</v>
          </cell>
          <cell r="H38">
            <v>532.57677562550816</v>
          </cell>
          <cell r="I38"/>
          <cell r="J38">
            <v>-2095.25</v>
          </cell>
          <cell r="K38">
            <v>12649.92</v>
          </cell>
          <cell r="L38">
            <v>-9230.15</v>
          </cell>
          <cell r="M38">
            <v>1987570.9440745781</v>
          </cell>
        </row>
        <row r="39">
          <cell r="D39">
            <v>2073</v>
          </cell>
          <cell r="E39">
            <v>3191657.8816420077</v>
          </cell>
          <cell r="F39">
            <v>3410.5</v>
          </cell>
          <cell r="G39">
            <v>0</v>
          </cell>
          <cell r="H39">
            <v>30396.645547945256</v>
          </cell>
          <cell r="I39"/>
          <cell r="J39">
            <v>-2563.5</v>
          </cell>
          <cell r="K39">
            <v>-22065.41</v>
          </cell>
          <cell r="L39">
            <v>-11489.5</v>
          </cell>
          <cell r="M39">
            <v>3189346.6171899526</v>
          </cell>
        </row>
        <row r="40">
          <cell r="D40">
            <v>2019</v>
          </cell>
          <cell r="E40">
            <v>1822632.5152798418</v>
          </cell>
          <cell r="F40"/>
          <cell r="G40">
            <v>660</v>
          </cell>
          <cell r="H40">
            <v>-57344.14613089255</v>
          </cell>
          <cell r="I40"/>
          <cell r="J40"/>
          <cell r="K40">
            <v>1282.0399999999995</v>
          </cell>
          <cell r="L40">
            <v>-1630.3499999999997</v>
          </cell>
          <cell r="M40">
            <v>1765600.0591489493</v>
          </cell>
        </row>
        <row r="41">
          <cell r="D41">
            <v>2018</v>
          </cell>
          <cell r="E41">
            <v>2192103.3337041335</v>
          </cell>
          <cell r="F41"/>
          <cell r="G41">
            <v>102.30000000000018</v>
          </cell>
          <cell r="H41">
            <v>8296.5774278215249</v>
          </cell>
          <cell r="I41"/>
          <cell r="J41">
            <v>-102.3799999999992</v>
          </cell>
          <cell r="K41">
            <v>-7022.25</v>
          </cell>
          <cell r="L41">
            <v>-4355.16</v>
          </cell>
          <cell r="M41">
            <v>2189022.421131955</v>
          </cell>
        </row>
        <row r="42">
          <cell r="D42">
            <v>2021</v>
          </cell>
          <cell r="E42">
            <v>1694124.0011602375</v>
          </cell>
          <cell r="F42"/>
          <cell r="G42">
            <v>0</v>
          </cell>
          <cell r="H42">
            <v>-2317.6214514547319</v>
          </cell>
          <cell r="I42"/>
          <cell r="J42">
            <v>-862.75</v>
          </cell>
          <cell r="K42">
            <v>-3408.9299999999989</v>
          </cell>
          <cell r="L42">
            <v>2377.0099999999998</v>
          </cell>
          <cell r="M42">
            <v>1689911.7097087828</v>
          </cell>
        </row>
        <row r="43">
          <cell r="D43">
            <v>5200</v>
          </cell>
          <cell r="E43">
            <v>1972208.2609047894</v>
          </cell>
          <cell r="F43"/>
          <cell r="G43">
            <v>0</v>
          </cell>
          <cell r="H43">
            <v>-6306.6666666666861</v>
          </cell>
          <cell r="I43"/>
          <cell r="J43"/>
          <cell r="K43">
            <v>4040.17</v>
          </cell>
          <cell r="L43">
            <v>-1294</v>
          </cell>
          <cell r="M43">
            <v>1968647.7642381226</v>
          </cell>
        </row>
        <row r="44">
          <cell r="D44">
            <v>2023</v>
          </cell>
          <cell r="E44">
            <v>3299981.7775468109</v>
          </cell>
          <cell r="F44"/>
          <cell r="G44">
            <v>-1439.3125</v>
          </cell>
          <cell r="H44">
            <v>15452.585982000501</v>
          </cell>
          <cell r="I44"/>
          <cell r="J44">
            <v>-739.5</v>
          </cell>
          <cell r="K44">
            <v>4001.5200000000004</v>
          </cell>
          <cell r="L44">
            <v>-5036.8100000000004</v>
          </cell>
          <cell r="M44">
            <v>3312220.2610288113</v>
          </cell>
        </row>
        <row r="45">
          <cell r="D45">
            <v>2001</v>
          </cell>
          <cell r="E45">
            <v>664033.73024691362</v>
          </cell>
          <cell r="F45"/>
          <cell r="G45">
            <v>13851</v>
          </cell>
          <cell r="H45">
            <v>-29937.990175438597</v>
          </cell>
          <cell r="I45"/>
          <cell r="J45">
            <v>-13851</v>
          </cell>
          <cell r="K45">
            <v>19720.120000000003</v>
          </cell>
          <cell r="L45">
            <v>-2193.39</v>
          </cell>
          <cell r="M45">
            <v>651622.47007147502</v>
          </cell>
        </row>
        <row r="46">
          <cell r="D46">
            <v>2024</v>
          </cell>
          <cell r="E46">
            <v>1492118.2720767218</v>
          </cell>
          <cell r="F46"/>
          <cell r="G46">
            <v>1523</v>
          </cell>
          <cell r="H46">
            <v>-7906.2911374023406</v>
          </cell>
          <cell r="I46"/>
          <cell r="J46"/>
          <cell r="K46">
            <v>-5101.920000000001</v>
          </cell>
          <cell r="L46">
            <v>-3311.5899999999992</v>
          </cell>
          <cell r="M46">
            <v>1477321.4709393193</v>
          </cell>
        </row>
        <row r="47">
          <cell r="D47">
            <v>2025</v>
          </cell>
          <cell r="E47">
            <v>1381491.9191857171</v>
          </cell>
          <cell r="F47"/>
          <cell r="G47">
            <v>1522.5</v>
          </cell>
          <cell r="H47">
            <v>8763.8750000000073</v>
          </cell>
          <cell r="I47"/>
          <cell r="J47">
            <v>-862.75</v>
          </cell>
          <cell r="K47">
            <v>2659.34</v>
          </cell>
          <cell r="L47">
            <v>0</v>
          </cell>
          <cell r="M47">
            <v>1393574.8841857172</v>
          </cell>
        </row>
        <row r="48">
          <cell r="D48">
            <v>2026</v>
          </cell>
          <cell r="E48">
            <v>3013040.1976910816</v>
          </cell>
          <cell r="F48"/>
          <cell r="G48">
            <v>2712.5</v>
          </cell>
          <cell r="H48">
            <v>-4224.4050336746695</v>
          </cell>
          <cell r="I48"/>
          <cell r="J48">
            <v>-2821.5</v>
          </cell>
          <cell r="K48">
            <v>-3148.54</v>
          </cell>
          <cell r="L48">
            <v>-7317.01</v>
          </cell>
          <cell r="M48">
            <v>2998241.2426574072</v>
          </cell>
        </row>
        <row r="49">
          <cell r="D49">
            <v>2028</v>
          </cell>
          <cell r="E49">
            <v>1289875.9698254578</v>
          </cell>
          <cell r="F49"/>
          <cell r="G49">
            <v>376.75</v>
          </cell>
          <cell r="H49">
            <v>3525.0547263681729</v>
          </cell>
          <cell r="I49"/>
          <cell r="J49">
            <v>-769.5</v>
          </cell>
          <cell r="K49">
            <v>-19077.910000000003</v>
          </cell>
          <cell r="L49">
            <v>-3617.09</v>
          </cell>
          <cell r="M49">
            <v>1270313.2745518261</v>
          </cell>
        </row>
        <row r="50">
          <cell r="D50">
            <v>2027</v>
          </cell>
          <cell r="E50">
            <v>1622489.8273996001</v>
          </cell>
          <cell r="F50"/>
          <cell r="G50">
            <v>376.75</v>
          </cell>
          <cell r="H50">
            <v>-4989.9718309859309</v>
          </cell>
          <cell r="I50"/>
          <cell r="J50">
            <v>-769.5</v>
          </cell>
          <cell r="K50">
            <v>27795.839999999997</v>
          </cell>
          <cell r="L50">
            <v>2058.91</v>
          </cell>
          <cell r="M50">
            <v>1646961.8555686141</v>
          </cell>
        </row>
        <row r="51">
          <cell r="D51">
            <v>2029</v>
          </cell>
          <cell r="E51">
            <v>2607560.3846480222</v>
          </cell>
          <cell r="F51"/>
          <cell r="G51">
            <v>1006.5</v>
          </cell>
          <cell r="H51">
            <v>-12440.141258226444</v>
          </cell>
          <cell r="I51"/>
          <cell r="J51">
            <v>-739.5</v>
          </cell>
          <cell r="K51">
            <v>3397.25</v>
          </cell>
          <cell r="L51">
            <v>5207.5200000000004</v>
          </cell>
          <cell r="M51">
            <v>2603992.013389796</v>
          </cell>
        </row>
        <row r="52">
          <cell r="D52">
            <v>2030</v>
          </cell>
          <cell r="E52">
            <v>666818.29179505375</v>
          </cell>
          <cell r="F52"/>
          <cell r="G52">
            <v>818.38</v>
          </cell>
          <cell r="H52">
            <v>-10373.071428571431</v>
          </cell>
          <cell r="I52"/>
          <cell r="J52">
            <v>-818.38</v>
          </cell>
          <cell r="K52">
            <v>-4392.5</v>
          </cell>
          <cell r="L52">
            <v>500</v>
          </cell>
          <cell r="M52">
            <v>652552.72036648227</v>
          </cell>
        </row>
        <row r="53">
          <cell r="D53">
            <v>3516</v>
          </cell>
          <cell r="E53">
            <v>1027182.0616666668</v>
          </cell>
          <cell r="F53"/>
          <cell r="G53"/>
          <cell r="H53">
            <v>-5589.2518421052637</v>
          </cell>
          <cell r="I53"/>
          <cell r="J53">
            <v>0</v>
          </cell>
          <cell r="K53">
            <v>868.78000000000009</v>
          </cell>
          <cell r="L53">
            <v>3187.29</v>
          </cell>
          <cell r="M53">
            <v>1025648.8798245615</v>
          </cell>
        </row>
        <row r="54">
          <cell r="D54">
            <v>2031</v>
          </cell>
          <cell r="E54">
            <v>1366714.4950491269</v>
          </cell>
          <cell r="F54"/>
          <cell r="G54">
            <v>0</v>
          </cell>
          <cell r="H54">
            <v>-9576.2147753680838</v>
          </cell>
          <cell r="I54"/>
          <cell r="J54"/>
          <cell r="K54">
            <v>-9446.4699999999975</v>
          </cell>
          <cell r="L54">
            <v>-7483.59</v>
          </cell>
          <cell r="M54">
            <v>1340208.2202737588</v>
          </cell>
        </row>
        <row r="55">
          <cell r="D55">
            <v>2032</v>
          </cell>
          <cell r="E55">
            <v>2490991.1485341466</v>
          </cell>
          <cell r="F55"/>
          <cell r="G55">
            <v>957</v>
          </cell>
          <cell r="H55">
            <v>-4212.8238978284389</v>
          </cell>
          <cell r="I55"/>
          <cell r="J55">
            <v>-1972</v>
          </cell>
          <cell r="K55">
            <v>3453.18</v>
          </cell>
          <cell r="L55">
            <v>2507.7599999999998</v>
          </cell>
          <cell r="M55">
            <v>2491724.2646363182</v>
          </cell>
        </row>
        <row r="56">
          <cell r="D56">
            <v>3304</v>
          </cell>
          <cell r="E56">
            <v>1242000.9756984231</v>
          </cell>
          <cell r="F56"/>
          <cell r="G56"/>
          <cell r="H56">
            <v>9754.7067087282376</v>
          </cell>
          <cell r="I56"/>
          <cell r="J56"/>
          <cell r="K56">
            <v>4909.9099999999989</v>
          </cell>
          <cell r="L56">
            <v>-5617.48</v>
          </cell>
          <cell r="M56">
            <v>1251048.1124071514</v>
          </cell>
        </row>
        <row r="57">
          <cell r="D57">
            <v>2047</v>
          </cell>
          <cell r="E57">
            <v>2469868.9430783507</v>
          </cell>
          <cell r="F57"/>
          <cell r="G57">
            <v>110</v>
          </cell>
          <cell r="H57">
            <v>-18273.831059466855</v>
          </cell>
          <cell r="I57"/>
          <cell r="J57">
            <v>-109.99999999999818</v>
          </cell>
          <cell r="K57">
            <v>-14887.36</v>
          </cell>
          <cell r="L57">
            <v>-24786.170000000002</v>
          </cell>
          <cell r="M57">
            <v>2411921.5820188839</v>
          </cell>
        </row>
        <row r="58">
          <cell r="D58">
            <v>3515</v>
          </cell>
          <cell r="E58">
            <v>911560.08235605003</v>
          </cell>
          <cell r="F58"/>
          <cell r="G58">
            <v>0</v>
          </cell>
          <cell r="H58">
            <v>5610.4361793372327</v>
          </cell>
          <cell r="I58"/>
          <cell r="J58"/>
          <cell r="K58">
            <v>22015.480000000003</v>
          </cell>
          <cell r="L58">
            <v>-2219.19</v>
          </cell>
          <cell r="M58">
            <v>936966.80853538727</v>
          </cell>
        </row>
        <row r="59">
          <cell r="D59">
            <v>2036</v>
          </cell>
          <cell r="E59">
            <v>2482444.0963498326</v>
          </cell>
          <cell r="F59">
            <v>-11.2532856</v>
          </cell>
          <cell r="G59">
            <v>1006.25</v>
          </cell>
          <cell r="H59">
            <v>3645.4345265816796</v>
          </cell>
          <cell r="I59"/>
          <cell r="J59">
            <v>-493</v>
          </cell>
          <cell r="K59">
            <v>-39252.389999999992</v>
          </cell>
          <cell r="L59">
            <v>-234744.51</v>
          </cell>
          <cell r="M59">
            <v>2212594.6275908146</v>
          </cell>
        </row>
        <row r="60">
          <cell r="D60">
            <v>2037</v>
          </cell>
          <cell r="E60">
            <v>1667903.5972802262</v>
          </cell>
          <cell r="F60"/>
          <cell r="G60">
            <v>1172.5</v>
          </cell>
          <cell r="H60">
            <v>-40344.173376623374</v>
          </cell>
          <cell r="I60"/>
          <cell r="J60">
            <v>-1355.75</v>
          </cell>
          <cell r="K60">
            <v>-23820.94</v>
          </cell>
          <cell r="L60">
            <v>-3635.66</v>
          </cell>
          <cell r="M60">
            <v>1599919.573903603</v>
          </cell>
        </row>
        <row r="61">
          <cell r="D61">
            <v>3523</v>
          </cell>
          <cell r="E61">
            <v>3003294.2359540602</v>
          </cell>
          <cell r="F61"/>
          <cell r="G61">
            <v>1276</v>
          </cell>
          <cell r="H61">
            <v>-15884.790384637156</v>
          </cell>
          <cell r="I61"/>
          <cell r="J61">
            <v>0</v>
          </cell>
          <cell r="K61">
            <v>1707.0999999999995</v>
          </cell>
          <cell r="L61">
            <v>6279.0999999999995</v>
          </cell>
          <cell r="M61">
            <v>2996671.6455694232</v>
          </cell>
        </row>
        <row r="62">
          <cell r="D62">
            <v>5948</v>
          </cell>
          <cell r="E62">
            <v>1022089.5247605428</v>
          </cell>
          <cell r="F62"/>
          <cell r="G62"/>
          <cell r="H62">
            <v>5592.9171043588412</v>
          </cell>
          <cell r="I62"/>
          <cell r="J62"/>
          <cell r="K62">
            <v>3909.75</v>
          </cell>
          <cell r="L62">
            <v>-1695.8599999999997</v>
          </cell>
          <cell r="M62">
            <v>1029896.3318649016</v>
          </cell>
        </row>
        <row r="63">
          <cell r="D63">
            <v>5949</v>
          </cell>
          <cell r="E63">
            <v>1361045.9533140245</v>
          </cell>
          <cell r="F63"/>
          <cell r="G63"/>
          <cell r="H63">
            <v>20757.757894736857</v>
          </cell>
          <cell r="I63"/>
          <cell r="J63"/>
          <cell r="K63">
            <v>-845.07999999999993</v>
          </cell>
          <cell r="L63">
            <v>-1000.7799999999992</v>
          </cell>
          <cell r="M63">
            <v>1379957.8512087613</v>
          </cell>
        </row>
        <row r="64">
          <cell r="D64">
            <v>3513</v>
          </cell>
          <cell r="E64">
            <v>1807845.7865564758</v>
          </cell>
          <cell r="F64"/>
          <cell r="G64"/>
          <cell r="H64">
            <v>8275.4937165281663</v>
          </cell>
          <cell r="I64"/>
          <cell r="J64"/>
          <cell r="K64">
            <v>4678.16</v>
          </cell>
          <cell r="L64">
            <v>-13150.48</v>
          </cell>
          <cell r="M64">
            <v>1807648.9602730039</v>
          </cell>
        </row>
        <row r="65">
          <cell r="D65">
            <v>2048</v>
          </cell>
          <cell r="E65">
            <v>472297</v>
          </cell>
          <cell r="F65">
            <v>9948</v>
          </cell>
          <cell r="G65"/>
          <cell r="H65">
            <v>36133</v>
          </cell>
          <cell r="I65"/>
          <cell r="J65"/>
          <cell r="K65">
            <v>50475.39</v>
          </cell>
          <cell r="L65">
            <v>1607.5</v>
          </cell>
          <cell r="M65">
            <v>570460.89</v>
          </cell>
        </row>
        <row r="66">
          <cell r="D66">
            <v>3305</v>
          </cell>
          <cell r="E66">
            <v>661565.66929583321</v>
          </cell>
          <cell r="F66"/>
          <cell r="G66"/>
          <cell r="H66">
            <v>2396.4583333333358</v>
          </cell>
          <cell r="I66"/>
          <cell r="J66"/>
          <cell r="K66">
            <v>5040</v>
          </cell>
          <cell r="L66">
            <v>0</v>
          </cell>
          <cell r="M66">
            <v>669002.12762916659</v>
          </cell>
        </row>
        <row r="67">
          <cell r="D67">
            <v>2042</v>
          </cell>
          <cell r="E67">
            <v>1305972.0419034476</v>
          </cell>
          <cell r="F67"/>
          <cell r="G67">
            <v>698.5</v>
          </cell>
          <cell r="H67">
            <v>14019.703609986507</v>
          </cell>
          <cell r="I67"/>
          <cell r="J67">
            <v>-616.25</v>
          </cell>
          <cell r="K67">
            <v>-991.07999999999993</v>
          </cell>
          <cell r="L67">
            <v>13859.5</v>
          </cell>
          <cell r="M67">
            <v>1332942.415513434</v>
          </cell>
        </row>
        <row r="68">
          <cell r="D68">
            <v>2044</v>
          </cell>
          <cell r="E68">
            <v>1901950.5545123259</v>
          </cell>
          <cell r="F68"/>
          <cell r="G68">
            <v>280.5</v>
          </cell>
          <cell r="H68">
            <v>25612.157520325229</v>
          </cell>
          <cell r="I68"/>
          <cell r="J68">
            <v>-2649.88</v>
          </cell>
          <cell r="K68">
            <v>-37238.660000000003</v>
          </cell>
          <cell r="L68">
            <v>8271.5</v>
          </cell>
          <cell r="M68">
            <v>1896226.1720326513</v>
          </cell>
        </row>
        <row r="69">
          <cell r="D69">
            <v>2043</v>
          </cell>
          <cell r="E69">
            <v>1895938.9963116776</v>
          </cell>
          <cell r="F69"/>
          <cell r="G69">
            <v>1225.3200000000002</v>
          </cell>
          <cell r="H69">
            <v>-15342.0625</v>
          </cell>
          <cell r="I69"/>
          <cell r="J69">
            <v>-857.98</v>
          </cell>
          <cell r="K69">
            <v>26256.410000000003</v>
          </cell>
          <cell r="L69">
            <v>137.34000000000003</v>
          </cell>
          <cell r="M69">
            <v>1907358.0238116777</v>
          </cell>
        </row>
        <row r="70">
          <cell r="D70">
            <v>9998</v>
          </cell>
          <cell r="E70">
            <v>181254.56885095849</v>
          </cell>
          <cell r="F70"/>
          <cell r="G70"/>
          <cell r="H70"/>
          <cell r="I70"/>
          <cell r="J70"/>
          <cell r="K70"/>
          <cell r="L70"/>
          <cell r="M70">
            <v>181254.56885095849</v>
          </cell>
        </row>
        <row r="71">
          <cell r="D71">
            <v>2045</v>
          </cell>
          <cell r="E71">
            <v>1464792.8644005645</v>
          </cell>
          <cell r="F71"/>
          <cell r="G71">
            <v>1286.25</v>
          </cell>
          <cell r="H71">
            <v>-24514.645286991985</v>
          </cell>
          <cell r="I71"/>
          <cell r="J71">
            <v>-1602.25</v>
          </cell>
          <cell r="K71">
            <v>-1949.9100000000003</v>
          </cell>
          <cell r="L71">
            <v>-11677.77</v>
          </cell>
          <cell r="M71">
            <v>1426334.5391135726</v>
          </cell>
        </row>
        <row r="72">
          <cell r="D72">
            <v>2077</v>
          </cell>
          <cell r="E72">
            <v>4515469.4228303283</v>
          </cell>
          <cell r="F72"/>
          <cell r="G72">
            <v>1802.5</v>
          </cell>
          <cell r="H72">
            <v>39158.105415667967</v>
          </cell>
          <cell r="I72"/>
          <cell r="J72"/>
          <cell r="K72">
            <v>74614.960000000006</v>
          </cell>
          <cell r="L72">
            <v>1689.919999999996</v>
          </cell>
          <cell r="M72">
            <v>4632734.9082459966</v>
          </cell>
        </row>
        <row r="73">
          <cell r="D73">
            <v>5201</v>
          </cell>
          <cell r="E73">
            <v>1969958.6305074256</v>
          </cell>
          <cell r="F73"/>
          <cell r="G73">
            <v>0</v>
          </cell>
          <cell r="H73">
            <v>13624.656127819568</v>
          </cell>
          <cell r="I73"/>
          <cell r="J73"/>
          <cell r="K73">
            <v>-11004.71</v>
          </cell>
          <cell r="L73">
            <v>-2955.01</v>
          </cell>
          <cell r="M73">
            <v>1969623.5666352452</v>
          </cell>
        </row>
        <row r="74">
          <cell r="D74">
            <v>3501</v>
          </cell>
          <cell r="E74">
            <v>1149452.5937917456</v>
          </cell>
          <cell r="F74"/>
          <cell r="G74"/>
          <cell r="H74">
            <v>-15047.729929824556</v>
          </cell>
          <cell r="I74"/>
          <cell r="J74"/>
          <cell r="K74">
            <v>9772.43</v>
          </cell>
          <cell r="L74">
            <v>3524.99</v>
          </cell>
          <cell r="M74">
            <v>1147702.2838619209</v>
          </cell>
        </row>
        <row r="75">
          <cell r="D75">
            <v>2078</v>
          </cell>
          <cell r="E75">
            <v>1090781.54913042</v>
          </cell>
          <cell r="F75"/>
          <cell r="G75">
            <v>305.8</v>
          </cell>
          <cell r="H75">
            <v>6377.0474806201601</v>
          </cell>
          <cell r="I75">
            <v>-305.8</v>
          </cell>
          <cell r="J75"/>
          <cell r="K75">
            <v>6145.42</v>
          </cell>
          <cell r="L75">
            <v>-10764</v>
          </cell>
          <cell r="M75">
            <v>1092540.0166110401</v>
          </cell>
        </row>
        <row r="76">
          <cell r="D76">
            <v>2038</v>
          </cell>
          <cell r="E76">
            <v>2035831.9550439999</v>
          </cell>
          <cell r="F76"/>
          <cell r="G76">
            <v>261.79999999999927</v>
          </cell>
          <cell r="H76">
            <v>25317.208424695335</v>
          </cell>
          <cell r="I76"/>
          <cell r="J76">
            <v>-261.8799999999992</v>
          </cell>
          <cell r="K76">
            <v>10602.679999999998</v>
          </cell>
          <cell r="L76">
            <v>-8338.5999999999985</v>
          </cell>
          <cell r="M76">
            <v>2063413.1634686952</v>
          </cell>
        </row>
        <row r="77">
          <cell r="D77">
            <v>2071</v>
          </cell>
          <cell r="E77">
            <v>1818146.0843549934</v>
          </cell>
          <cell r="F77"/>
          <cell r="G77">
            <v>1918.5</v>
          </cell>
          <cell r="H77">
            <v>-17457.590793021373</v>
          </cell>
          <cell r="I77"/>
          <cell r="J77"/>
          <cell r="K77">
            <v>-22116.92</v>
          </cell>
          <cell r="L77">
            <v>-17799.040000000005</v>
          </cell>
          <cell r="M77">
            <v>1762691.033561972</v>
          </cell>
        </row>
        <row r="78">
          <cell r="D78">
            <v>2072</v>
          </cell>
          <cell r="E78">
            <v>1841811.2272929086</v>
          </cell>
          <cell r="F78"/>
          <cell r="G78">
            <v>200.25</v>
          </cell>
          <cell r="H78">
            <v>-4248.1743589743346</v>
          </cell>
          <cell r="I78"/>
          <cell r="J78"/>
          <cell r="K78">
            <v>27731.670000000002</v>
          </cell>
          <cell r="L78">
            <v>-6606</v>
          </cell>
          <cell r="M78">
            <v>1858888.9729339341</v>
          </cell>
        </row>
        <row r="79">
          <cell r="D79">
            <v>2004</v>
          </cell>
          <cell r="E79">
            <v>493051.79629684787</v>
          </cell>
          <cell r="F79"/>
          <cell r="G79">
            <v>6976.8</v>
          </cell>
          <cell r="H79">
            <v>21433</v>
          </cell>
          <cell r="I79"/>
          <cell r="J79">
            <v>-6976.8</v>
          </cell>
          <cell r="K79">
            <v>11091.5</v>
          </cell>
          <cell r="L79">
            <v>0</v>
          </cell>
          <cell r="M79">
            <v>525576.29629684787</v>
          </cell>
        </row>
        <row r="80">
          <cell r="D80">
            <v>3512</v>
          </cell>
          <cell r="E80">
            <v>1868702.2841490351</v>
          </cell>
          <cell r="F80"/>
          <cell r="G80"/>
          <cell r="H80">
            <v>7384.9654170804524</v>
          </cell>
          <cell r="I80"/>
          <cell r="J80"/>
          <cell r="K80">
            <v>-9002.2800000000007</v>
          </cell>
          <cell r="L80">
            <v>8905.66</v>
          </cell>
          <cell r="M80">
            <v>1875990.6295661156</v>
          </cell>
        </row>
        <row r="81">
          <cell r="D81">
            <v>2041</v>
          </cell>
          <cell r="E81">
            <v>762967.09028213029</v>
          </cell>
          <cell r="F81"/>
          <cell r="G81"/>
          <cell r="H81">
            <v>9995.8750000000073</v>
          </cell>
          <cell r="I81"/>
          <cell r="J81"/>
          <cell r="K81">
            <v>5322.08</v>
          </cell>
          <cell r="L81">
            <v>31.5</v>
          </cell>
          <cell r="M81">
            <v>778316.54528213025</v>
          </cell>
        </row>
        <row r="82">
          <cell r="D82">
            <v>3510</v>
          </cell>
          <cell r="E82">
            <v>1773019.3406141775</v>
          </cell>
          <cell r="F82"/>
          <cell r="G82"/>
          <cell r="H82">
            <v>4782.8750000000073</v>
          </cell>
          <cell r="I82"/>
          <cell r="J82"/>
          <cell r="K82">
            <v>-2044.8</v>
          </cell>
          <cell r="L82">
            <v>0</v>
          </cell>
          <cell r="M82">
            <v>1775757.4156141775</v>
          </cell>
        </row>
        <row r="83">
          <cell r="D83">
            <v>3502</v>
          </cell>
          <cell r="E83">
            <v>1607215.9905927035</v>
          </cell>
          <cell r="F83"/>
          <cell r="G83"/>
          <cell r="H83">
            <v>6526.6292019263983</v>
          </cell>
          <cell r="I83"/>
          <cell r="J83"/>
          <cell r="K83">
            <v>-1778.8600000000001</v>
          </cell>
          <cell r="L83">
            <v>-25.290000000000013</v>
          </cell>
          <cell r="M83">
            <v>1611938.4697946296</v>
          </cell>
        </row>
        <row r="84">
          <cell r="D84">
            <v>3315</v>
          </cell>
          <cell r="E84">
            <v>940645.43623863091</v>
          </cell>
          <cell r="F84"/>
          <cell r="G84"/>
          <cell r="H84">
            <v>1342.1250000000036</v>
          </cell>
          <cell r="I84"/>
          <cell r="J84"/>
          <cell r="K84">
            <v>5330.47</v>
          </cell>
          <cell r="L84">
            <v>0</v>
          </cell>
          <cell r="M84">
            <v>947318.03123863088</v>
          </cell>
        </row>
        <row r="85">
          <cell r="D85">
            <v>3504</v>
          </cell>
          <cell r="E85">
            <v>2089019.4146689451</v>
          </cell>
          <cell r="F85"/>
          <cell r="G85"/>
          <cell r="H85">
            <v>5733.8511777084459</v>
          </cell>
          <cell r="I85"/>
          <cell r="J85"/>
          <cell r="K85">
            <v>3953.35</v>
          </cell>
          <cell r="L85">
            <v>36.399999999999949</v>
          </cell>
          <cell r="M85">
            <v>2098743.0158466534</v>
          </cell>
        </row>
        <row r="86">
          <cell r="D86">
            <v>3309</v>
          </cell>
          <cell r="E86">
            <v>1171493.2876849005</v>
          </cell>
          <cell r="F86"/>
          <cell r="G86"/>
          <cell r="H86">
            <v>-4991.0822035858819</v>
          </cell>
          <cell r="I86"/>
          <cell r="J86"/>
          <cell r="K86">
            <v>-20552.409999999996</v>
          </cell>
          <cell r="L86">
            <v>667.11999999999694</v>
          </cell>
          <cell r="M86">
            <v>1146616.9154813148</v>
          </cell>
        </row>
        <row r="87">
          <cell r="D87">
            <v>3307</v>
          </cell>
          <cell r="E87">
            <v>1053286.2699323311</v>
          </cell>
          <cell r="F87"/>
          <cell r="G87"/>
          <cell r="H87">
            <v>10519.878604845459</v>
          </cell>
          <cell r="I87"/>
          <cell r="J87"/>
          <cell r="K87">
            <v>10956.74</v>
          </cell>
          <cell r="L87">
            <v>-1995.1499999999999</v>
          </cell>
          <cell r="M87">
            <v>1072767.7385371765</v>
          </cell>
        </row>
        <row r="88">
          <cell r="D88">
            <v>3509</v>
          </cell>
          <cell r="E88">
            <v>2100548.4919736865</v>
          </cell>
          <cell r="F88">
            <v>-230</v>
          </cell>
          <cell r="G88"/>
          <cell r="H88">
            <v>26195.028341418078</v>
          </cell>
          <cell r="I88"/>
          <cell r="J88"/>
          <cell r="K88">
            <v>-24296.3</v>
          </cell>
          <cell r="L88">
            <v>3802.3</v>
          </cell>
          <cell r="M88">
            <v>2106019.5203151046</v>
          </cell>
        </row>
        <row r="89">
          <cell r="D89">
            <v>3311</v>
          </cell>
          <cell r="E89">
            <v>1909703.6559462578</v>
          </cell>
          <cell r="F89"/>
          <cell r="G89"/>
          <cell r="H89">
            <v>-15023.120802005003</v>
          </cell>
          <cell r="I89"/>
          <cell r="J89"/>
          <cell r="K89">
            <v>-13101.619999999999</v>
          </cell>
          <cell r="L89">
            <v>-2196.73</v>
          </cell>
          <cell r="M89">
            <v>1879382.1851442526</v>
          </cell>
        </row>
        <row r="90">
          <cell r="D90">
            <v>3312</v>
          </cell>
          <cell r="E90">
            <v>1027173.0578141226</v>
          </cell>
          <cell r="F90"/>
          <cell r="G90"/>
          <cell r="H90">
            <v>-5162.5837227414231</v>
          </cell>
          <cell r="I90"/>
          <cell r="J90"/>
          <cell r="K90">
            <v>-10433.6</v>
          </cell>
          <cell r="L90">
            <v>1294</v>
          </cell>
          <cell r="M90">
            <v>1012870.8740913812</v>
          </cell>
        </row>
        <row r="91">
          <cell r="D91">
            <v>3314</v>
          </cell>
          <cell r="E91">
            <v>983885.84331672208</v>
          </cell>
          <cell r="F91"/>
          <cell r="G91"/>
          <cell r="H91">
            <v>10164.122807017553</v>
          </cell>
          <cell r="I91"/>
          <cell r="J91"/>
          <cell r="K91">
            <v>5430</v>
          </cell>
          <cell r="L91">
            <v>31.5</v>
          </cell>
          <cell r="M91">
            <v>999511.46612373961</v>
          </cell>
        </row>
        <row r="92">
          <cell r="D92">
            <v>3313</v>
          </cell>
          <cell r="E92">
            <v>1172441.7557065983</v>
          </cell>
          <cell r="F92"/>
          <cell r="G92"/>
          <cell r="H92">
            <v>-12536.44785653158</v>
          </cell>
          <cell r="I92"/>
          <cell r="J92"/>
          <cell r="K92">
            <v>14155.319999999998</v>
          </cell>
          <cell r="L92">
            <v>98.160000000000764</v>
          </cell>
          <cell r="M92">
            <v>1174158.7878500668</v>
          </cell>
        </row>
        <row r="93">
          <cell r="D93">
            <v>3507</v>
          </cell>
          <cell r="E93">
            <v>1072527.805043204</v>
          </cell>
          <cell r="F93"/>
          <cell r="G93"/>
          <cell r="H93">
            <v>-12270.666316526607</v>
          </cell>
          <cell r="I93"/>
          <cell r="J93"/>
          <cell r="K93">
            <v>5445.32</v>
          </cell>
          <cell r="L93"/>
          <cell r="M93">
            <v>1065702.4587266773</v>
          </cell>
        </row>
        <row r="94">
          <cell r="D94">
            <v>3506</v>
          </cell>
          <cell r="E94">
            <v>1472574.8536874463</v>
          </cell>
          <cell r="F94"/>
          <cell r="G94"/>
          <cell r="H94">
            <v>4412.7393892339605</v>
          </cell>
          <cell r="I94"/>
          <cell r="J94"/>
          <cell r="K94">
            <v>11740.49</v>
          </cell>
          <cell r="L94">
            <v>-3386.4</v>
          </cell>
          <cell r="M94">
            <v>1485341.6830766804</v>
          </cell>
        </row>
        <row r="95">
          <cell r="D95">
            <v>2052</v>
          </cell>
          <cell r="E95">
            <v>2742122.2675833246</v>
          </cell>
          <cell r="F95">
            <v>44652</v>
          </cell>
          <cell r="G95">
            <v>1715</v>
          </cell>
          <cell r="H95">
            <v>60911.835626566412</v>
          </cell>
          <cell r="I95"/>
          <cell r="J95">
            <v>-1355.75</v>
          </cell>
          <cell r="K95">
            <v>27746.829999999998</v>
          </cell>
          <cell r="L95">
            <v>-22619.59</v>
          </cell>
          <cell r="M95">
            <v>2853172.5932098911</v>
          </cell>
        </row>
        <row r="96">
          <cell r="D96">
            <v>2070</v>
          </cell>
          <cell r="E96">
            <v>1349694.8340314603</v>
          </cell>
          <cell r="F96"/>
          <cell r="G96">
            <v>583</v>
          </cell>
          <cell r="H96">
            <v>24245.804667102537</v>
          </cell>
          <cell r="I96"/>
          <cell r="J96">
            <v>-1064.5</v>
          </cell>
          <cell r="K96">
            <v>-16088.769999999999</v>
          </cell>
          <cell r="L96">
            <v>-7063.7</v>
          </cell>
          <cell r="M96">
            <v>1350306.668698563</v>
          </cell>
        </row>
        <row r="97">
          <cell r="D97">
            <v>3316</v>
          </cell>
          <cell r="E97">
            <v>899832.30126502644</v>
          </cell>
          <cell r="F97"/>
          <cell r="G97"/>
          <cell r="H97">
            <v>10281.708333333339</v>
          </cell>
          <cell r="I97"/>
          <cell r="J97"/>
          <cell r="K97">
            <v>5366.75</v>
          </cell>
          <cell r="L97">
            <v>3.1</v>
          </cell>
          <cell r="M97">
            <v>915483.85959835979</v>
          </cell>
        </row>
        <row r="98">
          <cell r="D98">
            <v>2055</v>
          </cell>
          <cell r="E98">
            <v>1375912.871118187</v>
          </cell>
          <cell r="F98"/>
          <cell r="G98">
            <v>368.5</v>
          </cell>
          <cell r="H98">
            <v>-16786.92456254955</v>
          </cell>
          <cell r="I98"/>
          <cell r="J98">
            <v>-478.52</v>
          </cell>
          <cell r="K98">
            <v>-4065.8300000000004</v>
          </cell>
          <cell r="L98">
            <v>-1817.2900000000002</v>
          </cell>
          <cell r="M98">
            <v>1353132.8065556374</v>
          </cell>
        </row>
        <row r="99">
          <cell r="D99">
            <v>2057</v>
          </cell>
          <cell r="E99">
            <v>2848243.7476634234</v>
          </cell>
          <cell r="F99">
            <v>10000</v>
          </cell>
          <cell r="G99">
            <v>8077.5</v>
          </cell>
          <cell r="H99">
            <v>71897.812140817361</v>
          </cell>
          <cell r="I99"/>
          <cell r="J99"/>
          <cell r="K99">
            <v>17343.2</v>
          </cell>
          <cell r="L99">
            <v>18216.3</v>
          </cell>
          <cell r="M99">
            <v>2973778.5598042407</v>
          </cell>
        </row>
        <row r="100">
          <cell r="D100">
            <v>2076</v>
          </cell>
          <cell r="E100">
            <v>2531035.1622567568</v>
          </cell>
          <cell r="F100"/>
          <cell r="G100">
            <v>572</v>
          </cell>
          <cell r="H100">
            <v>-18427.774084701603</v>
          </cell>
          <cell r="I100"/>
          <cell r="J100">
            <v>-986</v>
          </cell>
          <cell r="K100">
            <v>5711.5699999999988</v>
          </cell>
          <cell r="L100">
            <v>-12331.449999999999</v>
          </cell>
          <cell r="M100">
            <v>2505573.5081720548</v>
          </cell>
        </row>
        <row r="101">
          <cell r="D101">
            <v>2060</v>
          </cell>
          <cell r="E101">
            <v>2672594.8778714468</v>
          </cell>
          <cell r="F101"/>
          <cell r="G101">
            <v>1347.5</v>
          </cell>
          <cell r="H101">
            <v>-26345.10508071884</v>
          </cell>
          <cell r="I101"/>
          <cell r="J101">
            <v>-2465</v>
          </cell>
          <cell r="K101">
            <v>-1903.4399999999996</v>
          </cell>
          <cell r="L101">
            <v>-17495.350000000002</v>
          </cell>
          <cell r="M101">
            <v>2625733.4827907281</v>
          </cell>
        </row>
        <row r="102">
          <cell r="D102">
            <v>3518</v>
          </cell>
          <cell r="E102">
            <v>2776303.4829147425</v>
          </cell>
          <cell r="F102"/>
          <cell r="G102">
            <v>1890</v>
          </cell>
          <cell r="H102">
            <v>-26119.414299529919</v>
          </cell>
          <cell r="I102"/>
          <cell r="J102">
            <v>-2218.5</v>
          </cell>
          <cell r="K102">
            <v>-12463.110000000002</v>
          </cell>
          <cell r="L102">
            <v>-4761.1499999999996</v>
          </cell>
          <cell r="M102">
            <v>2732631.3086152128</v>
          </cell>
        </row>
        <row r="103">
          <cell r="D103">
            <v>2054</v>
          </cell>
          <cell r="E103">
            <v>1111191.5949389765</v>
          </cell>
          <cell r="F103"/>
          <cell r="G103">
            <v>971.25</v>
          </cell>
          <cell r="H103">
            <v>-1878.2083333333285</v>
          </cell>
          <cell r="I103"/>
          <cell r="J103">
            <v>-986</v>
          </cell>
          <cell r="K103">
            <v>5454.07</v>
          </cell>
          <cell r="L103">
            <v>-7908.83</v>
          </cell>
          <cell r="M103">
            <v>1106843.8766056432</v>
          </cell>
        </row>
        <row r="104">
          <cell r="D104" t="str">
            <v>ank)</v>
          </cell>
          <cell r="E104"/>
          <cell r="F104"/>
          <cell r="G104"/>
          <cell r="H104"/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D105">
            <v>2999</v>
          </cell>
          <cell r="E105"/>
          <cell r="F105"/>
          <cell r="G105"/>
          <cell r="H105"/>
          <cell r="I105"/>
          <cell r="J105"/>
          <cell r="K105"/>
          <cell r="L105">
            <v>210899.30000000002</v>
          </cell>
          <cell r="M105">
            <v>210899.30000000002</v>
          </cell>
        </row>
        <row r="106">
          <cell r="E106">
            <v>151878060.63698822</v>
          </cell>
          <cell r="F106">
            <v>129662.2467144</v>
          </cell>
          <cell r="G106">
            <v>70188.367859407619</v>
          </cell>
          <cell r="H106">
            <v>232288.5925710242</v>
          </cell>
          <cell r="I106">
            <v>-305.8</v>
          </cell>
          <cell r="J106">
            <v>-66406.26999999996</v>
          </cell>
          <cell r="K106">
            <v>81021.640000000014</v>
          </cell>
          <cell r="L106">
            <v>-317658.80000000016</v>
          </cell>
          <cell r="M106">
            <v>152006850.61413303</v>
          </cell>
        </row>
        <row r="107">
          <cell r="D107">
            <v>1103</v>
          </cell>
          <cell r="E107">
            <v>0</v>
          </cell>
          <cell r="F107"/>
          <cell r="G107"/>
          <cell r="H107"/>
          <cell r="I107"/>
          <cell r="J107"/>
          <cell r="K107"/>
          <cell r="L107"/>
          <cell r="M107">
            <v>0</v>
          </cell>
        </row>
        <row r="108">
          <cell r="D108">
            <v>1102</v>
          </cell>
          <cell r="E108">
            <v>402570.25000000012</v>
          </cell>
          <cell r="F108"/>
          <cell r="G108"/>
          <cell r="H108">
            <v>15895</v>
          </cell>
          <cell r="I108">
            <v>6182</v>
          </cell>
          <cell r="J108"/>
          <cell r="K108"/>
          <cell r="L108"/>
          <cell r="M108">
            <v>424647.25000000012</v>
          </cell>
        </row>
        <row r="109">
          <cell r="D109">
            <v>1100</v>
          </cell>
          <cell r="E109">
            <v>2092828.25</v>
          </cell>
          <cell r="F109">
            <v>1055.5</v>
          </cell>
          <cell r="G109">
            <v>4000</v>
          </cell>
          <cell r="H109">
            <v>92551</v>
          </cell>
          <cell r="I109"/>
          <cell r="J109">
            <v>0</v>
          </cell>
          <cell r="K109">
            <v>0</v>
          </cell>
          <cell r="L109">
            <v>46086.94</v>
          </cell>
          <cell r="M109">
            <v>2236521.69</v>
          </cell>
        </row>
        <row r="110">
          <cell r="E110">
            <v>2495398.5</v>
          </cell>
          <cell r="F110">
            <v>1055.5</v>
          </cell>
          <cell r="G110">
            <v>4000</v>
          </cell>
          <cell r="H110">
            <v>108446</v>
          </cell>
          <cell r="I110">
            <v>6182</v>
          </cell>
          <cell r="J110">
            <v>0</v>
          </cell>
          <cell r="K110">
            <v>0</v>
          </cell>
          <cell r="L110">
            <v>46086.94</v>
          </cell>
          <cell r="M110">
            <v>2661168.94</v>
          </cell>
        </row>
        <row r="111">
          <cell r="D111">
            <v>4001</v>
          </cell>
          <cell r="E111">
            <v>2419697.264685289</v>
          </cell>
          <cell r="F111"/>
          <cell r="G111"/>
          <cell r="H111">
            <v>-28119.026845637578</v>
          </cell>
          <cell r="I111"/>
          <cell r="J111">
            <v>7000</v>
          </cell>
          <cell r="K111">
            <v>20466.830000000002</v>
          </cell>
          <cell r="L111">
            <v>1000</v>
          </cell>
          <cell r="M111">
            <v>2420045.0678396514</v>
          </cell>
        </row>
        <row r="112">
          <cell r="D112">
            <v>5406</v>
          </cell>
          <cell r="E112">
            <v>6208037.2947593117</v>
          </cell>
          <cell r="F112"/>
          <cell r="G112">
            <v>0</v>
          </cell>
          <cell r="H112">
            <v>-6531.5706690296938</v>
          </cell>
          <cell r="I112"/>
          <cell r="J112"/>
          <cell r="K112">
            <v>22096.67</v>
          </cell>
          <cell r="L112">
            <v>-2691</v>
          </cell>
          <cell r="M112">
            <v>6220911.3940902818</v>
          </cell>
        </row>
        <row r="113">
          <cell r="D113">
            <v>5408</v>
          </cell>
          <cell r="E113">
            <v>5105796.7111110585</v>
          </cell>
          <cell r="F113">
            <v>-24590.666666666744</v>
          </cell>
          <cell r="G113"/>
          <cell r="H113">
            <v>-18401.473498233216</v>
          </cell>
          <cell r="I113"/>
          <cell r="J113">
            <v>11250</v>
          </cell>
          <cell r="K113">
            <v>-11747.009999999998</v>
          </cell>
          <cell r="L113">
            <v>7000</v>
          </cell>
          <cell r="M113">
            <v>5069307.5609461581</v>
          </cell>
        </row>
        <row r="114">
          <cell r="D114">
            <v>4211</v>
          </cell>
          <cell r="E114">
            <v>4239654.2768036593</v>
          </cell>
          <cell r="F114"/>
          <cell r="G114">
            <v>2457</v>
          </cell>
          <cell r="H114">
            <v>-12624.135759272205</v>
          </cell>
          <cell r="I114"/>
          <cell r="J114">
            <v>-2456.7999999999993</v>
          </cell>
          <cell r="K114">
            <v>-1629.83</v>
          </cell>
          <cell r="L114">
            <v>-5511.84</v>
          </cell>
          <cell r="M114">
            <v>4219888.6710443869</v>
          </cell>
        </row>
        <row r="115">
          <cell r="D115">
            <v>4215</v>
          </cell>
          <cell r="E115">
            <v>6439396.4508204535</v>
          </cell>
          <cell r="F115"/>
          <cell r="G115">
            <v>911.40000000000146</v>
          </cell>
          <cell r="H115">
            <v>-29329.743290960556</v>
          </cell>
          <cell r="I115"/>
          <cell r="J115">
            <v>-8498.0400000000009</v>
          </cell>
          <cell r="K115">
            <v>11428.16</v>
          </cell>
          <cell r="L115">
            <v>9217.84</v>
          </cell>
          <cell r="M115">
            <v>6423126.067529493</v>
          </cell>
        </row>
        <row r="116">
          <cell r="D116">
            <v>4210</v>
          </cell>
          <cell r="E116">
            <v>5541430.3762438251</v>
          </cell>
          <cell r="F116"/>
          <cell r="G116">
            <v>523.60000000000036</v>
          </cell>
          <cell r="H116">
            <v>-7385.8727477477951</v>
          </cell>
          <cell r="I116"/>
          <cell r="J116">
            <v>10976.76</v>
          </cell>
          <cell r="K116">
            <v>4649.16</v>
          </cell>
          <cell r="L116">
            <v>1000</v>
          </cell>
          <cell r="M116">
            <v>5551194.0234960765</v>
          </cell>
        </row>
        <row r="117">
          <cell r="D117">
            <v>4212</v>
          </cell>
          <cell r="E117">
            <v>6251815.4632647224</v>
          </cell>
          <cell r="F117"/>
          <cell r="G117">
            <v>3146</v>
          </cell>
          <cell r="H117">
            <v>3535.7265774378611</v>
          </cell>
          <cell r="I117"/>
          <cell r="J117">
            <v>-21.399999999994179</v>
          </cell>
          <cell r="K117">
            <v>-12558</v>
          </cell>
          <cell r="L117">
            <v>19077.34</v>
          </cell>
          <cell r="M117">
            <v>6264995.1298421593</v>
          </cell>
        </row>
        <row r="118">
          <cell r="D118">
            <v>5405</v>
          </cell>
          <cell r="E118">
            <v>6327105.9463245394</v>
          </cell>
          <cell r="F118">
            <v>-71246</v>
          </cell>
          <cell r="G118">
            <v>0</v>
          </cell>
          <cell r="H118">
            <v>12794.877697841732</v>
          </cell>
          <cell r="I118"/>
          <cell r="J118">
            <v>3125</v>
          </cell>
          <cell r="K118">
            <v>-106</v>
          </cell>
          <cell r="L118">
            <v>3355</v>
          </cell>
          <cell r="M118">
            <v>6275028.8240223816</v>
          </cell>
        </row>
        <row r="119">
          <cell r="D119">
            <v>4003</v>
          </cell>
          <cell r="E119">
            <v>5333164.4975877358</v>
          </cell>
          <cell r="F119">
            <v>4109</v>
          </cell>
          <cell r="G119">
            <v>1221</v>
          </cell>
          <cell r="H119">
            <v>-1588.1389588581224</v>
          </cell>
          <cell r="I119">
            <v>24818</v>
          </cell>
          <cell r="J119">
            <v>-2052</v>
          </cell>
          <cell r="K119">
            <v>-8701.67</v>
          </cell>
          <cell r="L119">
            <v>25461.35</v>
          </cell>
          <cell r="M119">
            <v>5376432.0386288771</v>
          </cell>
        </row>
        <row r="120">
          <cell r="D120">
            <v>5409</v>
          </cell>
          <cell r="E120">
            <v>4544754.3353239773</v>
          </cell>
          <cell r="F120"/>
          <cell r="G120">
            <v>0</v>
          </cell>
          <cell r="H120">
            <v>27608.099378881991</v>
          </cell>
          <cell r="I120"/>
          <cell r="J120">
            <v>0</v>
          </cell>
          <cell r="K120">
            <v>7908.8300000000017</v>
          </cell>
          <cell r="L120">
            <v>-6279</v>
          </cell>
          <cell r="M120">
            <v>4573992.2647028593</v>
          </cell>
        </row>
        <row r="121">
          <cell r="D121">
            <v>5400</v>
          </cell>
          <cell r="E121">
            <v>7338929.5049506035</v>
          </cell>
          <cell r="F121"/>
          <cell r="G121">
            <v>-20000.000000000004</v>
          </cell>
          <cell r="H121">
            <v>75803.835077229363</v>
          </cell>
          <cell r="I121"/>
          <cell r="J121">
            <v>5000</v>
          </cell>
          <cell r="K121">
            <v>46855.33</v>
          </cell>
          <cell r="L121">
            <v>2164.16</v>
          </cell>
          <cell r="M121">
            <v>7448752.8300278326</v>
          </cell>
        </row>
        <row r="122">
          <cell r="D122">
            <v>4752</v>
          </cell>
          <cell r="E122">
            <v>2516835.1456878893</v>
          </cell>
          <cell r="F122"/>
          <cell r="G122">
            <v>0</v>
          </cell>
          <cell r="H122">
            <v>-4121.1464968152868</v>
          </cell>
          <cell r="I122"/>
          <cell r="J122"/>
          <cell r="K122">
            <v>0</v>
          </cell>
          <cell r="L122"/>
          <cell r="M122">
            <v>2512713.9991910742</v>
          </cell>
        </row>
        <row r="123">
          <cell r="D123">
            <v>5427</v>
          </cell>
          <cell r="E123">
            <v>6866695.2679935172</v>
          </cell>
          <cell r="F123">
            <v>-45072</v>
          </cell>
          <cell r="G123"/>
          <cell r="H123">
            <v>28138.690476190473</v>
          </cell>
          <cell r="I123"/>
          <cell r="J123"/>
          <cell r="K123">
            <v>18795.5</v>
          </cell>
          <cell r="L123">
            <v>33566.33</v>
          </cell>
          <cell r="M123">
            <v>6902123.7884697076</v>
          </cell>
        </row>
        <row r="124">
          <cell r="D124">
            <v>5402</v>
          </cell>
          <cell r="E124">
            <v>7557330.3840725515</v>
          </cell>
          <cell r="F124"/>
          <cell r="G124">
            <v>150</v>
          </cell>
          <cell r="H124">
            <v>-10588.457980652907</v>
          </cell>
          <cell r="I124">
            <v>318301.31666666665</v>
          </cell>
          <cell r="J124"/>
          <cell r="K124">
            <v>150527.18333333332</v>
          </cell>
          <cell r="L124">
            <v>28611.450000000004</v>
          </cell>
          <cell r="M124">
            <v>8044331.8760918984</v>
          </cell>
        </row>
        <row r="125">
          <cell r="D125">
            <v>4208</v>
          </cell>
          <cell r="E125">
            <v>5116868.5919450298</v>
          </cell>
          <cell r="F125"/>
          <cell r="G125">
            <v>1537.5999999999985</v>
          </cell>
          <cell r="H125">
            <v>19103.557103064086</v>
          </cell>
          <cell r="I125"/>
          <cell r="J125">
            <v>-1537.3600000000006</v>
          </cell>
          <cell r="K125">
            <v>-39779.17</v>
          </cell>
          <cell r="L125">
            <v>1801.5</v>
          </cell>
          <cell r="M125">
            <v>5097994.7190480931</v>
          </cell>
        </row>
        <row r="126">
          <cell r="D126">
            <v>5401</v>
          </cell>
          <cell r="E126">
            <v>4561222.1140388204</v>
          </cell>
          <cell r="F126"/>
          <cell r="G126">
            <v>0</v>
          </cell>
          <cell r="H126">
            <v>744.26503340756608</v>
          </cell>
          <cell r="I126"/>
          <cell r="J126"/>
          <cell r="K126">
            <v>0</v>
          </cell>
          <cell r="L126"/>
          <cell r="M126">
            <v>4561966.3790722275</v>
          </cell>
        </row>
        <row r="127">
          <cell r="D127">
            <v>4000</v>
          </cell>
          <cell r="E127">
            <v>1318947.1538256088</v>
          </cell>
          <cell r="F127"/>
          <cell r="G127">
            <v>26419.5</v>
          </cell>
          <cell r="H127">
            <v>-6246.1415525114135</v>
          </cell>
          <cell r="I127"/>
          <cell r="J127">
            <v>-26419.5</v>
          </cell>
          <cell r="K127">
            <v>5176</v>
          </cell>
          <cell r="L127">
            <v>-431.33</v>
          </cell>
          <cell r="M127">
            <v>1317445.6822730973</v>
          </cell>
        </row>
        <row r="128">
          <cell r="D128">
            <v>5404</v>
          </cell>
          <cell r="E128">
            <v>3932935.2525187968</v>
          </cell>
          <cell r="F128">
            <v>5519.3333333332557</v>
          </cell>
          <cell r="G128">
            <v>1200</v>
          </cell>
          <cell r="H128">
            <v>1676.0714285714275</v>
          </cell>
          <cell r="I128"/>
          <cell r="J128">
            <v>29963.64</v>
          </cell>
          <cell r="K128">
            <v>0</v>
          </cell>
          <cell r="L128">
            <v>500</v>
          </cell>
          <cell r="M128">
            <v>3971794.2972807018</v>
          </cell>
        </row>
        <row r="129">
          <cell r="D129">
            <v>5407</v>
          </cell>
          <cell r="E129">
            <v>6215507.8863205193</v>
          </cell>
          <cell r="F129">
            <v>-160330.66666666674</v>
          </cell>
          <cell r="G129"/>
          <cell r="H129">
            <v>11462.960893854761</v>
          </cell>
          <cell r="I129"/>
          <cell r="J129">
            <v>45770</v>
          </cell>
          <cell r="K129">
            <v>-3860.16</v>
          </cell>
          <cell r="L129">
            <v>-2564</v>
          </cell>
          <cell r="M129">
            <v>6105986.0205477066</v>
          </cell>
        </row>
        <row r="130">
          <cell r="D130">
            <v>5403</v>
          </cell>
          <cell r="E130">
            <v>1451302.4519399919</v>
          </cell>
          <cell r="F130">
            <v>-184991</v>
          </cell>
          <cell r="G130">
            <v>500</v>
          </cell>
          <cell r="H130">
            <v>-8407.4999999999927</v>
          </cell>
          <cell r="I130"/>
          <cell r="J130"/>
          <cell r="K130">
            <v>-7908.83</v>
          </cell>
          <cell r="L130">
            <v>1500</v>
          </cell>
          <cell r="M130">
            <v>1251995.1219399918</v>
          </cell>
        </row>
        <row r="131">
          <cell r="D131">
            <v>4009</v>
          </cell>
          <cell r="E131">
            <v>4051250.5197314057</v>
          </cell>
          <cell r="F131"/>
          <cell r="G131">
            <v>1289.6000000000022</v>
          </cell>
          <cell r="H131">
            <v>-6162.8834168058238</v>
          </cell>
          <cell r="I131"/>
          <cell r="J131">
            <v>10960.440000000002</v>
          </cell>
          <cell r="K131">
            <v>3019.33</v>
          </cell>
          <cell r="L131">
            <v>1129.8399999999999</v>
          </cell>
          <cell r="M131">
            <v>4061486.8463145997</v>
          </cell>
        </row>
        <row r="132">
          <cell r="D132">
            <v>4012</v>
          </cell>
          <cell r="E132">
            <v>4768193.2621875489</v>
          </cell>
          <cell r="F132"/>
          <cell r="G132">
            <v>-33161</v>
          </cell>
          <cell r="H132">
            <v>18933.38533541339</v>
          </cell>
          <cell r="I132"/>
          <cell r="J132">
            <v>42911.199999999997</v>
          </cell>
          <cell r="K132">
            <v>-18671.919999999998</v>
          </cell>
          <cell r="L132">
            <v>2000</v>
          </cell>
          <cell r="M132">
            <v>4780204.9275229629</v>
          </cell>
        </row>
        <row r="133">
          <cell r="E133">
            <v>108106870.15213688</v>
          </cell>
          <cell r="F133">
            <v>-476602.00000000023</v>
          </cell>
          <cell r="G133">
            <v>-13805.3</v>
          </cell>
          <cell r="H133">
            <v>60295.377785368059</v>
          </cell>
          <cell r="I133">
            <v>343119.31666666665</v>
          </cell>
          <cell r="J133">
            <v>125971.94</v>
          </cell>
          <cell r="K133">
            <v>185960.40333333332</v>
          </cell>
          <cell r="L133">
            <v>119907.64</v>
          </cell>
          <cell r="M133">
            <v>108451717.52992222</v>
          </cell>
        </row>
        <row r="134">
          <cell r="D134">
            <v>7010</v>
          </cell>
          <cell r="E134">
            <v>2132540.6009999998</v>
          </cell>
          <cell r="F134">
            <v>16</v>
          </cell>
          <cell r="G134"/>
          <cell r="H134">
            <v>27835.398999999976</v>
          </cell>
          <cell r="I134"/>
          <cell r="J134"/>
          <cell r="K134">
            <v>-41684.160000000003</v>
          </cell>
          <cell r="L134">
            <v>28180.74</v>
          </cell>
          <cell r="M134">
            <v>2146888.58</v>
          </cell>
        </row>
        <row r="135">
          <cell r="D135">
            <v>7005</v>
          </cell>
          <cell r="E135">
            <v>1814850.2100000002</v>
          </cell>
          <cell r="F135"/>
          <cell r="G135">
            <v>103050</v>
          </cell>
          <cell r="H135">
            <v>101119.45666666678</v>
          </cell>
          <cell r="I135"/>
          <cell r="J135"/>
          <cell r="K135">
            <v>9933.9599999999991</v>
          </cell>
          <cell r="L135">
            <v>-2699.37</v>
          </cell>
          <cell r="M135">
            <v>2026254.2566666668</v>
          </cell>
        </row>
        <row r="136">
          <cell r="D136">
            <v>7000</v>
          </cell>
          <cell r="E136">
            <v>3226505.7259999998</v>
          </cell>
          <cell r="F136">
            <v>72.333333333313931</v>
          </cell>
          <cell r="G136"/>
          <cell r="H136">
            <v>179328.60733333346</v>
          </cell>
          <cell r="I136"/>
          <cell r="J136"/>
          <cell r="K136">
            <v>-10694.880000000001</v>
          </cell>
          <cell r="L136">
            <v>7213.39</v>
          </cell>
          <cell r="M136">
            <v>3402425.1766666672</v>
          </cell>
        </row>
        <row r="137">
          <cell r="D137">
            <v>7009</v>
          </cell>
          <cell r="E137">
            <v>2749640.8650000002</v>
          </cell>
          <cell r="F137"/>
          <cell r="G137"/>
          <cell r="H137">
            <v>223065.45999999926</v>
          </cell>
          <cell r="I137">
            <v>47737</v>
          </cell>
          <cell r="J137"/>
          <cell r="K137">
            <v>-170635.25999999995</v>
          </cell>
          <cell r="L137">
            <v>109913.45</v>
          </cell>
          <cell r="M137">
            <v>2959721.5149999997</v>
          </cell>
        </row>
        <row r="138">
          <cell r="E138">
            <v>9923537.4019999988</v>
          </cell>
          <cell r="F138">
            <v>88.333333333313931</v>
          </cell>
          <cell r="G138">
            <v>103050</v>
          </cell>
          <cell r="H138">
            <v>531348.92299999949</v>
          </cell>
          <cell r="I138">
            <v>47737</v>
          </cell>
          <cell r="J138">
            <v>0</v>
          </cell>
          <cell r="K138">
            <v>-213080.33999999997</v>
          </cell>
          <cell r="L138">
            <v>142608.21</v>
          </cell>
          <cell r="M138">
            <v>10535289.528333332</v>
          </cell>
        </row>
        <row r="139">
          <cell r="E139">
            <v>290905185.83686173</v>
          </cell>
          <cell r="F139">
            <v>-345795.91995226691</v>
          </cell>
          <cell r="G139">
            <v>262442.06785940763</v>
          </cell>
          <cell r="H139">
            <v>905130.18338138354</v>
          </cell>
          <cell r="I139">
            <v>396732.51666666666</v>
          </cell>
          <cell r="J139">
            <v>-3693.3299999999581</v>
          </cell>
          <cell r="K139">
            <v>24957.923333333369</v>
          </cell>
          <cell r="L139">
            <v>-78161.210000000181</v>
          </cell>
          <cell r="M139">
            <v>292066798.06815022</v>
          </cell>
        </row>
      </sheetData>
      <sheetData sheetId="8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"/>
      <sheetName val="List of All Schools"/>
      <sheetName val="Barnet Schools"/>
    </sheetNames>
    <sheetDataSet>
      <sheetData sheetId="0"/>
      <sheetData sheetId="1"/>
      <sheetData sheetId="2">
        <row r="8">
          <cell r="E8" t="str">
            <v>Estab</v>
          </cell>
          <cell r="F8" t="str">
            <v>School Name</v>
          </cell>
          <cell r="G8" t="str">
            <v>School Type</v>
          </cell>
          <cell r="H8" t="str">
            <v>Parliamentary Constituency</v>
          </cell>
          <cell r="I8" t="str">
            <v>Number of pupils on roll (7)</v>
          </cell>
          <cell r="J8"/>
          <cell r="K8" t="str">
            <v>Number of Primary pupils on roll (9)</v>
          </cell>
          <cell r="L8" t="str">
            <v>Number of Primary pupils eligible for the Deprivation Pupil Premium</v>
          </cell>
          <cell r="M8" t="str">
            <v>Percentage of Primary pupils eligible for the Deprivation Pupil Premium</v>
          </cell>
          <cell r="N8" t="str">
            <v>Deprivation Pupil Premium Allocation (11)</v>
          </cell>
          <cell r="O8"/>
          <cell r="P8" t="str">
            <v>Number of  Secondary pupils on roll (10)</v>
          </cell>
          <cell r="Q8" t="str">
            <v>Number of Secondary pupils eligible for the Deprivation Pupil Premium</v>
          </cell>
          <cell r="R8" t="str">
            <v>Percentage of Secondary pupils eligible for the Deprivation Pupil Premium</v>
          </cell>
          <cell r="S8" t="str">
            <v>Deprivation Pupil Premium Allocation (12)</v>
          </cell>
          <cell r="T8"/>
          <cell r="U8" t="str">
            <v>Total number of pupils eligible for the Deprivation Pupil Premium</v>
          </cell>
          <cell r="V8" t="str">
            <v>Total allocation for the Deprivation Pupil Premium</v>
          </cell>
        </row>
        <row r="9">
          <cell r="E9">
            <v>1100</v>
          </cell>
          <cell r="F9" t="str">
            <v>Pavilion Study Centre</v>
          </cell>
          <cell r="G9" t="str">
            <v>Pupil Referral Unit</v>
          </cell>
          <cell r="H9" t="str">
            <v>Chipping Barnet</v>
          </cell>
          <cell r="I9" t="str">
            <v>x</v>
          </cell>
          <cell r="J9"/>
          <cell r="K9" t="str">
            <v>x</v>
          </cell>
          <cell r="L9" t="str">
            <v>x</v>
          </cell>
          <cell r="M9" t="str">
            <v>x</v>
          </cell>
          <cell r="N9" t="str">
            <v>x</v>
          </cell>
          <cell r="O9"/>
          <cell r="P9">
            <v>65.5</v>
          </cell>
          <cell r="Q9">
            <v>44.5</v>
          </cell>
          <cell r="R9">
            <v>0.67938931297709926</v>
          </cell>
          <cell r="S9">
            <v>41607.5</v>
          </cell>
          <cell r="T9"/>
          <cell r="U9" t="str">
            <v>x</v>
          </cell>
          <cell r="V9" t="str">
            <v>x</v>
          </cell>
        </row>
        <row r="10">
          <cell r="E10">
            <v>1102</v>
          </cell>
          <cell r="F10" t="str">
            <v>Northgate School</v>
          </cell>
          <cell r="G10" t="str">
            <v>Pupil Referral Unit</v>
          </cell>
          <cell r="H10" t="str">
            <v>Hendon</v>
          </cell>
          <cell r="I10">
            <v>12.000000000000002</v>
          </cell>
          <cell r="J10"/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/>
          <cell r="P10">
            <v>12.000000000000002</v>
          </cell>
          <cell r="Q10">
            <v>8.5</v>
          </cell>
          <cell r="R10">
            <v>0.70833333333333326</v>
          </cell>
          <cell r="S10">
            <v>7947.5</v>
          </cell>
          <cell r="T10"/>
          <cell r="U10">
            <v>8.5</v>
          </cell>
          <cell r="V10">
            <v>7947.5</v>
          </cell>
        </row>
        <row r="11">
          <cell r="E11">
            <v>2001</v>
          </cell>
          <cell r="F11" t="str">
            <v>Etz Chaim Jewish Primary School *</v>
          </cell>
          <cell r="G11" t="str">
            <v>Free School</v>
          </cell>
          <cell r="H11" t="str">
            <v>Hendon</v>
          </cell>
          <cell r="I11">
            <v>138</v>
          </cell>
          <cell r="J11"/>
          <cell r="K11">
            <v>138</v>
          </cell>
          <cell r="L11" t="str">
            <v>x</v>
          </cell>
          <cell r="M11" t="str">
            <v>x</v>
          </cell>
          <cell r="N11" t="str">
            <v>x</v>
          </cell>
          <cell r="O11"/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/>
          <cell r="U11" t="str">
            <v>x</v>
          </cell>
          <cell r="V11" t="str">
            <v>x</v>
          </cell>
        </row>
        <row r="12">
          <cell r="E12">
            <v>2002</v>
          </cell>
          <cell r="F12" t="str">
            <v>Barnfield Primary School</v>
          </cell>
          <cell r="G12" t="str">
            <v>Community School</v>
          </cell>
          <cell r="H12" t="str">
            <v>Hendon</v>
          </cell>
          <cell r="I12">
            <v>481</v>
          </cell>
          <cell r="J12"/>
          <cell r="K12">
            <v>481</v>
          </cell>
          <cell r="L12">
            <v>304</v>
          </cell>
          <cell r="M12">
            <v>0.63201663201663205</v>
          </cell>
          <cell r="N12">
            <v>401280</v>
          </cell>
          <cell r="O12"/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/>
          <cell r="U12">
            <v>304</v>
          </cell>
          <cell r="V12">
            <v>401280</v>
          </cell>
        </row>
        <row r="13">
          <cell r="E13">
            <v>2003</v>
          </cell>
          <cell r="F13" t="str">
            <v>Bell Lane Primary School</v>
          </cell>
          <cell r="G13" t="str">
            <v>Community School</v>
          </cell>
          <cell r="H13" t="str">
            <v>Hendon</v>
          </cell>
          <cell r="I13">
            <v>398.49999999999989</v>
          </cell>
          <cell r="J13"/>
          <cell r="K13">
            <v>398.49999999999989</v>
          </cell>
          <cell r="L13">
            <v>177</v>
          </cell>
          <cell r="M13">
            <v>0.44416562107904656</v>
          </cell>
          <cell r="N13">
            <v>233640</v>
          </cell>
          <cell r="O13"/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/>
          <cell r="U13">
            <v>177</v>
          </cell>
          <cell r="V13">
            <v>233640</v>
          </cell>
        </row>
        <row r="14">
          <cell r="E14">
            <v>2004</v>
          </cell>
          <cell r="F14" t="str">
            <v>Rimon Jewish Primary School *</v>
          </cell>
          <cell r="G14" t="str">
            <v>Free School</v>
          </cell>
          <cell r="H14" t="str">
            <v>Finchley and Golders Green</v>
          </cell>
          <cell r="I14">
            <v>109</v>
          </cell>
          <cell r="J14"/>
          <cell r="K14">
            <v>109</v>
          </cell>
          <cell r="L14">
            <v>8.3333333333333339</v>
          </cell>
          <cell r="M14">
            <v>7.6452599388379214E-2</v>
          </cell>
          <cell r="N14">
            <v>11000</v>
          </cell>
          <cell r="O14"/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/>
          <cell r="U14">
            <v>8.3333333333333339</v>
          </cell>
          <cell r="V14">
            <v>11000</v>
          </cell>
        </row>
        <row r="15">
          <cell r="E15">
            <v>2007</v>
          </cell>
          <cell r="F15" t="str">
            <v>Brookland Junior School</v>
          </cell>
          <cell r="G15" t="str">
            <v>Community School</v>
          </cell>
          <cell r="H15" t="str">
            <v>Finchley and Golders Green</v>
          </cell>
          <cell r="I15">
            <v>360</v>
          </cell>
          <cell r="J15"/>
          <cell r="K15">
            <v>360</v>
          </cell>
          <cell r="L15">
            <v>56</v>
          </cell>
          <cell r="M15">
            <v>0.15555555555555556</v>
          </cell>
          <cell r="N15">
            <v>73920</v>
          </cell>
          <cell r="O15"/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/>
          <cell r="U15">
            <v>56</v>
          </cell>
          <cell r="V15">
            <v>73920</v>
          </cell>
        </row>
        <row r="16">
          <cell r="E16">
            <v>2008</v>
          </cell>
          <cell r="F16" t="str">
            <v>Brookland Infant and Nursery School</v>
          </cell>
          <cell r="G16" t="str">
            <v>Community School</v>
          </cell>
          <cell r="H16" t="str">
            <v>Finchley and Golders Green</v>
          </cell>
          <cell r="I16">
            <v>270</v>
          </cell>
          <cell r="J16"/>
          <cell r="K16">
            <v>270</v>
          </cell>
          <cell r="L16">
            <v>37</v>
          </cell>
          <cell r="M16">
            <v>0.13703703703703704</v>
          </cell>
          <cell r="N16">
            <v>48840</v>
          </cell>
          <cell r="O16"/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/>
          <cell r="U16">
            <v>37</v>
          </cell>
          <cell r="V16">
            <v>48840</v>
          </cell>
        </row>
        <row r="17">
          <cell r="E17">
            <v>2009</v>
          </cell>
          <cell r="F17" t="str">
            <v>Brunswick Park Primary and Nursery School</v>
          </cell>
          <cell r="G17" t="str">
            <v>Community School</v>
          </cell>
          <cell r="H17" t="str">
            <v>Chipping Barnet</v>
          </cell>
          <cell r="I17">
            <v>327</v>
          </cell>
          <cell r="J17"/>
          <cell r="K17">
            <v>327</v>
          </cell>
          <cell r="L17">
            <v>92</v>
          </cell>
          <cell r="M17">
            <v>0.28134556574923547</v>
          </cell>
          <cell r="N17">
            <v>121440</v>
          </cell>
          <cell r="O17"/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/>
          <cell r="U17">
            <v>92</v>
          </cell>
          <cell r="V17">
            <v>121440</v>
          </cell>
        </row>
        <row r="18">
          <cell r="E18">
            <v>2010</v>
          </cell>
          <cell r="F18" t="str">
            <v>Childs Hill School</v>
          </cell>
          <cell r="G18" t="str">
            <v>Community School</v>
          </cell>
          <cell r="H18" t="str">
            <v>Finchley and Golders Green</v>
          </cell>
          <cell r="I18">
            <v>313</v>
          </cell>
          <cell r="J18"/>
          <cell r="K18">
            <v>313</v>
          </cell>
          <cell r="L18">
            <v>141</v>
          </cell>
          <cell r="M18">
            <v>0.45047923322683708</v>
          </cell>
          <cell r="N18">
            <v>186120</v>
          </cell>
          <cell r="O18"/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/>
          <cell r="U18">
            <v>141</v>
          </cell>
          <cell r="V18">
            <v>186120</v>
          </cell>
        </row>
        <row r="19">
          <cell r="E19">
            <v>2011</v>
          </cell>
          <cell r="F19" t="str">
            <v>Church Hill School</v>
          </cell>
          <cell r="G19" t="str">
            <v>Community School</v>
          </cell>
          <cell r="H19" t="str">
            <v>Chipping Barnet</v>
          </cell>
          <cell r="I19">
            <v>232</v>
          </cell>
          <cell r="J19"/>
          <cell r="K19">
            <v>232</v>
          </cell>
          <cell r="L19">
            <v>34</v>
          </cell>
          <cell r="M19">
            <v>0.14655172413793102</v>
          </cell>
          <cell r="N19">
            <v>44880</v>
          </cell>
          <cell r="O19"/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/>
          <cell r="U19">
            <v>34</v>
          </cell>
          <cell r="V19">
            <v>44880</v>
          </cell>
        </row>
        <row r="20">
          <cell r="E20">
            <v>2014</v>
          </cell>
          <cell r="F20" t="str">
            <v>Colindale Primary School</v>
          </cell>
          <cell r="G20" t="str">
            <v>Community School</v>
          </cell>
          <cell r="H20" t="str">
            <v>Hendon</v>
          </cell>
          <cell r="I20">
            <v>637</v>
          </cell>
          <cell r="J20"/>
          <cell r="K20">
            <v>637</v>
          </cell>
          <cell r="L20">
            <v>178</v>
          </cell>
          <cell r="M20">
            <v>0.27943485086342229</v>
          </cell>
          <cell r="N20">
            <v>234960</v>
          </cell>
          <cell r="O20"/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/>
          <cell r="U20">
            <v>178</v>
          </cell>
          <cell r="V20">
            <v>234960</v>
          </cell>
        </row>
        <row r="21">
          <cell r="E21">
            <v>2015</v>
          </cell>
          <cell r="F21" t="str">
            <v>Coppetts Wood Primary School</v>
          </cell>
          <cell r="G21" t="str">
            <v>Community School</v>
          </cell>
          <cell r="H21" t="str">
            <v>Chipping Barnet</v>
          </cell>
          <cell r="I21">
            <v>242</v>
          </cell>
          <cell r="J21"/>
          <cell r="K21">
            <v>242</v>
          </cell>
          <cell r="L21">
            <v>96</v>
          </cell>
          <cell r="M21">
            <v>0.39669421487603307</v>
          </cell>
          <cell r="N21">
            <v>126720</v>
          </cell>
          <cell r="O21"/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/>
          <cell r="U21">
            <v>96</v>
          </cell>
          <cell r="V21">
            <v>126720</v>
          </cell>
        </row>
        <row r="22">
          <cell r="E22">
            <v>2016</v>
          </cell>
          <cell r="F22" t="str">
            <v>Courtland School</v>
          </cell>
          <cell r="G22" t="str">
            <v>Community School</v>
          </cell>
          <cell r="H22" t="str">
            <v>Hendon</v>
          </cell>
          <cell r="I22">
            <v>213</v>
          </cell>
          <cell r="J22"/>
          <cell r="K22">
            <v>213</v>
          </cell>
          <cell r="L22">
            <v>34</v>
          </cell>
          <cell r="M22">
            <v>0.15962441314553991</v>
          </cell>
          <cell r="N22">
            <v>44880</v>
          </cell>
          <cell r="O22"/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/>
          <cell r="U22">
            <v>34</v>
          </cell>
          <cell r="V22">
            <v>44880</v>
          </cell>
        </row>
        <row r="23">
          <cell r="E23">
            <v>2017</v>
          </cell>
          <cell r="F23" t="str">
            <v>Cromer Road Primary School</v>
          </cell>
          <cell r="G23" t="str">
            <v>Community School</v>
          </cell>
          <cell r="H23" t="str">
            <v>Chipping Barnet</v>
          </cell>
          <cell r="I23">
            <v>416</v>
          </cell>
          <cell r="J23"/>
          <cell r="K23">
            <v>416</v>
          </cell>
          <cell r="L23">
            <v>128</v>
          </cell>
          <cell r="M23">
            <v>0.30769230769230771</v>
          </cell>
          <cell r="N23">
            <v>168960</v>
          </cell>
          <cell r="O23"/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/>
          <cell r="U23">
            <v>128</v>
          </cell>
          <cell r="V23">
            <v>168960</v>
          </cell>
        </row>
        <row r="24">
          <cell r="E24">
            <v>2018</v>
          </cell>
          <cell r="F24" t="str">
            <v>Deansbrook Junior School</v>
          </cell>
          <cell r="G24" t="str">
            <v>Mainstream Academy</v>
          </cell>
          <cell r="H24" t="str">
            <v>Hendon</v>
          </cell>
          <cell r="I24">
            <v>387</v>
          </cell>
          <cell r="J24"/>
          <cell r="K24">
            <v>387</v>
          </cell>
          <cell r="L24">
            <v>208</v>
          </cell>
          <cell r="M24">
            <v>0.53746770025839796</v>
          </cell>
          <cell r="N24">
            <v>274560</v>
          </cell>
          <cell r="O24"/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/>
          <cell r="U24">
            <v>208</v>
          </cell>
          <cell r="V24">
            <v>274560</v>
          </cell>
        </row>
        <row r="25">
          <cell r="E25">
            <v>2019</v>
          </cell>
          <cell r="F25" t="str">
            <v>Deansbrook Infant School</v>
          </cell>
          <cell r="G25" t="str">
            <v>Community School</v>
          </cell>
          <cell r="H25" t="str">
            <v>Hendon</v>
          </cell>
          <cell r="I25">
            <v>299</v>
          </cell>
          <cell r="J25"/>
          <cell r="K25">
            <v>299</v>
          </cell>
          <cell r="L25">
            <v>99</v>
          </cell>
          <cell r="M25">
            <v>0.33110367892976589</v>
          </cell>
          <cell r="N25">
            <v>130680</v>
          </cell>
          <cell r="O25"/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/>
          <cell r="U25">
            <v>99</v>
          </cell>
          <cell r="V25">
            <v>130680</v>
          </cell>
        </row>
        <row r="26">
          <cell r="E26">
            <v>2020</v>
          </cell>
          <cell r="F26" t="str">
            <v>Alma Primary *</v>
          </cell>
          <cell r="G26" t="str">
            <v>Free School</v>
          </cell>
          <cell r="H26" t="str">
            <v>Finchley and Golders Green</v>
          </cell>
          <cell r="I26">
            <v>90</v>
          </cell>
          <cell r="J26"/>
          <cell r="K26">
            <v>90</v>
          </cell>
          <cell r="L26" t="str">
            <v>x</v>
          </cell>
          <cell r="M26" t="str">
            <v>x</v>
          </cell>
          <cell r="N26" t="str">
            <v>x</v>
          </cell>
          <cell r="O26"/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/>
          <cell r="U26" t="str">
            <v>x</v>
          </cell>
          <cell r="V26" t="str">
            <v>x</v>
          </cell>
        </row>
        <row r="27">
          <cell r="E27">
            <v>2021</v>
          </cell>
          <cell r="F27" t="str">
            <v>Dollis Infant School</v>
          </cell>
          <cell r="G27" t="str">
            <v>Community School</v>
          </cell>
          <cell r="H27" t="str">
            <v>Hendon</v>
          </cell>
          <cell r="I27">
            <v>258</v>
          </cell>
          <cell r="J27"/>
          <cell r="K27">
            <v>258</v>
          </cell>
          <cell r="L27">
            <v>86</v>
          </cell>
          <cell r="M27">
            <v>0.33333333333333331</v>
          </cell>
          <cell r="N27">
            <v>113520</v>
          </cell>
          <cell r="O27"/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/>
          <cell r="U27">
            <v>86</v>
          </cell>
          <cell r="V27">
            <v>113520</v>
          </cell>
        </row>
        <row r="28">
          <cell r="E28">
            <v>2023</v>
          </cell>
          <cell r="F28" t="str">
            <v>Edgware Primary School</v>
          </cell>
          <cell r="G28" t="str">
            <v>Community School</v>
          </cell>
          <cell r="H28" t="str">
            <v>Hendon</v>
          </cell>
          <cell r="I28">
            <v>588.5</v>
          </cell>
          <cell r="J28"/>
          <cell r="K28">
            <v>588.5</v>
          </cell>
          <cell r="L28">
            <v>199.5</v>
          </cell>
          <cell r="M28">
            <v>0.33899745114698387</v>
          </cell>
          <cell r="N28">
            <v>263340</v>
          </cell>
          <cell r="O28"/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/>
          <cell r="U28">
            <v>199.5</v>
          </cell>
          <cell r="V28">
            <v>263340</v>
          </cell>
        </row>
        <row r="29">
          <cell r="E29">
            <v>2024</v>
          </cell>
          <cell r="F29" t="str">
            <v>Fairway Primary School and Children's Centre</v>
          </cell>
          <cell r="G29" t="str">
            <v>Community School</v>
          </cell>
          <cell r="H29" t="str">
            <v>Hendon</v>
          </cell>
          <cell r="I29">
            <v>237</v>
          </cell>
          <cell r="J29"/>
          <cell r="K29">
            <v>237</v>
          </cell>
          <cell r="L29">
            <v>82</v>
          </cell>
          <cell r="M29">
            <v>0.34599156118143459</v>
          </cell>
          <cell r="N29">
            <v>108240</v>
          </cell>
          <cell r="O29"/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/>
          <cell r="U29">
            <v>82</v>
          </cell>
          <cell r="V29">
            <v>108240</v>
          </cell>
        </row>
        <row r="30">
          <cell r="E30">
            <v>2025</v>
          </cell>
          <cell r="F30" t="str">
            <v>Foulds School</v>
          </cell>
          <cell r="G30" t="str">
            <v>Community School</v>
          </cell>
          <cell r="H30" t="str">
            <v>Chipping Barnet</v>
          </cell>
          <cell r="I30">
            <v>315</v>
          </cell>
          <cell r="J30"/>
          <cell r="K30">
            <v>315</v>
          </cell>
          <cell r="L30">
            <v>16</v>
          </cell>
          <cell r="M30">
            <v>5.0793650793650794E-2</v>
          </cell>
          <cell r="N30">
            <v>21120</v>
          </cell>
          <cell r="O30"/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/>
          <cell r="U30">
            <v>16</v>
          </cell>
          <cell r="V30">
            <v>21120</v>
          </cell>
        </row>
        <row r="31">
          <cell r="E31">
            <v>2026</v>
          </cell>
          <cell r="F31" t="str">
            <v>Frith Manor Primary School</v>
          </cell>
          <cell r="G31" t="str">
            <v>Community School</v>
          </cell>
          <cell r="H31" t="str">
            <v>Hendon</v>
          </cell>
          <cell r="I31">
            <v>619</v>
          </cell>
          <cell r="J31"/>
          <cell r="K31">
            <v>619</v>
          </cell>
          <cell r="L31">
            <v>115</v>
          </cell>
          <cell r="M31">
            <v>0.18578352180936994</v>
          </cell>
          <cell r="N31">
            <v>151800</v>
          </cell>
          <cell r="O31"/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/>
          <cell r="U31">
            <v>115</v>
          </cell>
          <cell r="V31">
            <v>151800</v>
          </cell>
        </row>
        <row r="32">
          <cell r="E32">
            <v>2027</v>
          </cell>
          <cell r="F32" t="str">
            <v>Garden Suburb Junior School</v>
          </cell>
          <cell r="G32" t="str">
            <v>Community School</v>
          </cell>
          <cell r="H32" t="str">
            <v>Finchley and Golders Green</v>
          </cell>
          <cell r="I32">
            <v>354</v>
          </cell>
          <cell r="J32"/>
          <cell r="K32">
            <v>354</v>
          </cell>
          <cell r="L32">
            <v>74</v>
          </cell>
          <cell r="M32">
            <v>0.20903954802259886</v>
          </cell>
          <cell r="N32">
            <v>97680</v>
          </cell>
          <cell r="O32"/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/>
          <cell r="U32">
            <v>74</v>
          </cell>
          <cell r="V32">
            <v>97680</v>
          </cell>
        </row>
        <row r="33">
          <cell r="E33">
            <v>2028</v>
          </cell>
          <cell r="F33" t="str">
            <v>Garden Suburb Infant School</v>
          </cell>
          <cell r="G33" t="str">
            <v>Community School</v>
          </cell>
          <cell r="H33" t="str">
            <v>Finchley and Golders Green</v>
          </cell>
          <cell r="I33">
            <v>260</v>
          </cell>
          <cell r="J33"/>
          <cell r="K33">
            <v>260</v>
          </cell>
          <cell r="L33">
            <v>34</v>
          </cell>
          <cell r="M33">
            <v>0.13076923076923078</v>
          </cell>
          <cell r="N33">
            <v>44880</v>
          </cell>
          <cell r="O33"/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/>
          <cell r="U33">
            <v>34</v>
          </cell>
          <cell r="V33">
            <v>44880</v>
          </cell>
        </row>
        <row r="34">
          <cell r="E34">
            <v>2029</v>
          </cell>
          <cell r="F34" t="str">
            <v>Goldbeaters Primary School</v>
          </cell>
          <cell r="G34" t="str">
            <v>Community School</v>
          </cell>
          <cell r="H34" t="str">
            <v>Hendon</v>
          </cell>
          <cell r="I34">
            <v>413</v>
          </cell>
          <cell r="J34"/>
          <cell r="K34">
            <v>413</v>
          </cell>
          <cell r="L34">
            <v>216</v>
          </cell>
          <cell r="M34">
            <v>0.52300242130750607</v>
          </cell>
          <cell r="N34">
            <v>285120</v>
          </cell>
          <cell r="O34"/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/>
          <cell r="U34">
            <v>216</v>
          </cell>
          <cell r="V34">
            <v>285120</v>
          </cell>
        </row>
        <row r="35">
          <cell r="E35">
            <v>2030</v>
          </cell>
          <cell r="F35" t="str">
            <v>Grasvenor Avenue Infant School</v>
          </cell>
          <cell r="G35" t="str">
            <v>Mainstream Academy</v>
          </cell>
          <cell r="H35" t="str">
            <v>Chipping Barnet</v>
          </cell>
          <cell r="I35">
            <v>112</v>
          </cell>
          <cell r="J35"/>
          <cell r="K35">
            <v>112</v>
          </cell>
          <cell r="L35">
            <v>20</v>
          </cell>
          <cell r="M35">
            <v>0.17857142857142858</v>
          </cell>
          <cell r="N35">
            <v>26400</v>
          </cell>
          <cell r="O35"/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/>
          <cell r="U35">
            <v>20</v>
          </cell>
          <cell r="V35">
            <v>26400</v>
          </cell>
        </row>
        <row r="36">
          <cell r="E36">
            <v>2031</v>
          </cell>
          <cell r="F36" t="str">
            <v>Hollickwood Primary School</v>
          </cell>
          <cell r="G36" t="str">
            <v>Foundation School</v>
          </cell>
          <cell r="H36" t="str">
            <v>Chipping Barnet</v>
          </cell>
          <cell r="I36">
            <v>205</v>
          </cell>
          <cell r="J36"/>
          <cell r="K36">
            <v>205</v>
          </cell>
          <cell r="L36">
            <v>80</v>
          </cell>
          <cell r="M36">
            <v>0.3902439024390244</v>
          </cell>
          <cell r="N36">
            <v>105600</v>
          </cell>
          <cell r="O36"/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/>
          <cell r="U36">
            <v>80</v>
          </cell>
          <cell r="V36">
            <v>105600</v>
          </cell>
        </row>
        <row r="37">
          <cell r="E37">
            <v>2032</v>
          </cell>
          <cell r="F37" t="str">
            <v>Holly Park Primary School</v>
          </cell>
          <cell r="G37" t="str">
            <v>Community School</v>
          </cell>
          <cell r="H37" t="str">
            <v>Chipping Barnet</v>
          </cell>
          <cell r="I37">
            <v>474</v>
          </cell>
          <cell r="J37"/>
          <cell r="K37">
            <v>474</v>
          </cell>
          <cell r="L37">
            <v>117</v>
          </cell>
          <cell r="M37">
            <v>0.24683544303797469</v>
          </cell>
          <cell r="N37">
            <v>154440</v>
          </cell>
          <cell r="O37"/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/>
          <cell r="U37">
            <v>117</v>
          </cell>
          <cell r="V37">
            <v>154440</v>
          </cell>
        </row>
        <row r="38">
          <cell r="E38">
            <v>2036</v>
          </cell>
          <cell r="F38" t="str">
            <v>Livingstone Primary and Nursery School</v>
          </cell>
          <cell r="G38" t="str">
            <v>Community School</v>
          </cell>
          <cell r="H38" t="str">
            <v>Chipping Barnet</v>
          </cell>
          <cell r="I38">
            <v>257</v>
          </cell>
          <cell r="J38"/>
          <cell r="K38">
            <v>257</v>
          </cell>
          <cell r="L38">
            <v>109</v>
          </cell>
          <cell r="M38">
            <v>0.42412451361867703</v>
          </cell>
          <cell r="N38">
            <v>143880</v>
          </cell>
          <cell r="O38"/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/>
          <cell r="U38">
            <v>109</v>
          </cell>
          <cell r="V38">
            <v>143880</v>
          </cell>
        </row>
        <row r="39">
          <cell r="E39">
            <v>2037</v>
          </cell>
          <cell r="F39" t="str">
            <v>Manorside Primary School</v>
          </cell>
          <cell r="G39" t="str">
            <v>Community School</v>
          </cell>
          <cell r="H39" t="str">
            <v>Finchley and Golders Green</v>
          </cell>
          <cell r="I39">
            <v>272</v>
          </cell>
          <cell r="J39"/>
          <cell r="K39">
            <v>272</v>
          </cell>
          <cell r="L39">
            <v>66</v>
          </cell>
          <cell r="M39">
            <v>0.24264705882352941</v>
          </cell>
          <cell r="N39">
            <v>87120</v>
          </cell>
          <cell r="O39"/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/>
          <cell r="U39">
            <v>66</v>
          </cell>
          <cell r="V39">
            <v>87120</v>
          </cell>
        </row>
        <row r="40">
          <cell r="E40">
            <v>2038</v>
          </cell>
          <cell r="F40" t="str">
            <v>Parkfield Primary School</v>
          </cell>
          <cell r="G40" t="str">
            <v>Mainstream Academy</v>
          </cell>
          <cell r="H40" t="str">
            <v>Hendon</v>
          </cell>
          <cell r="I40">
            <v>396</v>
          </cell>
          <cell r="J40"/>
          <cell r="K40">
            <v>396</v>
          </cell>
          <cell r="L40">
            <v>94</v>
          </cell>
          <cell r="M40">
            <v>0.23737373737373738</v>
          </cell>
          <cell r="N40">
            <v>124080</v>
          </cell>
          <cell r="O40"/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/>
          <cell r="U40">
            <v>94</v>
          </cell>
          <cell r="V40">
            <v>124080</v>
          </cell>
        </row>
        <row r="41">
          <cell r="E41">
            <v>2041</v>
          </cell>
          <cell r="F41" t="str">
            <v>Sacks Morasha Jewish Primary School</v>
          </cell>
          <cell r="G41" t="str">
            <v>Voluntary Aided School</v>
          </cell>
          <cell r="H41" t="str">
            <v>Finchley and Golders Green</v>
          </cell>
          <cell r="I41">
            <v>175</v>
          </cell>
          <cell r="J41"/>
          <cell r="K41">
            <v>175</v>
          </cell>
          <cell r="L41" t="str">
            <v>x</v>
          </cell>
          <cell r="M41" t="str">
            <v>x</v>
          </cell>
          <cell r="N41" t="str">
            <v>x</v>
          </cell>
          <cell r="O41"/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/>
          <cell r="U41" t="str">
            <v>x</v>
          </cell>
          <cell r="V41" t="str">
            <v>x</v>
          </cell>
        </row>
        <row r="42">
          <cell r="E42">
            <v>2042</v>
          </cell>
          <cell r="F42" t="str">
            <v>Monkfrith Primary School</v>
          </cell>
          <cell r="G42" t="str">
            <v>Community School</v>
          </cell>
          <cell r="H42" t="str">
            <v>Chipping Barnet</v>
          </cell>
          <cell r="I42">
            <v>273</v>
          </cell>
          <cell r="J42"/>
          <cell r="K42">
            <v>273</v>
          </cell>
          <cell r="L42">
            <v>36</v>
          </cell>
          <cell r="M42">
            <v>0.13186813186813187</v>
          </cell>
          <cell r="N42">
            <v>47520</v>
          </cell>
          <cell r="O42"/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/>
          <cell r="U42">
            <v>36</v>
          </cell>
          <cell r="V42">
            <v>47520</v>
          </cell>
        </row>
        <row r="43">
          <cell r="E43">
            <v>2043</v>
          </cell>
          <cell r="F43" t="str">
            <v>Moss Hall Junior School</v>
          </cell>
          <cell r="G43" t="str">
            <v>Community School</v>
          </cell>
          <cell r="H43" t="str">
            <v>Finchley and Golders Green</v>
          </cell>
          <cell r="I43">
            <v>385</v>
          </cell>
          <cell r="J43"/>
          <cell r="K43">
            <v>385</v>
          </cell>
          <cell r="L43">
            <v>81</v>
          </cell>
          <cell r="M43">
            <v>0.21038961038961038</v>
          </cell>
          <cell r="N43">
            <v>106920</v>
          </cell>
          <cell r="O43"/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/>
          <cell r="U43">
            <v>81</v>
          </cell>
          <cell r="V43">
            <v>106920</v>
          </cell>
        </row>
        <row r="44">
          <cell r="E44">
            <v>2044</v>
          </cell>
          <cell r="F44" t="str">
            <v>Moss Hall Infant School</v>
          </cell>
          <cell r="G44" t="str">
            <v>Community School</v>
          </cell>
          <cell r="H44" t="str">
            <v>Finchley and Golders Green</v>
          </cell>
          <cell r="I44">
            <v>361</v>
          </cell>
          <cell r="J44"/>
          <cell r="K44">
            <v>361</v>
          </cell>
          <cell r="L44">
            <v>76</v>
          </cell>
          <cell r="M44">
            <v>0.21052631578947367</v>
          </cell>
          <cell r="N44">
            <v>100320</v>
          </cell>
          <cell r="O44"/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/>
          <cell r="U44">
            <v>76</v>
          </cell>
          <cell r="V44">
            <v>100320</v>
          </cell>
        </row>
        <row r="45">
          <cell r="E45">
            <v>2045</v>
          </cell>
          <cell r="F45" t="str">
            <v>Northside Primary School</v>
          </cell>
          <cell r="G45" t="str">
            <v>Community School</v>
          </cell>
          <cell r="H45" t="str">
            <v>Finchley and Golders Green</v>
          </cell>
          <cell r="I45">
            <v>238</v>
          </cell>
          <cell r="J45"/>
          <cell r="K45">
            <v>238</v>
          </cell>
          <cell r="L45">
            <v>54</v>
          </cell>
          <cell r="M45">
            <v>0.22689075630252101</v>
          </cell>
          <cell r="N45">
            <v>71280</v>
          </cell>
          <cell r="O45"/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/>
          <cell r="U45">
            <v>54</v>
          </cell>
          <cell r="V45">
            <v>71280</v>
          </cell>
        </row>
        <row r="46">
          <cell r="E46">
            <v>2047</v>
          </cell>
          <cell r="F46" t="str">
            <v>The Hyde School</v>
          </cell>
          <cell r="G46" t="str">
            <v>Mainstream Academy</v>
          </cell>
          <cell r="H46" t="str">
            <v>Hendon</v>
          </cell>
          <cell r="I46">
            <v>412</v>
          </cell>
          <cell r="J46"/>
          <cell r="K46">
            <v>412</v>
          </cell>
          <cell r="L46">
            <v>140</v>
          </cell>
          <cell r="M46">
            <v>0.33980582524271846</v>
          </cell>
          <cell r="N46">
            <v>184800</v>
          </cell>
          <cell r="O46"/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/>
          <cell r="U46">
            <v>140</v>
          </cell>
          <cell r="V46">
            <v>184800</v>
          </cell>
        </row>
        <row r="47">
          <cell r="E47">
            <v>2048</v>
          </cell>
          <cell r="F47" t="str">
            <v>Millbrook Park Primary School *</v>
          </cell>
          <cell r="G47" t="str">
            <v>Mainstream Academy</v>
          </cell>
          <cell r="H47" t="str">
            <v>Hendon</v>
          </cell>
          <cell r="I47">
            <v>94</v>
          </cell>
          <cell r="J47"/>
          <cell r="K47">
            <v>94</v>
          </cell>
          <cell r="L47">
            <v>15.25</v>
          </cell>
          <cell r="M47">
            <v>0.16223404255319149</v>
          </cell>
          <cell r="N47">
            <v>20130</v>
          </cell>
          <cell r="O47"/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/>
          <cell r="U47">
            <v>15.25</v>
          </cell>
          <cell r="V47">
            <v>20130</v>
          </cell>
        </row>
        <row r="48">
          <cell r="E48">
            <v>2052</v>
          </cell>
          <cell r="F48" t="str">
            <v>Summerside Primary School</v>
          </cell>
          <cell r="G48" t="str">
            <v>Community School</v>
          </cell>
          <cell r="H48" t="str">
            <v>Finchley and Golders Green</v>
          </cell>
          <cell r="I48">
            <v>457</v>
          </cell>
          <cell r="J48"/>
          <cell r="K48">
            <v>457</v>
          </cell>
          <cell r="L48">
            <v>174</v>
          </cell>
          <cell r="M48">
            <v>0.38074398249452956</v>
          </cell>
          <cell r="N48">
            <v>229680</v>
          </cell>
          <cell r="O48"/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/>
          <cell r="U48">
            <v>174</v>
          </cell>
          <cell r="V48">
            <v>229680</v>
          </cell>
        </row>
        <row r="49">
          <cell r="E49">
            <v>2054</v>
          </cell>
          <cell r="F49" t="str">
            <v>Woodridge Primary School</v>
          </cell>
          <cell r="G49" t="str">
            <v>Community School</v>
          </cell>
          <cell r="H49" t="str">
            <v>Chipping Barnet</v>
          </cell>
          <cell r="I49">
            <v>240</v>
          </cell>
          <cell r="J49"/>
          <cell r="K49">
            <v>240</v>
          </cell>
          <cell r="L49">
            <v>23</v>
          </cell>
          <cell r="M49">
            <v>9.583333333333334E-2</v>
          </cell>
          <cell r="N49">
            <v>30360</v>
          </cell>
          <cell r="O49"/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/>
          <cell r="U49">
            <v>23</v>
          </cell>
          <cell r="V49">
            <v>30360</v>
          </cell>
        </row>
        <row r="50">
          <cell r="E50">
            <v>2055</v>
          </cell>
          <cell r="F50" t="str">
            <v>Tudor Primary School</v>
          </cell>
          <cell r="G50" t="str">
            <v>Community School</v>
          </cell>
          <cell r="H50" t="str">
            <v>Finchley and Golders Green</v>
          </cell>
          <cell r="I50">
            <v>213</v>
          </cell>
          <cell r="J50"/>
          <cell r="K50">
            <v>213</v>
          </cell>
          <cell r="L50">
            <v>73</v>
          </cell>
          <cell r="M50">
            <v>0.34272300469483569</v>
          </cell>
          <cell r="N50">
            <v>96360</v>
          </cell>
          <cell r="O50"/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/>
          <cell r="U50">
            <v>73</v>
          </cell>
          <cell r="V50">
            <v>96360</v>
          </cell>
        </row>
        <row r="51">
          <cell r="E51">
            <v>2057</v>
          </cell>
          <cell r="F51" t="str">
            <v>Underhill School</v>
          </cell>
          <cell r="G51" t="str">
            <v>Community School</v>
          </cell>
          <cell r="H51" t="str">
            <v>Chipping Barnet</v>
          </cell>
          <cell r="I51">
            <v>466</v>
          </cell>
          <cell r="J51"/>
          <cell r="K51">
            <v>466</v>
          </cell>
          <cell r="L51">
            <v>214</v>
          </cell>
          <cell r="M51">
            <v>0.45922746781115881</v>
          </cell>
          <cell r="N51">
            <v>282480</v>
          </cell>
          <cell r="O51"/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/>
          <cell r="U51">
            <v>214</v>
          </cell>
          <cell r="V51">
            <v>282480</v>
          </cell>
        </row>
        <row r="52">
          <cell r="E52">
            <v>2060</v>
          </cell>
          <cell r="F52" t="str">
            <v>Whitings Hill Primary School</v>
          </cell>
          <cell r="G52" t="str">
            <v>Community School</v>
          </cell>
          <cell r="H52" t="str">
            <v>Chipping Barnet</v>
          </cell>
          <cell r="I52">
            <v>417</v>
          </cell>
          <cell r="J52"/>
          <cell r="K52">
            <v>417</v>
          </cell>
          <cell r="L52">
            <v>171</v>
          </cell>
          <cell r="M52">
            <v>0.41007194244604317</v>
          </cell>
          <cell r="N52">
            <v>225720</v>
          </cell>
          <cell r="O52"/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/>
          <cell r="U52">
            <v>171</v>
          </cell>
          <cell r="V52">
            <v>225720</v>
          </cell>
        </row>
        <row r="53">
          <cell r="E53">
            <v>2067</v>
          </cell>
          <cell r="F53" t="str">
            <v>Chalgrove Primary School</v>
          </cell>
          <cell r="G53" t="str">
            <v>Community School</v>
          </cell>
          <cell r="H53" t="str">
            <v>Finchley and Golders Green</v>
          </cell>
          <cell r="I53">
            <v>218</v>
          </cell>
          <cell r="J53"/>
          <cell r="K53">
            <v>218</v>
          </cell>
          <cell r="L53">
            <v>57</v>
          </cell>
          <cell r="M53">
            <v>0.26146788990825687</v>
          </cell>
          <cell r="N53">
            <v>75240</v>
          </cell>
          <cell r="O53"/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/>
          <cell r="U53">
            <v>57</v>
          </cell>
          <cell r="V53">
            <v>75240</v>
          </cell>
        </row>
        <row r="54">
          <cell r="E54">
            <v>2070</v>
          </cell>
          <cell r="F54" t="str">
            <v>Sunnyfields Primary School</v>
          </cell>
          <cell r="G54" t="str">
            <v>Community School</v>
          </cell>
          <cell r="H54" t="str">
            <v>Hendon</v>
          </cell>
          <cell r="I54">
            <v>210</v>
          </cell>
          <cell r="J54"/>
          <cell r="K54">
            <v>210</v>
          </cell>
          <cell r="L54">
            <v>95</v>
          </cell>
          <cell r="M54">
            <v>0.45238095238095238</v>
          </cell>
          <cell r="N54">
            <v>125400</v>
          </cell>
          <cell r="O54"/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/>
          <cell r="U54">
            <v>95</v>
          </cell>
          <cell r="V54">
            <v>125400</v>
          </cell>
        </row>
        <row r="55">
          <cell r="E55">
            <v>2071</v>
          </cell>
          <cell r="F55" t="str">
            <v>Queenswell Infant &amp; Nursery School</v>
          </cell>
          <cell r="G55" t="str">
            <v>Community School</v>
          </cell>
          <cell r="H55" t="str">
            <v>Chipping Barnet</v>
          </cell>
          <cell r="I55">
            <v>285</v>
          </cell>
          <cell r="J55"/>
          <cell r="K55">
            <v>285</v>
          </cell>
          <cell r="L55">
            <v>76</v>
          </cell>
          <cell r="M55">
            <v>0.26666666666666666</v>
          </cell>
          <cell r="N55">
            <v>100320</v>
          </cell>
          <cell r="O55"/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/>
          <cell r="U55">
            <v>76</v>
          </cell>
          <cell r="V55">
            <v>100320</v>
          </cell>
        </row>
        <row r="56">
          <cell r="E56">
            <v>2072</v>
          </cell>
          <cell r="F56" t="str">
            <v>Queenswell Junior School</v>
          </cell>
          <cell r="G56" t="str">
            <v>Community School</v>
          </cell>
          <cell r="H56" t="str">
            <v>Chipping Barnet</v>
          </cell>
          <cell r="I56">
            <v>332</v>
          </cell>
          <cell r="J56"/>
          <cell r="K56">
            <v>332</v>
          </cell>
          <cell r="L56">
            <v>154</v>
          </cell>
          <cell r="M56">
            <v>0.46385542168674698</v>
          </cell>
          <cell r="N56">
            <v>203280</v>
          </cell>
          <cell r="O56"/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/>
          <cell r="U56">
            <v>154</v>
          </cell>
          <cell r="V56">
            <v>203280</v>
          </cell>
        </row>
        <row r="57">
          <cell r="E57">
            <v>2073</v>
          </cell>
          <cell r="F57" t="str">
            <v>Danegrove Primary School</v>
          </cell>
          <cell r="G57" t="str">
            <v>Community School</v>
          </cell>
          <cell r="H57" t="str">
            <v>Chipping Barnet</v>
          </cell>
          <cell r="I57">
            <v>651</v>
          </cell>
          <cell r="J57"/>
          <cell r="K57">
            <v>651</v>
          </cell>
          <cell r="L57">
            <v>174</v>
          </cell>
          <cell r="M57">
            <v>0.26728110599078342</v>
          </cell>
          <cell r="N57">
            <v>229680</v>
          </cell>
          <cell r="O57"/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/>
          <cell r="U57">
            <v>174</v>
          </cell>
          <cell r="V57">
            <v>229680</v>
          </cell>
        </row>
        <row r="58">
          <cell r="E58">
            <v>2076</v>
          </cell>
          <cell r="F58" t="str">
            <v>Wessex Gardens Primary School</v>
          </cell>
          <cell r="G58" t="str">
            <v>Community School</v>
          </cell>
          <cell r="H58" t="str">
            <v>Finchley and Golders Green</v>
          </cell>
          <cell r="I58">
            <v>444</v>
          </cell>
          <cell r="J58"/>
          <cell r="K58">
            <v>444</v>
          </cell>
          <cell r="L58">
            <v>170</v>
          </cell>
          <cell r="M58">
            <v>0.38288288288288286</v>
          </cell>
          <cell r="N58">
            <v>224400</v>
          </cell>
          <cell r="O58"/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/>
          <cell r="U58">
            <v>170</v>
          </cell>
          <cell r="V58">
            <v>224400</v>
          </cell>
        </row>
        <row r="59">
          <cell r="E59">
            <v>2077</v>
          </cell>
          <cell r="F59" t="str">
            <v>The Orion Primary School</v>
          </cell>
          <cell r="G59" t="str">
            <v>Community School</v>
          </cell>
          <cell r="H59" t="str">
            <v>Hendon</v>
          </cell>
          <cell r="I59">
            <v>661</v>
          </cell>
          <cell r="J59"/>
          <cell r="K59">
            <v>661</v>
          </cell>
          <cell r="L59">
            <v>370</v>
          </cell>
          <cell r="M59">
            <v>0.55975794251134647</v>
          </cell>
          <cell r="N59">
            <v>488400</v>
          </cell>
          <cell r="O59"/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/>
          <cell r="U59">
            <v>370</v>
          </cell>
          <cell r="V59">
            <v>488400</v>
          </cell>
        </row>
        <row r="60">
          <cell r="E60">
            <v>2078</v>
          </cell>
          <cell r="F60" t="str">
            <v>Pardes House Primary School</v>
          </cell>
          <cell r="G60" t="str">
            <v>Voluntary Aided School</v>
          </cell>
          <cell r="H60" t="str">
            <v>Finchley and Golders Green</v>
          </cell>
          <cell r="I60">
            <v>236</v>
          </cell>
          <cell r="J60"/>
          <cell r="K60">
            <v>236</v>
          </cell>
          <cell r="L60">
            <v>24</v>
          </cell>
          <cell r="M60">
            <v>0.10169491525423729</v>
          </cell>
          <cell r="N60">
            <v>31680</v>
          </cell>
          <cell r="O60"/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/>
          <cell r="U60">
            <v>24</v>
          </cell>
          <cell r="V60">
            <v>31680</v>
          </cell>
        </row>
        <row r="61">
          <cell r="E61">
            <v>2079</v>
          </cell>
          <cell r="F61" t="str">
            <v>Beis Yaakov Primary School</v>
          </cell>
          <cell r="G61" t="str">
            <v>Voluntary Aided School</v>
          </cell>
          <cell r="H61" t="str">
            <v>Brent North</v>
          </cell>
          <cell r="I61">
            <v>453</v>
          </cell>
          <cell r="J61"/>
          <cell r="K61">
            <v>453</v>
          </cell>
          <cell r="L61">
            <v>24</v>
          </cell>
          <cell r="M61">
            <v>5.2980132450331126E-2</v>
          </cell>
          <cell r="N61">
            <v>31680</v>
          </cell>
          <cell r="O61"/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/>
          <cell r="U61">
            <v>24</v>
          </cell>
          <cell r="V61">
            <v>31680</v>
          </cell>
        </row>
        <row r="62">
          <cell r="E62">
            <v>3300</v>
          </cell>
          <cell r="F62" t="str">
            <v>All Saints' CofE Primary School NW2</v>
          </cell>
          <cell r="G62" t="str">
            <v>Voluntary Aided School</v>
          </cell>
          <cell r="H62" t="str">
            <v>Finchley and Golders Green</v>
          </cell>
          <cell r="I62">
            <v>209</v>
          </cell>
          <cell r="J62"/>
          <cell r="K62">
            <v>209</v>
          </cell>
          <cell r="L62">
            <v>89</v>
          </cell>
          <cell r="M62">
            <v>0.42583732057416268</v>
          </cell>
          <cell r="N62">
            <v>117480</v>
          </cell>
          <cell r="O62"/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/>
          <cell r="U62">
            <v>89</v>
          </cell>
          <cell r="V62">
            <v>117480</v>
          </cell>
        </row>
        <row r="63">
          <cell r="E63">
            <v>3302</v>
          </cell>
          <cell r="F63" t="str">
            <v>Christ Church Primary School</v>
          </cell>
          <cell r="G63" t="str">
            <v>Voluntary Aided School</v>
          </cell>
          <cell r="H63" t="str">
            <v>Chipping Barnet</v>
          </cell>
          <cell r="I63">
            <v>196</v>
          </cell>
          <cell r="J63"/>
          <cell r="K63">
            <v>196</v>
          </cell>
          <cell r="L63">
            <v>13</v>
          </cell>
          <cell r="M63">
            <v>6.6326530612244902E-2</v>
          </cell>
          <cell r="N63">
            <v>17160</v>
          </cell>
          <cell r="O63"/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/>
          <cell r="U63">
            <v>13</v>
          </cell>
          <cell r="V63">
            <v>17160</v>
          </cell>
        </row>
        <row r="64">
          <cell r="E64">
            <v>3304</v>
          </cell>
          <cell r="F64" t="str">
            <v>Holy Trinity CofE Primary School</v>
          </cell>
          <cell r="G64" t="str">
            <v>Voluntary Aided School</v>
          </cell>
          <cell r="H64" t="str">
            <v>Finchley and Golders Green</v>
          </cell>
          <cell r="I64">
            <v>229</v>
          </cell>
          <cell r="J64"/>
          <cell r="K64">
            <v>229</v>
          </cell>
          <cell r="L64">
            <v>57</v>
          </cell>
          <cell r="M64">
            <v>0.24890829694323144</v>
          </cell>
          <cell r="N64">
            <v>75240</v>
          </cell>
          <cell r="O64"/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/>
          <cell r="U64">
            <v>57</v>
          </cell>
          <cell r="V64">
            <v>75240</v>
          </cell>
        </row>
        <row r="65">
          <cell r="E65">
            <v>3305</v>
          </cell>
          <cell r="F65" t="str">
            <v>Monken Hadley CofE Primary School</v>
          </cell>
          <cell r="G65" t="str">
            <v>Voluntary Aided School</v>
          </cell>
          <cell r="H65" t="str">
            <v>Chipping Barnet</v>
          </cell>
          <cell r="I65">
            <v>147</v>
          </cell>
          <cell r="J65"/>
          <cell r="K65">
            <v>147</v>
          </cell>
          <cell r="L65">
            <v>9</v>
          </cell>
          <cell r="M65">
            <v>6.1224489795918366E-2</v>
          </cell>
          <cell r="N65">
            <v>11880</v>
          </cell>
          <cell r="O65"/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/>
          <cell r="U65">
            <v>9</v>
          </cell>
          <cell r="V65">
            <v>11880</v>
          </cell>
        </row>
        <row r="66">
          <cell r="E66">
            <v>3307</v>
          </cell>
          <cell r="F66" t="str">
            <v>St John's CofE Junior Mixed and Infant School</v>
          </cell>
          <cell r="G66" t="str">
            <v>Voluntary Aided School</v>
          </cell>
          <cell r="H66" t="str">
            <v>Chipping Barnet</v>
          </cell>
          <cell r="I66">
            <v>210</v>
          </cell>
          <cell r="J66"/>
          <cell r="K66">
            <v>210</v>
          </cell>
          <cell r="L66">
            <v>32</v>
          </cell>
          <cell r="M66">
            <v>0.15238095238095239</v>
          </cell>
          <cell r="N66">
            <v>42240</v>
          </cell>
          <cell r="O66"/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/>
          <cell r="U66">
            <v>32</v>
          </cell>
          <cell r="V66">
            <v>42240</v>
          </cell>
        </row>
        <row r="67">
          <cell r="E67">
            <v>3309</v>
          </cell>
          <cell r="F67" t="str">
            <v>St John's CofE Primary School</v>
          </cell>
          <cell r="G67" t="str">
            <v>Voluntary Aided School</v>
          </cell>
          <cell r="H67" t="str">
            <v>Chipping Barnet</v>
          </cell>
          <cell r="I67">
            <v>212</v>
          </cell>
          <cell r="J67"/>
          <cell r="K67">
            <v>212</v>
          </cell>
          <cell r="L67">
            <v>31</v>
          </cell>
          <cell r="M67">
            <v>0.14622641509433962</v>
          </cell>
          <cell r="N67">
            <v>40920</v>
          </cell>
          <cell r="O67"/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/>
          <cell r="U67">
            <v>31</v>
          </cell>
          <cell r="V67">
            <v>40920</v>
          </cell>
        </row>
        <row r="68">
          <cell r="E68">
            <v>3311</v>
          </cell>
          <cell r="F68" t="str">
            <v>St Mary's CofE Primary School</v>
          </cell>
          <cell r="G68" t="str">
            <v>Voluntary Aided School</v>
          </cell>
          <cell r="H68" t="str">
            <v>Finchley and Golders Green</v>
          </cell>
          <cell r="I68">
            <v>414</v>
          </cell>
          <cell r="J68"/>
          <cell r="K68">
            <v>414</v>
          </cell>
          <cell r="L68">
            <v>21</v>
          </cell>
          <cell r="M68">
            <v>5.0724637681159424E-2</v>
          </cell>
          <cell r="N68">
            <v>27720</v>
          </cell>
          <cell r="O68"/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/>
          <cell r="U68">
            <v>21</v>
          </cell>
          <cell r="V68">
            <v>27720</v>
          </cell>
        </row>
        <row r="69">
          <cell r="E69">
            <v>3312</v>
          </cell>
          <cell r="F69" t="str">
            <v>St Mary's CofE Primary School, East Barnet</v>
          </cell>
          <cell r="G69" t="str">
            <v>Voluntary Aided School</v>
          </cell>
          <cell r="H69" t="str">
            <v>Chipping Barnet</v>
          </cell>
          <cell r="I69">
            <v>216</v>
          </cell>
          <cell r="J69"/>
          <cell r="K69">
            <v>216</v>
          </cell>
          <cell r="L69">
            <v>22</v>
          </cell>
          <cell r="M69">
            <v>0.10185185185185185</v>
          </cell>
          <cell r="N69">
            <v>29040</v>
          </cell>
          <cell r="O69"/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/>
          <cell r="U69">
            <v>22</v>
          </cell>
          <cell r="V69">
            <v>29040</v>
          </cell>
        </row>
        <row r="70">
          <cell r="E70">
            <v>3313</v>
          </cell>
          <cell r="F70" t="str">
            <v>St Paul's CofE Primary School N11</v>
          </cell>
          <cell r="G70" t="str">
            <v>Voluntary Aided School</v>
          </cell>
          <cell r="H70" t="str">
            <v>Chipping Barnet</v>
          </cell>
          <cell r="I70">
            <v>204</v>
          </cell>
          <cell r="J70"/>
          <cell r="K70">
            <v>204</v>
          </cell>
          <cell r="L70">
            <v>44</v>
          </cell>
          <cell r="M70">
            <v>0.21568627450980393</v>
          </cell>
          <cell r="N70">
            <v>58080</v>
          </cell>
          <cell r="O70"/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/>
          <cell r="U70">
            <v>44</v>
          </cell>
          <cell r="V70">
            <v>58080</v>
          </cell>
        </row>
        <row r="71">
          <cell r="E71">
            <v>3314</v>
          </cell>
          <cell r="F71" t="str">
            <v>St Paul's CofE Primary School NW7</v>
          </cell>
          <cell r="G71" t="str">
            <v>Voluntary Aided School</v>
          </cell>
          <cell r="H71" t="str">
            <v>Hendon</v>
          </cell>
          <cell r="I71">
            <v>212</v>
          </cell>
          <cell r="J71"/>
          <cell r="K71">
            <v>212</v>
          </cell>
          <cell r="L71">
            <v>14</v>
          </cell>
          <cell r="M71">
            <v>6.6037735849056603E-2</v>
          </cell>
          <cell r="N71">
            <v>18480</v>
          </cell>
          <cell r="O71"/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/>
          <cell r="U71">
            <v>14</v>
          </cell>
          <cell r="V71">
            <v>18480</v>
          </cell>
        </row>
        <row r="72">
          <cell r="E72">
            <v>3315</v>
          </cell>
          <cell r="F72" t="str">
            <v>St Andrew's CofE Voluntary Aided Primary School, Totteridge</v>
          </cell>
          <cell r="G72" t="str">
            <v>Voluntary Aided School</v>
          </cell>
          <cell r="H72" t="str">
            <v>Chipping Barnet</v>
          </cell>
          <cell r="I72">
            <v>204</v>
          </cell>
          <cell r="J72"/>
          <cell r="K72">
            <v>204</v>
          </cell>
          <cell r="L72">
            <v>12</v>
          </cell>
          <cell r="M72">
            <v>5.8823529411764705E-2</v>
          </cell>
          <cell r="N72">
            <v>15840</v>
          </cell>
          <cell r="O72"/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/>
          <cell r="U72">
            <v>12</v>
          </cell>
          <cell r="V72">
            <v>15840</v>
          </cell>
        </row>
        <row r="73">
          <cell r="E73">
            <v>3316</v>
          </cell>
          <cell r="F73" t="str">
            <v>Trent CofE Primary School</v>
          </cell>
          <cell r="G73" t="str">
            <v>Voluntary Aided School</v>
          </cell>
          <cell r="H73" t="str">
            <v>Chipping Barnet</v>
          </cell>
          <cell r="I73">
            <v>209</v>
          </cell>
          <cell r="J73"/>
          <cell r="K73">
            <v>209</v>
          </cell>
          <cell r="L73">
            <v>20</v>
          </cell>
          <cell r="M73">
            <v>9.569377990430622E-2</v>
          </cell>
          <cell r="N73">
            <v>26400</v>
          </cell>
          <cell r="O73"/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/>
          <cell r="U73">
            <v>20</v>
          </cell>
          <cell r="V73">
            <v>26400</v>
          </cell>
        </row>
        <row r="74">
          <cell r="E74">
            <v>3317</v>
          </cell>
          <cell r="F74" t="str">
            <v>All Saints' CofE Primary School N20</v>
          </cell>
          <cell r="G74" t="str">
            <v>Voluntary Aided School</v>
          </cell>
          <cell r="H74" t="str">
            <v>Chipping Barnet</v>
          </cell>
          <cell r="I74">
            <v>239</v>
          </cell>
          <cell r="J74"/>
          <cell r="K74">
            <v>239</v>
          </cell>
          <cell r="L74">
            <v>54</v>
          </cell>
          <cell r="M74">
            <v>0.22594142259414227</v>
          </cell>
          <cell r="N74">
            <v>71280</v>
          </cell>
          <cell r="O74"/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/>
          <cell r="U74">
            <v>54</v>
          </cell>
          <cell r="V74">
            <v>71280</v>
          </cell>
        </row>
        <row r="75">
          <cell r="E75">
            <v>3500</v>
          </cell>
          <cell r="F75" t="str">
            <v>The Annunciation RC Infant School</v>
          </cell>
          <cell r="G75" t="str">
            <v>Voluntary Aided School</v>
          </cell>
          <cell r="H75" t="str">
            <v>Hendon</v>
          </cell>
          <cell r="I75">
            <v>181</v>
          </cell>
          <cell r="J75"/>
          <cell r="K75">
            <v>181</v>
          </cell>
          <cell r="L75">
            <v>17</v>
          </cell>
          <cell r="M75">
            <v>9.3922651933701654E-2</v>
          </cell>
          <cell r="N75">
            <v>22440</v>
          </cell>
          <cell r="O75"/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/>
          <cell r="U75">
            <v>17</v>
          </cell>
          <cell r="V75">
            <v>22440</v>
          </cell>
        </row>
        <row r="76">
          <cell r="E76">
            <v>3501</v>
          </cell>
          <cell r="F76" t="str">
            <v>Our Lady of Lourdes RC School</v>
          </cell>
          <cell r="G76" t="str">
            <v>Voluntary Aided School</v>
          </cell>
          <cell r="H76" t="str">
            <v>Finchley and Golders Green</v>
          </cell>
          <cell r="I76">
            <v>211</v>
          </cell>
          <cell r="J76"/>
          <cell r="K76">
            <v>211</v>
          </cell>
          <cell r="L76">
            <v>41</v>
          </cell>
          <cell r="M76">
            <v>0.19431279620853081</v>
          </cell>
          <cell r="N76">
            <v>54120</v>
          </cell>
          <cell r="O76"/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/>
          <cell r="U76">
            <v>41</v>
          </cell>
          <cell r="V76">
            <v>54120</v>
          </cell>
        </row>
        <row r="77">
          <cell r="E77">
            <v>3502</v>
          </cell>
          <cell r="F77" t="str">
            <v>St Agnes RC School</v>
          </cell>
          <cell r="G77" t="str">
            <v>Voluntary Aided School</v>
          </cell>
          <cell r="H77" t="str">
            <v>Finchley and Golders Green</v>
          </cell>
          <cell r="I77">
            <v>313</v>
          </cell>
          <cell r="J77"/>
          <cell r="K77">
            <v>313</v>
          </cell>
          <cell r="L77">
            <v>57</v>
          </cell>
          <cell r="M77">
            <v>0.18210862619808307</v>
          </cell>
          <cell r="N77">
            <v>75240</v>
          </cell>
          <cell r="O77"/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/>
          <cell r="U77">
            <v>57</v>
          </cell>
          <cell r="V77">
            <v>75240</v>
          </cell>
        </row>
        <row r="78">
          <cell r="E78">
            <v>3504</v>
          </cell>
          <cell r="F78" t="str">
            <v>St Catherine's RC School</v>
          </cell>
          <cell r="G78" t="str">
            <v>Voluntary Aided School</v>
          </cell>
          <cell r="H78" t="str">
            <v>Chipping Barnet</v>
          </cell>
          <cell r="I78">
            <v>431</v>
          </cell>
          <cell r="J78"/>
          <cell r="K78">
            <v>431</v>
          </cell>
          <cell r="L78">
            <v>59</v>
          </cell>
          <cell r="M78">
            <v>0.1368909512761021</v>
          </cell>
          <cell r="N78">
            <v>77880</v>
          </cell>
          <cell r="O78"/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/>
          <cell r="U78">
            <v>59</v>
          </cell>
          <cell r="V78">
            <v>77880</v>
          </cell>
        </row>
        <row r="79">
          <cell r="E79">
            <v>3506</v>
          </cell>
          <cell r="F79" t="str">
            <v>St Vincent's Catholic Primary School</v>
          </cell>
          <cell r="G79" t="str">
            <v>Voluntary Aided School</v>
          </cell>
          <cell r="H79" t="str">
            <v>Hendon</v>
          </cell>
          <cell r="I79">
            <v>324</v>
          </cell>
          <cell r="J79"/>
          <cell r="K79">
            <v>324</v>
          </cell>
          <cell r="L79">
            <v>50</v>
          </cell>
          <cell r="M79">
            <v>0.15432098765432098</v>
          </cell>
          <cell r="N79">
            <v>66000</v>
          </cell>
          <cell r="O79"/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/>
          <cell r="U79">
            <v>50</v>
          </cell>
          <cell r="V79">
            <v>66000</v>
          </cell>
        </row>
        <row r="80">
          <cell r="E80">
            <v>3507</v>
          </cell>
          <cell r="F80" t="str">
            <v>St Theresa's Catholic Primary School</v>
          </cell>
          <cell r="G80" t="str">
            <v>Voluntary Aided School</v>
          </cell>
          <cell r="H80" t="str">
            <v>Finchley and Golders Green</v>
          </cell>
          <cell r="I80">
            <v>237</v>
          </cell>
          <cell r="J80"/>
          <cell r="K80">
            <v>237</v>
          </cell>
          <cell r="L80">
            <v>25</v>
          </cell>
          <cell r="M80">
            <v>0.10548523206751055</v>
          </cell>
          <cell r="N80">
            <v>33000</v>
          </cell>
          <cell r="O80"/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/>
          <cell r="U80">
            <v>25</v>
          </cell>
          <cell r="V80">
            <v>33000</v>
          </cell>
        </row>
        <row r="81">
          <cell r="E81">
            <v>3509</v>
          </cell>
          <cell r="F81" t="str">
            <v>St Joseph's Catholic Primary School</v>
          </cell>
          <cell r="G81" t="str">
            <v>Voluntary Aided School</v>
          </cell>
          <cell r="H81" t="str">
            <v>Hendon</v>
          </cell>
          <cell r="I81">
            <v>437</v>
          </cell>
          <cell r="J81"/>
          <cell r="K81">
            <v>437</v>
          </cell>
          <cell r="L81">
            <v>65</v>
          </cell>
          <cell r="M81">
            <v>0.14874141876430205</v>
          </cell>
          <cell r="N81">
            <v>85800</v>
          </cell>
          <cell r="O81"/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/>
          <cell r="U81">
            <v>65</v>
          </cell>
          <cell r="V81">
            <v>85800</v>
          </cell>
        </row>
        <row r="82">
          <cell r="E82">
            <v>3510</v>
          </cell>
          <cell r="F82" t="str">
            <v>Sacred Heart Roman Catholic Primary School</v>
          </cell>
          <cell r="G82" t="str">
            <v>Voluntary Aided School</v>
          </cell>
          <cell r="H82" t="str">
            <v>Chipping Barnet</v>
          </cell>
          <cell r="I82">
            <v>420</v>
          </cell>
          <cell r="J82"/>
          <cell r="K82">
            <v>420</v>
          </cell>
          <cell r="L82">
            <v>44</v>
          </cell>
          <cell r="M82">
            <v>0.10476190476190476</v>
          </cell>
          <cell r="N82">
            <v>58080</v>
          </cell>
          <cell r="O82"/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/>
          <cell r="U82">
            <v>44</v>
          </cell>
          <cell r="V82">
            <v>58080</v>
          </cell>
        </row>
        <row r="83">
          <cell r="E83">
            <v>3511</v>
          </cell>
          <cell r="F83" t="str">
            <v>Blessed Dominic RC School</v>
          </cell>
          <cell r="G83" t="str">
            <v>Voluntary Aided School</v>
          </cell>
          <cell r="H83" t="str">
            <v>Hendon</v>
          </cell>
          <cell r="I83">
            <v>326</v>
          </cell>
          <cell r="J83"/>
          <cell r="K83">
            <v>326</v>
          </cell>
          <cell r="L83">
            <v>101</v>
          </cell>
          <cell r="M83">
            <v>0.30981595092024539</v>
          </cell>
          <cell r="N83">
            <v>133320</v>
          </cell>
          <cell r="O83"/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/>
          <cell r="U83">
            <v>101</v>
          </cell>
          <cell r="V83">
            <v>133320</v>
          </cell>
        </row>
        <row r="84">
          <cell r="E84">
            <v>3512</v>
          </cell>
          <cell r="F84" t="str">
            <v>Rosh Pinah Primary School</v>
          </cell>
          <cell r="G84" t="str">
            <v>Voluntary Aided School</v>
          </cell>
          <cell r="H84" t="str">
            <v>Hendon</v>
          </cell>
          <cell r="I84">
            <v>427</v>
          </cell>
          <cell r="J84"/>
          <cell r="K84">
            <v>427</v>
          </cell>
          <cell r="L84">
            <v>20</v>
          </cell>
          <cell r="M84">
            <v>4.6838407494145202E-2</v>
          </cell>
          <cell r="N84">
            <v>26400</v>
          </cell>
          <cell r="O84"/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/>
          <cell r="U84">
            <v>20</v>
          </cell>
          <cell r="V84">
            <v>26400</v>
          </cell>
        </row>
        <row r="85">
          <cell r="E85">
            <v>3513</v>
          </cell>
          <cell r="F85" t="str">
            <v>Menorah Primary School</v>
          </cell>
          <cell r="G85" t="str">
            <v>Voluntary Aided School</v>
          </cell>
          <cell r="H85" t="str">
            <v>Finchley and Golders Green</v>
          </cell>
          <cell r="I85">
            <v>395</v>
          </cell>
          <cell r="J85"/>
          <cell r="K85">
            <v>395</v>
          </cell>
          <cell r="L85">
            <v>18</v>
          </cell>
          <cell r="M85">
            <v>4.5569620253164557E-2</v>
          </cell>
          <cell r="N85">
            <v>23760</v>
          </cell>
          <cell r="O85"/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/>
          <cell r="U85">
            <v>18</v>
          </cell>
          <cell r="V85">
            <v>23760</v>
          </cell>
        </row>
        <row r="86">
          <cell r="E86">
            <v>3514</v>
          </cell>
          <cell r="F86" t="str">
            <v>The Annunciation RC Junior School</v>
          </cell>
          <cell r="G86" t="str">
            <v>Voluntary Aided School</v>
          </cell>
          <cell r="H86" t="str">
            <v>Hendon</v>
          </cell>
          <cell r="I86">
            <v>227</v>
          </cell>
          <cell r="J86"/>
          <cell r="K86">
            <v>227</v>
          </cell>
          <cell r="L86">
            <v>54</v>
          </cell>
          <cell r="M86">
            <v>0.23788546255506607</v>
          </cell>
          <cell r="N86">
            <v>71280</v>
          </cell>
          <cell r="O86"/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/>
          <cell r="U86">
            <v>54</v>
          </cell>
          <cell r="V86">
            <v>71280</v>
          </cell>
        </row>
        <row r="87">
          <cell r="E87">
            <v>3515</v>
          </cell>
          <cell r="F87" t="str">
            <v>Independent Jewish Day School</v>
          </cell>
          <cell r="G87" t="str">
            <v>Mainstream Academy</v>
          </cell>
          <cell r="H87" t="str">
            <v>Hendon</v>
          </cell>
          <cell r="I87">
            <v>196</v>
          </cell>
          <cell r="J87"/>
          <cell r="K87">
            <v>196</v>
          </cell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/>
          <cell r="U87">
            <v>0</v>
          </cell>
          <cell r="V87">
            <v>0</v>
          </cell>
        </row>
        <row r="88">
          <cell r="E88">
            <v>3516</v>
          </cell>
          <cell r="F88" t="str">
            <v>Hasmonean Primary School</v>
          </cell>
          <cell r="G88" t="str">
            <v>Voluntary Aided School</v>
          </cell>
          <cell r="H88" t="str">
            <v>Hendon</v>
          </cell>
          <cell r="I88">
            <v>210</v>
          </cell>
          <cell r="J88"/>
          <cell r="K88">
            <v>210</v>
          </cell>
          <cell r="L88">
            <v>16</v>
          </cell>
          <cell r="M88">
            <v>7.6190476190476197E-2</v>
          </cell>
          <cell r="N88">
            <v>21120</v>
          </cell>
          <cell r="O88"/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/>
          <cell r="U88">
            <v>16</v>
          </cell>
          <cell r="V88">
            <v>21120</v>
          </cell>
        </row>
        <row r="89">
          <cell r="E89">
            <v>3518</v>
          </cell>
          <cell r="F89" t="str">
            <v>Woodcroft Primary School</v>
          </cell>
          <cell r="G89" t="str">
            <v>Community School</v>
          </cell>
          <cell r="H89" t="str">
            <v>Hendon</v>
          </cell>
          <cell r="I89">
            <v>437</v>
          </cell>
          <cell r="J89"/>
          <cell r="K89">
            <v>437</v>
          </cell>
          <cell r="L89">
            <v>215</v>
          </cell>
          <cell r="M89">
            <v>0.49199084668192222</v>
          </cell>
          <cell r="N89">
            <v>283800</v>
          </cell>
          <cell r="O89"/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/>
          <cell r="U89">
            <v>215</v>
          </cell>
          <cell r="V89">
            <v>283800</v>
          </cell>
        </row>
        <row r="90">
          <cell r="E90">
            <v>3519</v>
          </cell>
          <cell r="F90" t="str">
            <v>Broadfields Primary School</v>
          </cell>
          <cell r="G90" t="str">
            <v>Mainstream Academy</v>
          </cell>
          <cell r="H90" t="str">
            <v>Hendon</v>
          </cell>
          <cell r="I90">
            <v>593</v>
          </cell>
          <cell r="J90"/>
          <cell r="K90">
            <v>593</v>
          </cell>
          <cell r="L90">
            <v>228</v>
          </cell>
          <cell r="M90">
            <v>0.38448566610455309</v>
          </cell>
          <cell r="N90">
            <v>300960</v>
          </cell>
          <cell r="O90"/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/>
          <cell r="U90">
            <v>228</v>
          </cell>
          <cell r="V90">
            <v>300960</v>
          </cell>
        </row>
        <row r="91">
          <cell r="E91">
            <v>3520</v>
          </cell>
          <cell r="F91" t="str">
            <v>Akiva School</v>
          </cell>
          <cell r="G91" t="str">
            <v>Voluntary Aided School</v>
          </cell>
          <cell r="H91" t="str">
            <v>Finchley and Golders Green</v>
          </cell>
          <cell r="I91">
            <v>421</v>
          </cell>
          <cell r="J91"/>
          <cell r="K91">
            <v>421</v>
          </cell>
          <cell r="L91" t="str">
            <v>x</v>
          </cell>
          <cell r="M91" t="str">
            <v>x</v>
          </cell>
          <cell r="N91" t="str">
            <v>x</v>
          </cell>
          <cell r="O91"/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/>
          <cell r="U91" t="str">
            <v>x</v>
          </cell>
          <cell r="V91" t="str">
            <v>x</v>
          </cell>
        </row>
        <row r="92">
          <cell r="E92">
            <v>3521</v>
          </cell>
          <cell r="F92" t="str">
            <v>St Mary's and St John's CofE School</v>
          </cell>
          <cell r="G92" t="str">
            <v>Voluntary Aided School</v>
          </cell>
          <cell r="H92" t="str">
            <v>Hendon</v>
          </cell>
          <cell r="I92">
            <v>629</v>
          </cell>
          <cell r="J92"/>
          <cell r="K92">
            <v>509</v>
          </cell>
          <cell r="L92">
            <v>105</v>
          </cell>
          <cell r="M92">
            <v>0.206286836935167</v>
          </cell>
          <cell r="N92">
            <v>138600</v>
          </cell>
          <cell r="O92"/>
          <cell r="P92">
            <v>120</v>
          </cell>
          <cell r="Q92">
            <v>43</v>
          </cell>
          <cell r="R92">
            <v>0.35833333333333334</v>
          </cell>
          <cell r="S92">
            <v>40205</v>
          </cell>
          <cell r="T92"/>
          <cell r="U92">
            <v>148</v>
          </cell>
          <cell r="V92">
            <v>178805</v>
          </cell>
        </row>
        <row r="93">
          <cell r="E93">
            <v>3522</v>
          </cell>
          <cell r="F93" t="str">
            <v>Claremont Primary School</v>
          </cell>
          <cell r="G93" t="str">
            <v>Mainstream Academy</v>
          </cell>
          <cell r="H93" t="str">
            <v>Finchley and Golders Green</v>
          </cell>
          <cell r="I93">
            <v>403</v>
          </cell>
          <cell r="J93"/>
          <cell r="K93">
            <v>403</v>
          </cell>
          <cell r="L93">
            <v>260</v>
          </cell>
          <cell r="M93">
            <v>0.64516129032258063</v>
          </cell>
          <cell r="N93">
            <v>343200</v>
          </cell>
          <cell r="O93"/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/>
          <cell r="U93">
            <v>260</v>
          </cell>
          <cell r="V93">
            <v>343200</v>
          </cell>
        </row>
        <row r="94">
          <cell r="E94">
            <v>3523</v>
          </cell>
          <cell r="F94" t="str">
            <v>Martin Primary School</v>
          </cell>
          <cell r="G94" t="str">
            <v>Community School</v>
          </cell>
          <cell r="H94" t="str">
            <v>Finchley and Golders Green</v>
          </cell>
          <cell r="I94">
            <v>536</v>
          </cell>
          <cell r="J94"/>
          <cell r="K94">
            <v>536</v>
          </cell>
          <cell r="L94">
            <v>127</v>
          </cell>
          <cell r="M94">
            <v>0.23694029850746268</v>
          </cell>
          <cell r="N94">
            <v>167640</v>
          </cell>
          <cell r="O94"/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/>
          <cell r="U94">
            <v>127</v>
          </cell>
          <cell r="V94">
            <v>167640</v>
          </cell>
        </row>
        <row r="95">
          <cell r="E95">
            <v>3524</v>
          </cell>
          <cell r="F95" t="str">
            <v>Beit Shvidler Primary School</v>
          </cell>
          <cell r="G95" t="str">
            <v>Voluntary Aided School</v>
          </cell>
          <cell r="H95" t="str">
            <v>Hendon</v>
          </cell>
          <cell r="I95">
            <v>208</v>
          </cell>
          <cell r="J95"/>
          <cell r="K95">
            <v>208</v>
          </cell>
          <cell r="L95">
            <v>17</v>
          </cell>
          <cell r="M95">
            <v>8.1730769230769232E-2</v>
          </cell>
          <cell r="N95">
            <v>22440</v>
          </cell>
          <cell r="O95"/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/>
          <cell r="U95">
            <v>17</v>
          </cell>
          <cell r="V95">
            <v>22440</v>
          </cell>
        </row>
        <row r="96">
          <cell r="E96">
            <v>4000</v>
          </cell>
          <cell r="F96" t="str">
            <v>St Andrew the Apostle Greek Orthodox School *</v>
          </cell>
          <cell r="G96" t="str">
            <v>Free School</v>
          </cell>
          <cell r="H96" t="str">
            <v>Chipping Barnet</v>
          </cell>
          <cell r="I96">
            <v>307</v>
          </cell>
          <cell r="J96"/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/>
          <cell r="P96">
            <v>307</v>
          </cell>
          <cell r="Q96">
            <v>60.833333333333336</v>
          </cell>
          <cell r="R96">
            <v>0.1981541802388708</v>
          </cell>
          <cell r="S96">
            <v>56879.166666666672</v>
          </cell>
          <cell r="T96"/>
          <cell r="U96">
            <v>60.833333333333336</v>
          </cell>
          <cell r="V96">
            <v>56879.166666666672</v>
          </cell>
        </row>
        <row r="97">
          <cell r="E97">
            <v>4001</v>
          </cell>
          <cell r="F97" t="str">
            <v>The Archer Academy *</v>
          </cell>
          <cell r="G97" t="str">
            <v>Free School</v>
          </cell>
          <cell r="H97" t="str">
            <v>Finchley and Golders Green</v>
          </cell>
          <cell r="I97">
            <v>450.5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/>
          <cell r="P97">
            <v>450.5</v>
          </cell>
          <cell r="Q97">
            <v>122.25</v>
          </cell>
          <cell r="R97">
            <v>0.27136514983351834</v>
          </cell>
          <cell r="S97">
            <v>114303.75</v>
          </cell>
          <cell r="T97"/>
          <cell r="U97">
            <v>122.25</v>
          </cell>
          <cell r="V97">
            <v>114303.75</v>
          </cell>
        </row>
        <row r="98">
          <cell r="E98">
            <v>4003</v>
          </cell>
          <cell r="F98" t="str">
            <v>Friern Barnet School</v>
          </cell>
          <cell r="G98" t="str">
            <v>Community School</v>
          </cell>
          <cell r="H98" t="str">
            <v>Chipping Barnet</v>
          </cell>
          <cell r="I98">
            <v>795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/>
          <cell r="P98">
            <v>795</v>
          </cell>
          <cell r="Q98">
            <v>396</v>
          </cell>
          <cell r="R98">
            <v>0.49811320754716981</v>
          </cell>
          <cell r="S98">
            <v>370260</v>
          </cell>
          <cell r="T98"/>
          <cell r="U98">
            <v>396</v>
          </cell>
          <cell r="V98">
            <v>370260</v>
          </cell>
        </row>
        <row r="99">
          <cell r="E99">
            <v>4009</v>
          </cell>
          <cell r="F99" t="str">
            <v>The Totteridge Academy</v>
          </cell>
          <cell r="G99" t="str">
            <v>Mainstream Academy</v>
          </cell>
          <cell r="H99" t="str">
            <v>Chipping Barnet</v>
          </cell>
          <cell r="I99">
            <v>553.5</v>
          </cell>
          <cell r="J99"/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/>
          <cell r="P99">
            <v>553.5</v>
          </cell>
          <cell r="Q99">
            <v>260.5</v>
          </cell>
          <cell r="R99">
            <v>0.4706413730803975</v>
          </cell>
          <cell r="S99">
            <v>243567.5</v>
          </cell>
          <cell r="T99"/>
          <cell r="U99">
            <v>260.5</v>
          </cell>
          <cell r="V99">
            <v>243567.5</v>
          </cell>
        </row>
        <row r="100">
          <cell r="E100">
            <v>4012</v>
          </cell>
          <cell r="F100" t="str">
            <v>Whitefield School</v>
          </cell>
          <cell r="G100" t="str">
            <v>Mainstream Academy</v>
          </cell>
          <cell r="H100" t="str">
            <v>Finchley and Golders Green</v>
          </cell>
          <cell r="I100">
            <v>640</v>
          </cell>
          <cell r="J100"/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/>
          <cell r="P100">
            <v>640</v>
          </cell>
          <cell r="Q100">
            <v>336</v>
          </cell>
          <cell r="R100">
            <v>0.52500000000000002</v>
          </cell>
          <cell r="S100">
            <v>314160</v>
          </cell>
          <cell r="T100"/>
          <cell r="U100">
            <v>336</v>
          </cell>
          <cell r="V100">
            <v>314160</v>
          </cell>
        </row>
        <row r="101">
          <cell r="E101">
            <v>4208</v>
          </cell>
          <cell r="F101" t="str">
            <v>Queen Elizabeth's Girls' School</v>
          </cell>
          <cell r="G101" t="str">
            <v>Mainstream Academy</v>
          </cell>
          <cell r="H101" t="str">
            <v>Chipping Barnet</v>
          </cell>
          <cell r="I101">
            <v>898</v>
          </cell>
          <cell r="J101"/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/>
          <cell r="P101">
            <v>898</v>
          </cell>
          <cell r="Q101">
            <v>245</v>
          </cell>
          <cell r="R101">
            <v>0.27282850779510021</v>
          </cell>
          <cell r="S101">
            <v>229075</v>
          </cell>
          <cell r="T101"/>
          <cell r="U101">
            <v>245</v>
          </cell>
          <cell r="V101">
            <v>229075</v>
          </cell>
        </row>
        <row r="102">
          <cell r="E102">
            <v>4210</v>
          </cell>
          <cell r="F102" t="str">
            <v>Copthall School</v>
          </cell>
          <cell r="G102" t="str">
            <v>Mainstream Academy</v>
          </cell>
          <cell r="H102" t="str">
            <v>Hendon</v>
          </cell>
          <cell r="I102">
            <v>874.49999999999977</v>
          </cell>
          <cell r="J102"/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/>
          <cell r="P102">
            <v>874.49999999999977</v>
          </cell>
          <cell r="Q102">
            <v>380.00000000000023</v>
          </cell>
          <cell r="R102">
            <v>0.43453401943968017</v>
          </cell>
          <cell r="S102">
            <v>355300.00000000023</v>
          </cell>
          <cell r="T102"/>
          <cell r="U102">
            <v>380.00000000000023</v>
          </cell>
          <cell r="V102">
            <v>355300.00000000023</v>
          </cell>
        </row>
        <row r="103">
          <cell r="E103">
            <v>4211</v>
          </cell>
          <cell r="F103" t="str">
            <v>Christ's College Finchley</v>
          </cell>
          <cell r="G103" t="str">
            <v>Mainstream Academy</v>
          </cell>
          <cell r="H103" t="str">
            <v>Finchley and Golders Green</v>
          </cell>
          <cell r="I103">
            <v>666.5</v>
          </cell>
          <cell r="J103"/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/>
          <cell r="P103">
            <v>666.5</v>
          </cell>
          <cell r="Q103">
            <v>277.00000000000006</v>
          </cell>
          <cell r="R103">
            <v>0.41560390097524391</v>
          </cell>
          <cell r="S103">
            <v>258995.00000000006</v>
          </cell>
          <cell r="T103"/>
          <cell r="U103">
            <v>277.00000000000006</v>
          </cell>
          <cell r="V103">
            <v>258995.00000000006</v>
          </cell>
        </row>
        <row r="104">
          <cell r="E104">
            <v>4212</v>
          </cell>
          <cell r="F104" t="str">
            <v>East Barnet School</v>
          </cell>
          <cell r="G104" t="str">
            <v>Mainstream Academy</v>
          </cell>
          <cell r="H104" t="str">
            <v>Chipping Barnet</v>
          </cell>
          <cell r="I104">
            <v>1050.0000000000005</v>
          </cell>
          <cell r="J104"/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/>
          <cell r="P104">
            <v>1050.0000000000005</v>
          </cell>
          <cell r="Q104">
            <v>251</v>
          </cell>
          <cell r="R104">
            <v>0.23904761904761895</v>
          </cell>
          <cell r="S104">
            <v>234685</v>
          </cell>
          <cell r="T104"/>
          <cell r="U104">
            <v>251</v>
          </cell>
          <cell r="V104">
            <v>234685</v>
          </cell>
        </row>
        <row r="105">
          <cell r="E105">
            <v>4215</v>
          </cell>
          <cell r="F105" t="str">
            <v>The Compton School</v>
          </cell>
          <cell r="G105" t="str">
            <v>Mainstream Academy</v>
          </cell>
          <cell r="H105" t="str">
            <v>Finchley and Golders Green</v>
          </cell>
          <cell r="I105">
            <v>978.49999999999932</v>
          </cell>
          <cell r="J105"/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/>
          <cell r="P105">
            <v>978.49999999999932</v>
          </cell>
          <cell r="Q105">
            <v>362.99999999999989</v>
          </cell>
          <cell r="R105">
            <v>0.37097598364844164</v>
          </cell>
          <cell r="S105">
            <v>339404.99999999988</v>
          </cell>
          <cell r="T105"/>
          <cell r="U105">
            <v>362.99999999999989</v>
          </cell>
          <cell r="V105">
            <v>339404.99999999988</v>
          </cell>
        </row>
        <row r="106">
          <cell r="E106">
            <v>4752</v>
          </cell>
          <cell r="F106" t="str">
            <v>The Henrietta Barnett School</v>
          </cell>
          <cell r="G106" t="str">
            <v>Mainstream Academy</v>
          </cell>
          <cell r="H106" t="str">
            <v>Finchley and Golders Green</v>
          </cell>
          <cell r="I106">
            <v>479</v>
          </cell>
          <cell r="J106"/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/>
          <cell r="P106">
            <v>479</v>
          </cell>
          <cell r="Q106">
            <v>20</v>
          </cell>
          <cell r="R106">
            <v>4.1753653444676408E-2</v>
          </cell>
          <cell r="S106">
            <v>18700</v>
          </cell>
          <cell r="T106"/>
          <cell r="U106">
            <v>20</v>
          </cell>
          <cell r="V106">
            <v>18700</v>
          </cell>
        </row>
        <row r="107">
          <cell r="E107">
            <v>5200</v>
          </cell>
          <cell r="F107" t="str">
            <v>Dollis Junior School</v>
          </cell>
          <cell r="G107" t="str">
            <v>Foundation School</v>
          </cell>
          <cell r="H107" t="str">
            <v>Hendon</v>
          </cell>
          <cell r="I107">
            <v>344</v>
          </cell>
          <cell r="J107"/>
          <cell r="K107">
            <v>344</v>
          </cell>
          <cell r="L107">
            <v>183</v>
          </cell>
          <cell r="M107">
            <v>0.53197674418604646</v>
          </cell>
          <cell r="N107">
            <v>241560</v>
          </cell>
          <cell r="O107"/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/>
          <cell r="U107">
            <v>183</v>
          </cell>
          <cell r="V107">
            <v>241560</v>
          </cell>
        </row>
        <row r="108">
          <cell r="E108">
            <v>5201</v>
          </cell>
          <cell r="F108" t="str">
            <v>Osidge Primary School</v>
          </cell>
          <cell r="G108" t="str">
            <v>Foundation School</v>
          </cell>
          <cell r="H108" t="str">
            <v>Enfield Southgate</v>
          </cell>
          <cell r="I108">
            <v>419</v>
          </cell>
          <cell r="J108"/>
          <cell r="K108">
            <v>419</v>
          </cell>
          <cell r="L108">
            <v>67</v>
          </cell>
          <cell r="M108">
            <v>0.15990453460620524</v>
          </cell>
          <cell r="N108">
            <v>88440</v>
          </cell>
          <cell r="O108"/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/>
          <cell r="U108">
            <v>67</v>
          </cell>
          <cell r="V108">
            <v>88440</v>
          </cell>
        </row>
        <row r="109">
          <cell r="E109">
            <v>5400</v>
          </cell>
          <cell r="F109" t="str">
            <v>Hendon School</v>
          </cell>
          <cell r="G109" t="str">
            <v>Mainstream Academy</v>
          </cell>
          <cell r="H109" t="str">
            <v>Hendon</v>
          </cell>
          <cell r="I109">
            <v>1007.5000000000006</v>
          </cell>
          <cell r="J109"/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/>
          <cell r="P109">
            <v>1007.5000000000006</v>
          </cell>
          <cell r="Q109">
            <v>459</v>
          </cell>
          <cell r="R109">
            <v>0.45558312655086824</v>
          </cell>
          <cell r="S109">
            <v>429165</v>
          </cell>
          <cell r="T109"/>
          <cell r="U109">
            <v>459</v>
          </cell>
          <cell r="V109">
            <v>429165</v>
          </cell>
        </row>
        <row r="110">
          <cell r="E110">
            <v>5401</v>
          </cell>
          <cell r="F110" t="str">
            <v>Queen Elizabeth's School, Barnet</v>
          </cell>
          <cell r="G110" t="str">
            <v>Mainstream Academy</v>
          </cell>
          <cell r="H110" t="str">
            <v>Chipping Barnet</v>
          </cell>
          <cell r="I110">
            <v>902</v>
          </cell>
          <cell r="J110"/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/>
          <cell r="P110">
            <v>902</v>
          </cell>
          <cell r="Q110">
            <v>52</v>
          </cell>
          <cell r="R110">
            <v>5.7649667405764965E-2</v>
          </cell>
          <cell r="S110">
            <v>48620</v>
          </cell>
          <cell r="T110"/>
          <cell r="U110">
            <v>52</v>
          </cell>
          <cell r="V110">
            <v>48620</v>
          </cell>
        </row>
        <row r="111">
          <cell r="E111">
            <v>5402</v>
          </cell>
          <cell r="F111" t="str">
            <v>Mill Hill County High School</v>
          </cell>
          <cell r="G111" t="str">
            <v>Mainstream Academy</v>
          </cell>
          <cell r="H111" t="str">
            <v>Hendon</v>
          </cell>
          <cell r="I111">
            <v>1242.5</v>
          </cell>
          <cell r="J111"/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/>
          <cell r="P111">
            <v>1242.5</v>
          </cell>
          <cell r="Q111">
            <v>293.5</v>
          </cell>
          <cell r="R111">
            <v>0.23621730382293762</v>
          </cell>
          <cell r="S111">
            <v>274422.5</v>
          </cell>
          <cell r="T111"/>
          <cell r="U111">
            <v>293.5</v>
          </cell>
          <cell r="V111">
            <v>274422.5</v>
          </cell>
        </row>
        <row r="112">
          <cell r="E112">
            <v>5403</v>
          </cell>
          <cell r="F112" t="str">
            <v>St Mary's CofE High School</v>
          </cell>
          <cell r="G112" t="str">
            <v>Voluntary Aided School</v>
          </cell>
          <cell r="H112" t="str">
            <v>Hendon</v>
          </cell>
          <cell r="I112">
            <v>160</v>
          </cell>
          <cell r="J112"/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/>
          <cell r="P112">
            <v>160</v>
          </cell>
          <cell r="Q112">
            <v>72</v>
          </cell>
          <cell r="R112">
            <v>0.45</v>
          </cell>
          <cell r="S112">
            <v>67320</v>
          </cell>
          <cell r="T112"/>
          <cell r="U112">
            <v>72</v>
          </cell>
          <cell r="V112">
            <v>67320</v>
          </cell>
        </row>
        <row r="113">
          <cell r="E113">
            <v>5404</v>
          </cell>
          <cell r="F113" t="str">
            <v>St Michael's Catholic Grammar School</v>
          </cell>
          <cell r="G113" t="str">
            <v>Voluntary Aided School</v>
          </cell>
          <cell r="H113" t="str">
            <v>Finchley and Golders Green</v>
          </cell>
          <cell r="I113">
            <v>480</v>
          </cell>
          <cell r="J113"/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/>
          <cell r="P113">
            <v>480</v>
          </cell>
          <cell r="Q113">
            <v>38</v>
          </cell>
          <cell r="R113">
            <v>7.9166666666666663E-2</v>
          </cell>
          <cell r="S113">
            <v>35530</v>
          </cell>
          <cell r="T113"/>
          <cell r="U113">
            <v>38</v>
          </cell>
          <cell r="V113">
            <v>35530</v>
          </cell>
        </row>
        <row r="114">
          <cell r="E114">
            <v>5405</v>
          </cell>
          <cell r="F114" t="str">
            <v>Finchley Catholic High School</v>
          </cell>
          <cell r="G114" t="str">
            <v>Voluntary Aided School</v>
          </cell>
          <cell r="H114" t="str">
            <v>Chipping Barnet</v>
          </cell>
          <cell r="I114">
            <v>850</v>
          </cell>
          <cell r="J114"/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/>
          <cell r="P114">
            <v>850</v>
          </cell>
          <cell r="Q114">
            <v>129</v>
          </cell>
          <cell r="R114">
            <v>0.15176470588235294</v>
          </cell>
          <cell r="S114">
            <v>120615</v>
          </cell>
          <cell r="T114"/>
          <cell r="U114">
            <v>129</v>
          </cell>
          <cell r="V114">
            <v>120615</v>
          </cell>
        </row>
        <row r="115">
          <cell r="E115">
            <v>5406</v>
          </cell>
          <cell r="F115" t="str">
            <v>Ashmole Academy</v>
          </cell>
          <cell r="G115" t="str">
            <v>Mainstream Academy</v>
          </cell>
          <cell r="H115" t="str">
            <v>Chipping Barnet</v>
          </cell>
          <cell r="I115">
            <v>1138.0000000000009</v>
          </cell>
          <cell r="J115"/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/>
          <cell r="P115">
            <v>1138.0000000000009</v>
          </cell>
          <cell r="Q115">
            <v>193.99999999999991</v>
          </cell>
          <cell r="R115">
            <v>0.17047451669595762</v>
          </cell>
          <cell r="S115">
            <v>181389.99999999991</v>
          </cell>
          <cell r="T115"/>
          <cell r="U115">
            <v>193.99999999999991</v>
          </cell>
          <cell r="V115">
            <v>181389.99999999991</v>
          </cell>
        </row>
        <row r="116">
          <cell r="E116">
            <v>5407</v>
          </cell>
          <cell r="F116" t="str">
            <v>St James' Catholic High School</v>
          </cell>
          <cell r="G116" t="str">
            <v>Voluntary Aided School</v>
          </cell>
          <cell r="H116" t="str">
            <v>Hendon</v>
          </cell>
          <cell r="I116">
            <v>895</v>
          </cell>
          <cell r="J116"/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/>
          <cell r="P116">
            <v>895</v>
          </cell>
          <cell r="Q116">
            <v>243</v>
          </cell>
          <cell r="R116">
            <v>0.27150837988826815</v>
          </cell>
          <cell r="S116">
            <v>227205</v>
          </cell>
          <cell r="T116"/>
          <cell r="U116">
            <v>243</v>
          </cell>
          <cell r="V116">
            <v>227205</v>
          </cell>
        </row>
        <row r="117">
          <cell r="E117">
            <v>5408</v>
          </cell>
          <cell r="F117" t="str">
            <v>Bishop Douglass School Finchley</v>
          </cell>
          <cell r="G117" t="str">
            <v>Voluntary Aided School</v>
          </cell>
          <cell r="H117" t="str">
            <v>Finchley and Golders Green</v>
          </cell>
          <cell r="I117">
            <v>530</v>
          </cell>
          <cell r="J117"/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/>
          <cell r="P117">
            <v>530</v>
          </cell>
          <cell r="Q117">
            <v>228</v>
          </cell>
          <cell r="R117">
            <v>0.43018867924528303</v>
          </cell>
          <cell r="S117">
            <v>213180</v>
          </cell>
          <cell r="T117"/>
          <cell r="U117">
            <v>228</v>
          </cell>
          <cell r="V117">
            <v>213180</v>
          </cell>
        </row>
        <row r="118">
          <cell r="E118">
            <v>5409</v>
          </cell>
          <cell r="F118" t="str">
            <v>Hasmonean High School</v>
          </cell>
          <cell r="G118" t="str">
            <v>Mainstream Academy</v>
          </cell>
          <cell r="H118" t="str">
            <v>Finchley and Golders Green</v>
          </cell>
          <cell r="I118">
            <v>813</v>
          </cell>
          <cell r="J118"/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/>
          <cell r="P118">
            <v>813</v>
          </cell>
          <cell r="Q118">
            <v>86</v>
          </cell>
          <cell r="R118">
            <v>0.1057810578105781</v>
          </cell>
          <cell r="S118">
            <v>80410</v>
          </cell>
          <cell r="T118"/>
          <cell r="U118">
            <v>86</v>
          </cell>
          <cell r="V118">
            <v>80410</v>
          </cell>
        </row>
        <row r="119">
          <cell r="E119">
            <v>5427</v>
          </cell>
          <cell r="F119" t="str">
            <v>JCoSS</v>
          </cell>
          <cell r="G119" t="str">
            <v>Voluntary Aided School</v>
          </cell>
          <cell r="H119" t="str">
            <v>Chipping Barnet</v>
          </cell>
          <cell r="I119">
            <v>902.4999999999992</v>
          </cell>
          <cell r="J119"/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/>
          <cell r="P119">
            <v>902.4999999999992</v>
          </cell>
          <cell r="Q119">
            <v>86</v>
          </cell>
          <cell r="R119">
            <v>9.5290858725761859E-2</v>
          </cell>
          <cell r="S119">
            <v>80410</v>
          </cell>
          <cell r="T119"/>
          <cell r="U119">
            <v>86</v>
          </cell>
          <cell r="V119">
            <v>80410</v>
          </cell>
        </row>
        <row r="120">
          <cell r="E120">
            <v>5948</v>
          </cell>
          <cell r="F120" t="str">
            <v>Mathilda Marks-Kennedy Jewish Primary School</v>
          </cell>
          <cell r="G120" t="str">
            <v>Voluntary Aided School</v>
          </cell>
          <cell r="H120" t="str">
            <v>Hendon</v>
          </cell>
          <cell r="I120">
            <v>199</v>
          </cell>
          <cell r="J120"/>
          <cell r="K120">
            <v>199</v>
          </cell>
          <cell r="L120">
            <v>14</v>
          </cell>
          <cell r="M120">
            <v>7.0351758793969849E-2</v>
          </cell>
          <cell r="N120">
            <v>18480</v>
          </cell>
          <cell r="O120"/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/>
          <cell r="U120">
            <v>14</v>
          </cell>
          <cell r="V120">
            <v>18480</v>
          </cell>
        </row>
        <row r="121">
          <cell r="E121">
            <v>5949</v>
          </cell>
          <cell r="F121" t="str">
            <v>Menorah Foundation School</v>
          </cell>
          <cell r="G121" t="str">
            <v>Voluntary Aided School</v>
          </cell>
          <cell r="H121" t="str">
            <v>Hendon</v>
          </cell>
          <cell r="I121">
            <v>279</v>
          </cell>
          <cell r="J121"/>
          <cell r="K121">
            <v>279</v>
          </cell>
          <cell r="L121">
            <v>13</v>
          </cell>
          <cell r="M121">
            <v>4.6594982078853049E-2</v>
          </cell>
          <cell r="N121">
            <v>17160</v>
          </cell>
          <cell r="O121"/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/>
          <cell r="U121">
            <v>13</v>
          </cell>
          <cell r="V121">
            <v>17160</v>
          </cell>
        </row>
        <row r="122">
          <cell r="E122">
            <v>6905</v>
          </cell>
          <cell r="F122" t="str">
            <v>London Academy</v>
          </cell>
          <cell r="G122" t="str">
            <v>Mainstream Academy</v>
          </cell>
          <cell r="H122" t="str">
            <v>Hendon</v>
          </cell>
          <cell r="I122">
            <v>1019</v>
          </cell>
          <cell r="J122"/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/>
          <cell r="P122">
            <v>1019</v>
          </cell>
          <cell r="Q122">
            <v>605</v>
          </cell>
          <cell r="R122">
            <v>0.59371933267909716</v>
          </cell>
          <cell r="S122">
            <v>565675</v>
          </cell>
          <cell r="T122"/>
          <cell r="U122">
            <v>605</v>
          </cell>
          <cell r="V122">
            <v>565675</v>
          </cell>
        </row>
        <row r="123">
          <cell r="E123">
            <v>6906</v>
          </cell>
          <cell r="F123" t="str">
            <v>Wren Academy</v>
          </cell>
          <cell r="G123" t="str">
            <v>Mainstream Academy</v>
          </cell>
          <cell r="H123" t="str">
            <v>Finchley and Golders Green</v>
          </cell>
          <cell r="I123">
            <v>890.49999999999898</v>
          </cell>
          <cell r="J123"/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/>
          <cell r="P123">
            <v>890.49999999999898</v>
          </cell>
          <cell r="Q123">
            <v>191</v>
          </cell>
          <cell r="R123">
            <v>0.21448624368332422</v>
          </cell>
          <cell r="S123">
            <v>178585</v>
          </cell>
          <cell r="T123"/>
          <cell r="U123">
            <v>191</v>
          </cell>
          <cell r="V123">
            <v>178585</v>
          </cell>
        </row>
        <row r="124">
          <cell r="E124">
            <v>7000</v>
          </cell>
          <cell r="F124" t="str">
            <v>Oak Lodge School</v>
          </cell>
          <cell r="G124" t="str">
            <v>Community Special School</v>
          </cell>
          <cell r="H124" t="str">
            <v>Finchley and Golders Green</v>
          </cell>
          <cell r="I124">
            <v>106</v>
          </cell>
          <cell r="J124"/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/>
          <cell r="P124">
            <v>106</v>
          </cell>
          <cell r="Q124">
            <v>54</v>
          </cell>
          <cell r="R124">
            <v>0.50943396226415094</v>
          </cell>
          <cell r="S124">
            <v>50490</v>
          </cell>
          <cell r="T124"/>
          <cell r="U124">
            <v>54</v>
          </cell>
          <cell r="V124">
            <v>50490</v>
          </cell>
        </row>
        <row r="125">
          <cell r="E125">
            <v>7005</v>
          </cell>
          <cell r="F125" t="str">
            <v>Northway School</v>
          </cell>
          <cell r="G125" t="str">
            <v>Community Special School</v>
          </cell>
          <cell r="H125" t="str">
            <v>Hendon</v>
          </cell>
          <cell r="I125">
            <v>94</v>
          </cell>
          <cell r="J125"/>
          <cell r="K125">
            <v>94</v>
          </cell>
          <cell r="L125">
            <v>49</v>
          </cell>
          <cell r="M125">
            <v>0.52127659574468088</v>
          </cell>
          <cell r="N125">
            <v>64680</v>
          </cell>
          <cell r="O125"/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/>
          <cell r="U125">
            <v>49</v>
          </cell>
          <cell r="V125">
            <v>64680</v>
          </cell>
        </row>
        <row r="126">
          <cell r="E126">
            <v>7009</v>
          </cell>
          <cell r="F126" t="str">
            <v>Oakleigh School &amp; Acorn Assessment Centre</v>
          </cell>
          <cell r="G126" t="str">
            <v>Community Special School</v>
          </cell>
          <cell r="H126" t="str">
            <v>Chipping Barnet</v>
          </cell>
          <cell r="I126">
            <v>75</v>
          </cell>
          <cell r="J126"/>
          <cell r="K126">
            <v>75</v>
          </cell>
          <cell r="L126">
            <v>31</v>
          </cell>
          <cell r="M126">
            <v>0.41333333333333333</v>
          </cell>
          <cell r="N126">
            <v>40920</v>
          </cell>
          <cell r="O126"/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/>
          <cell r="U126">
            <v>31</v>
          </cell>
          <cell r="V126">
            <v>40920</v>
          </cell>
        </row>
        <row r="127">
          <cell r="E127">
            <v>7010</v>
          </cell>
          <cell r="F127" t="str">
            <v>Mapledown School</v>
          </cell>
          <cell r="G127" t="str">
            <v>Community Special School</v>
          </cell>
          <cell r="H127" t="str">
            <v>Finchley and Golders Green</v>
          </cell>
          <cell r="I127">
            <v>49</v>
          </cell>
          <cell r="J127"/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/>
          <cell r="P127">
            <v>49</v>
          </cell>
          <cell r="Q127">
            <v>26</v>
          </cell>
          <cell r="R127">
            <v>0.53061224489795922</v>
          </cell>
          <cell r="S127">
            <v>24310</v>
          </cell>
          <cell r="T127"/>
          <cell r="U127">
            <v>26</v>
          </cell>
          <cell r="V127">
            <v>24310</v>
          </cell>
        </row>
        <row r="128">
          <cell r="E128">
            <v>2049</v>
          </cell>
          <cell r="F128" t="str">
            <v>Watling Park School **</v>
          </cell>
          <cell r="G128" t="str">
            <v>Free School</v>
          </cell>
          <cell r="H128" t="str">
            <v>Hendon</v>
          </cell>
          <cell r="I128">
            <v>43</v>
          </cell>
          <cell r="J128"/>
          <cell r="K128">
            <v>43</v>
          </cell>
          <cell r="L128">
            <v>11.666666666666668</v>
          </cell>
          <cell r="M128">
            <v>0.27131782945736438</v>
          </cell>
          <cell r="N128">
            <v>15400.000000000002</v>
          </cell>
          <cell r="O128"/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/>
          <cell r="U128">
            <v>11.666666666666668</v>
          </cell>
          <cell r="V128">
            <v>15400.000000000002</v>
          </cell>
        </row>
        <row r="129"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R20152016_BenchMarkDataReport"/>
    </sheetNames>
    <sheetDataSet>
      <sheetData sheetId="0">
        <row r="3">
          <cell r="B3" t="str">
            <v>Estab Number</v>
          </cell>
          <cell r="C3" t="str">
            <v>School Name</v>
          </cell>
          <cell r="D3" t="str">
            <v>Federated Flag</v>
          </cell>
          <cell r="E3" t="str">
            <v>Status</v>
          </cell>
          <cell r="F3" t="str">
            <v>Errors</v>
          </cell>
          <cell r="G3" t="str">
            <v>OK Errors</v>
          </cell>
          <cell r="H3" t="str">
            <v>Financial Year</v>
          </cell>
          <cell r="I3" t="str">
            <v>Input System</v>
          </cell>
          <cell r="J3" t="str">
            <v>Data Prep</v>
          </cell>
          <cell r="K3" t="str">
            <v>Data Version</v>
          </cell>
          <cell r="L3" t="str">
            <v>Full Year</v>
          </cell>
          <cell r="M3" t="str">
            <v>Cash Or Accrual</v>
          </cell>
          <cell r="N3" t="str">
            <v>Rates Exempt</v>
          </cell>
          <cell r="O3" t="str">
            <v>Insurance</v>
          </cell>
          <cell r="P3" t="str">
            <v>OB01</v>
          </cell>
          <cell r="Q3" t="str">
            <v>OB02</v>
          </cell>
          <cell r="R3" t="str">
            <v>OB03</v>
          </cell>
          <cell r="S3" t="str">
            <v>I01</v>
          </cell>
          <cell r="T3" t="str">
            <v>I02</v>
          </cell>
          <cell r="U3" t="str">
            <v>I03</v>
          </cell>
          <cell r="V3" t="str">
            <v>I04</v>
          </cell>
          <cell r="W3" t="str">
            <v>I05</v>
          </cell>
          <cell r="X3" t="str">
            <v>I06</v>
          </cell>
          <cell r="Y3" t="str">
            <v>I07</v>
          </cell>
          <cell r="Z3" t="str">
            <v>I08</v>
          </cell>
          <cell r="AA3" t="str">
            <v>I09</v>
          </cell>
          <cell r="AB3" t="str">
            <v>I10</v>
          </cell>
          <cell r="AC3" t="str">
            <v>I11</v>
          </cell>
          <cell r="AD3" t="str">
            <v>I12</v>
          </cell>
          <cell r="AE3" t="str">
            <v>I13</v>
          </cell>
          <cell r="AF3" t="str">
            <v>I15</v>
          </cell>
          <cell r="AG3" t="str">
            <v>I16</v>
          </cell>
          <cell r="AH3" t="str">
            <v>I17</v>
          </cell>
          <cell r="AI3" t="str">
            <v>I18</v>
          </cell>
          <cell r="AJ3" t="str">
            <v>E01</v>
          </cell>
          <cell r="AK3" t="str">
            <v>E02</v>
          </cell>
          <cell r="AL3" t="str">
            <v>E03</v>
          </cell>
          <cell r="AM3" t="str">
            <v>E04</v>
          </cell>
          <cell r="AN3" t="str">
            <v>E05</v>
          </cell>
          <cell r="AO3" t="str">
            <v>E06</v>
          </cell>
          <cell r="AP3" t="str">
            <v>E07</v>
          </cell>
          <cell r="AQ3" t="str">
            <v>E08</v>
          </cell>
          <cell r="AR3" t="str">
            <v>E09</v>
          </cell>
          <cell r="AS3" t="str">
            <v>E10</v>
          </cell>
          <cell r="AT3" t="str">
            <v>E11</v>
          </cell>
          <cell r="AU3" t="str">
            <v>E12</v>
          </cell>
          <cell r="AV3" t="str">
            <v>E13</v>
          </cell>
          <cell r="AW3" t="str">
            <v>E14</v>
          </cell>
          <cell r="AX3" t="str">
            <v>E15</v>
          </cell>
          <cell r="AY3" t="str">
            <v>E16</v>
          </cell>
          <cell r="AZ3" t="str">
            <v>E17</v>
          </cell>
          <cell r="BA3" t="str">
            <v>E18</v>
          </cell>
          <cell r="BB3" t="str">
            <v>E19</v>
          </cell>
          <cell r="BC3" t="str">
            <v>E20</v>
          </cell>
          <cell r="BD3" t="str">
            <v>E21</v>
          </cell>
          <cell r="BE3" t="str">
            <v>E22</v>
          </cell>
          <cell r="BF3" t="str">
            <v>E23</v>
          </cell>
          <cell r="BG3" t="str">
            <v>E24</v>
          </cell>
          <cell r="BH3" t="str">
            <v>E25</v>
          </cell>
          <cell r="BI3" t="str">
            <v>E26</v>
          </cell>
          <cell r="BJ3" t="str">
            <v>E27</v>
          </cell>
          <cell r="BK3" t="str">
            <v>E28</v>
          </cell>
          <cell r="BL3" t="str">
            <v>E29</v>
          </cell>
          <cell r="BM3" t="str">
            <v>E30</v>
          </cell>
          <cell r="BN3" t="str">
            <v>E31</v>
          </cell>
          <cell r="BO3" t="str">
            <v>E32</v>
          </cell>
        </row>
        <row r="4">
          <cell r="B4">
            <v>1000</v>
          </cell>
          <cell r="C4" t="str">
            <v>Brookhill Nursery School</v>
          </cell>
          <cell r="D4" t="str">
            <v>N</v>
          </cell>
          <cell r="E4" t="str">
            <v>Authorised</v>
          </cell>
          <cell r="F4">
            <v>0</v>
          </cell>
          <cell r="G4">
            <v>3</v>
          </cell>
          <cell r="H4" t="str">
            <v>20152016</v>
          </cell>
          <cell r="I4" t="str">
            <v>XG15</v>
          </cell>
          <cell r="J4" t="str">
            <v>Y</v>
          </cell>
          <cell r="K4" t="str">
            <v>Final</v>
          </cell>
          <cell r="L4" t="str">
            <v>Y</v>
          </cell>
          <cell r="M4" t="str">
            <v>Accruals</v>
          </cell>
          <cell r="N4" t="str">
            <v>Y</v>
          </cell>
          <cell r="O4" t="str">
            <v>Y</v>
          </cell>
          <cell r="P4">
            <v>307555</v>
          </cell>
          <cell r="Q4">
            <v>0</v>
          </cell>
          <cell r="R4">
            <v>-5415</v>
          </cell>
          <cell r="S4">
            <v>378766</v>
          </cell>
          <cell r="T4">
            <v>0</v>
          </cell>
          <cell r="U4">
            <v>0</v>
          </cell>
          <cell r="V4">
            <v>0</v>
          </cell>
          <cell r="W4">
            <v>2000</v>
          </cell>
          <cell r="X4">
            <v>49677.5</v>
          </cell>
          <cell r="Y4">
            <v>4580.8500000000004</v>
          </cell>
          <cell r="Z4">
            <v>171738.03</v>
          </cell>
          <cell r="AA4">
            <v>7607.35</v>
          </cell>
          <cell r="AB4">
            <v>2323.58</v>
          </cell>
          <cell r="AC4">
            <v>0</v>
          </cell>
          <cell r="AD4">
            <v>1263.29</v>
          </cell>
          <cell r="AE4">
            <v>4413.2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201343.79</v>
          </cell>
          <cell r="AK4">
            <v>0</v>
          </cell>
          <cell r="AL4">
            <v>337170.3</v>
          </cell>
          <cell r="AM4">
            <v>28382.07</v>
          </cell>
          <cell r="AN4">
            <v>35639.29</v>
          </cell>
          <cell r="AO4">
            <v>0</v>
          </cell>
          <cell r="AP4">
            <v>9010.3799999999992</v>
          </cell>
          <cell r="AQ4">
            <v>4017.46</v>
          </cell>
          <cell r="AR4">
            <v>9850.42</v>
          </cell>
          <cell r="AS4">
            <v>5896.57</v>
          </cell>
          <cell r="AT4">
            <v>1264.6400000000001</v>
          </cell>
          <cell r="AU4">
            <v>6889.06</v>
          </cell>
          <cell r="AV4">
            <v>2322.42</v>
          </cell>
          <cell r="AW4">
            <v>1210.68</v>
          </cell>
          <cell r="AX4">
            <v>1460.17</v>
          </cell>
          <cell r="AY4">
            <v>4958.75</v>
          </cell>
          <cell r="AZ4">
            <v>1992</v>
          </cell>
          <cell r="BA4">
            <v>6177.45</v>
          </cell>
          <cell r="BB4">
            <v>21031.85</v>
          </cell>
          <cell r="BC4">
            <v>9532.7900000000009</v>
          </cell>
          <cell r="BD4">
            <v>0</v>
          </cell>
          <cell r="BE4">
            <v>7465.02</v>
          </cell>
          <cell r="BF4">
            <v>973.79</v>
          </cell>
          <cell r="BG4">
            <v>5231.63</v>
          </cell>
          <cell r="BH4">
            <v>11709.95</v>
          </cell>
          <cell r="BI4">
            <v>560</v>
          </cell>
          <cell r="BJ4">
            <v>1470</v>
          </cell>
          <cell r="BK4">
            <v>19906.32</v>
          </cell>
          <cell r="BL4">
            <v>0</v>
          </cell>
          <cell r="BM4">
            <v>49099</v>
          </cell>
          <cell r="BN4">
            <v>0</v>
          </cell>
          <cell r="BO4">
            <v>0</v>
          </cell>
        </row>
        <row r="5">
          <cell r="B5">
            <v>1001</v>
          </cell>
          <cell r="C5" t="str">
            <v>Hampden Way Nursery School</v>
          </cell>
          <cell r="D5" t="str">
            <v>N</v>
          </cell>
          <cell r="E5" t="str">
            <v>Authorised</v>
          </cell>
          <cell r="F5">
            <v>0</v>
          </cell>
          <cell r="G5">
            <v>3</v>
          </cell>
          <cell r="H5" t="str">
            <v>20152016</v>
          </cell>
          <cell r="I5" t="str">
            <v>XG15</v>
          </cell>
          <cell r="J5" t="str">
            <v>Y</v>
          </cell>
          <cell r="K5" t="str">
            <v>Final</v>
          </cell>
          <cell r="L5" t="str">
            <v>Y</v>
          </cell>
          <cell r="M5" t="str">
            <v>Accruals</v>
          </cell>
          <cell r="N5" t="str">
            <v>Y</v>
          </cell>
          <cell r="O5" t="str">
            <v>Y</v>
          </cell>
          <cell r="P5">
            <v>166912</v>
          </cell>
          <cell r="Q5">
            <v>15480</v>
          </cell>
          <cell r="R5">
            <v>13447</v>
          </cell>
          <cell r="S5">
            <v>333900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74904</v>
          </cell>
          <cell r="Y5">
            <v>12493.4</v>
          </cell>
          <cell r="Z5">
            <v>122161.02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5017.25</v>
          </cell>
          <cell r="AF5">
            <v>0</v>
          </cell>
          <cell r="AG5">
            <v>198823</v>
          </cell>
          <cell r="AH5">
            <v>1845.07</v>
          </cell>
          <cell r="AI5">
            <v>0</v>
          </cell>
          <cell r="AJ5">
            <v>162956.62</v>
          </cell>
          <cell r="AK5">
            <v>0</v>
          </cell>
          <cell r="AL5">
            <v>218959.15</v>
          </cell>
          <cell r="AM5">
            <v>22163.57</v>
          </cell>
          <cell r="AN5">
            <v>37335.69</v>
          </cell>
          <cell r="AO5">
            <v>0</v>
          </cell>
          <cell r="AP5">
            <v>14766.01</v>
          </cell>
          <cell r="AQ5">
            <v>2367.25</v>
          </cell>
          <cell r="AR5">
            <v>2174.77</v>
          </cell>
          <cell r="AS5">
            <v>4772.7</v>
          </cell>
          <cell r="AT5">
            <v>377.8</v>
          </cell>
          <cell r="AU5">
            <v>5541.51</v>
          </cell>
          <cell r="AV5">
            <v>385</v>
          </cell>
          <cell r="AW5">
            <v>671.34</v>
          </cell>
          <cell r="AX5">
            <v>688.78</v>
          </cell>
          <cell r="AY5">
            <v>951.61</v>
          </cell>
          <cell r="AZ5">
            <v>12571.5</v>
          </cell>
          <cell r="BA5">
            <v>2880.1</v>
          </cell>
          <cell r="BB5">
            <v>11846.48</v>
          </cell>
          <cell r="BC5">
            <v>4721.78</v>
          </cell>
          <cell r="BD5">
            <v>0</v>
          </cell>
          <cell r="BE5">
            <v>7161.79</v>
          </cell>
          <cell r="BF5">
            <v>505.86</v>
          </cell>
          <cell r="BG5">
            <v>4000.2</v>
          </cell>
          <cell r="BH5">
            <v>761.27</v>
          </cell>
          <cell r="BI5">
            <v>0.42</v>
          </cell>
          <cell r="BJ5">
            <v>16522.259999999998</v>
          </cell>
          <cell r="BK5">
            <v>13309.21</v>
          </cell>
          <cell r="BL5">
            <v>0</v>
          </cell>
          <cell r="BM5">
            <v>0</v>
          </cell>
          <cell r="BN5">
            <v>166647.21</v>
          </cell>
          <cell r="BO5">
            <v>24179.7</v>
          </cell>
        </row>
        <row r="6">
          <cell r="B6">
            <v>1002</v>
          </cell>
          <cell r="C6" t="str">
            <v>Moss Hall Nursery School</v>
          </cell>
          <cell r="D6" t="str">
            <v>N</v>
          </cell>
          <cell r="E6" t="str">
            <v>Authorised</v>
          </cell>
          <cell r="F6">
            <v>0</v>
          </cell>
          <cell r="G6">
            <v>1</v>
          </cell>
          <cell r="H6" t="str">
            <v>20152016</v>
          </cell>
          <cell r="I6" t="str">
            <v>XG15</v>
          </cell>
          <cell r="J6" t="str">
            <v>Y</v>
          </cell>
          <cell r="K6" t="str">
            <v>Final</v>
          </cell>
          <cell r="L6" t="str">
            <v>Y</v>
          </cell>
          <cell r="M6" t="str">
            <v>Accruals</v>
          </cell>
          <cell r="N6" t="str">
            <v>Y</v>
          </cell>
          <cell r="O6" t="str">
            <v>Y</v>
          </cell>
          <cell r="P6">
            <v>246609</v>
          </cell>
          <cell r="Q6">
            <v>0</v>
          </cell>
          <cell r="R6">
            <v>4861</v>
          </cell>
          <cell r="S6">
            <v>459199</v>
          </cell>
          <cell r="T6">
            <v>0</v>
          </cell>
          <cell r="U6">
            <v>3492</v>
          </cell>
          <cell r="V6">
            <v>0</v>
          </cell>
          <cell r="W6">
            <v>0</v>
          </cell>
          <cell r="X6">
            <v>2135</v>
          </cell>
          <cell r="Y6">
            <v>0</v>
          </cell>
          <cell r="Z6">
            <v>234325.95</v>
          </cell>
          <cell r="AA6">
            <v>15745.87</v>
          </cell>
          <cell r="AB6">
            <v>14192.8</v>
          </cell>
          <cell r="AC6">
            <v>0</v>
          </cell>
          <cell r="AD6">
            <v>0</v>
          </cell>
          <cell r="AE6">
            <v>3522.92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229247.08</v>
          </cell>
          <cell r="AK6">
            <v>4609.8</v>
          </cell>
          <cell r="AL6">
            <v>271956.12</v>
          </cell>
          <cell r="AM6">
            <v>25572.26</v>
          </cell>
          <cell r="AN6">
            <v>32185.200000000001</v>
          </cell>
          <cell r="AO6">
            <v>0</v>
          </cell>
          <cell r="AP6">
            <v>32267.24</v>
          </cell>
          <cell r="AQ6">
            <v>3053.27</v>
          </cell>
          <cell r="AR6">
            <v>1377.95</v>
          </cell>
          <cell r="AS6">
            <v>3190.73</v>
          </cell>
          <cell r="AT6">
            <v>4406.75</v>
          </cell>
          <cell r="AU6">
            <v>5065.41</v>
          </cell>
          <cell r="AV6">
            <v>4296.25</v>
          </cell>
          <cell r="AW6">
            <v>711.98</v>
          </cell>
          <cell r="AX6">
            <v>971.46</v>
          </cell>
          <cell r="AY6">
            <v>5504.78</v>
          </cell>
          <cell r="AZ6">
            <v>5166.5</v>
          </cell>
          <cell r="BA6">
            <v>2704.2</v>
          </cell>
          <cell r="BB6">
            <v>10753.95</v>
          </cell>
          <cell r="BC6">
            <v>6235.72</v>
          </cell>
          <cell r="BD6">
            <v>0</v>
          </cell>
          <cell r="BE6">
            <v>4352.08</v>
          </cell>
          <cell r="BF6">
            <v>1151.54</v>
          </cell>
          <cell r="BG6">
            <v>2376.7600000000002</v>
          </cell>
          <cell r="BH6">
            <v>15335.08</v>
          </cell>
          <cell r="BI6">
            <v>12030</v>
          </cell>
          <cell r="BJ6">
            <v>2391.69</v>
          </cell>
          <cell r="BK6">
            <v>16731.740000000002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</row>
        <row r="7">
          <cell r="B7">
            <v>1003</v>
          </cell>
          <cell r="C7" t="str">
            <v>St Margaret's Nursery School</v>
          </cell>
          <cell r="D7" t="str">
            <v>N</v>
          </cell>
          <cell r="E7" t="str">
            <v>Authorised</v>
          </cell>
          <cell r="F7">
            <v>0</v>
          </cell>
          <cell r="G7">
            <v>3</v>
          </cell>
          <cell r="H7" t="str">
            <v>20152016</v>
          </cell>
          <cell r="I7" t="str">
            <v>XG15</v>
          </cell>
          <cell r="J7" t="str">
            <v>Y</v>
          </cell>
          <cell r="K7" t="str">
            <v>Final</v>
          </cell>
          <cell r="L7" t="str">
            <v>Y</v>
          </cell>
          <cell r="M7" t="str">
            <v>Accruals</v>
          </cell>
          <cell r="N7" t="str">
            <v>N</v>
          </cell>
          <cell r="O7" t="str">
            <v>Y</v>
          </cell>
          <cell r="P7">
            <v>173715</v>
          </cell>
          <cell r="Q7">
            <v>15893</v>
          </cell>
          <cell r="R7">
            <v>6997</v>
          </cell>
          <cell r="S7">
            <v>473027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25715.3</v>
          </cell>
          <cell r="Y7">
            <v>349</v>
          </cell>
          <cell r="Z7">
            <v>180990.35</v>
          </cell>
          <cell r="AA7">
            <v>5767.3</v>
          </cell>
          <cell r="AB7">
            <v>9063</v>
          </cell>
          <cell r="AC7">
            <v>10184.280000000001</v>
          </cell>
          <cell r="AD7">
            <v>0</v>
          </cell>
          <cell r="AE7">
            <v>4146.1899999999996</v>
          </cell>
          <cell r="AF7">
            <v>0</v>
          </cell>
          <cell r="AG7">
            <v>80018</v>
          </cell>
          <cell r="AH7">
            <v>784.46</v>
          </cell>
          <cell r="AI7">
            <v>0</v>
          </cell>
          <cell r="AJ7">
            <v>201220.05</v>
          </cell>
          <cell r="AK7">
            <v>2820.06</v>
          </cell>
          <cell r="AL7">
            <v>360180.39</v>
          </cell>
          <cell r="AM7">
            <v>24113.759999999998</v>
          </cell>
          <cell r="AN7">
            <v>43390.47</v>
          </cell>
          <cell r="AO7">
            <v>0</v>
          </cell>
          <cell r="AP7">
            <v>29803.97</v>
          </cell>
          <cell r="AQ7">
            <v>2655.1</v>
          </cell>
          <cell r="AR7">
            <v>744</v>
          </cell>
          <cell r="AS7">
            <v>7286.01</v>
          </cell>
          <cell r="AT7">
            <v>462</v>
          </cell>
          <cell r="AU7">
            <v>6943.97</v>
          </cell>
          <cell r="AV7">
            <v>880.51</v>
          </cell>
          <cell r="AW7">
            <v>1892.99</v>
          </cell>
          <cell r="AX7">
            <v>1270.43</v>
          </cell>
          <cell r="AY7">
            <v>5951.07</v>
          </cell>
          <cell r="AZ7">
            <v>7438.5</v>
          </cell>
          <cell r="BA7">
            <v>3468.32</v>
          </cell>
          <cell r="BB7">
            <v>16093.67</v>
          </cell>
          <cell r="BC7">
            <v>7155.28</v>
          </cell>
          <cell r="BD7">
            <v>0</v>
          </cell>
          <cell r="BE7">
            <v>10325.89</v>
          </cell>
          <cell r="BF7">
            <v>1786.12</v>
          </cell>
          <cell r="BG7">
            <v>1031.0999999999999</v>
          </cell>
          <cell r="BH7">
            <v>13865.56</v>
          </cell>
          <cell r="BI7">
            <v>0</v>
          </cell>
          <cell r="BJ7">
            <v>2479</v>
          </cell>
          <cell r="BK7">
            <v>20647.77</v>
          </cell>
          <cell r="BL7">
            <v>0</v>
          </cell>
          <cell r="BM7">
            <v>0</v>
          </cell>
          <cell r="BN7">
            <v>54253.5</v>
          </cell>
          <cell r="BO7">
            <v>19876.39</v>
          </cell>
        </row>
        <row r="8">
          <cell r="B8">
            <v>1100</v>
          </cell>
          <cell r="C8" t="str">
            <v>Pavilion</v>
          </cell>
          <cell r="D8" t="str">
            <v>N</v>
          </cell>
          <cell r="E8" t="str">
            <v>Authorised</v>
          </cell>
          <cell r="F8">
            <v>0</v>
          </cell>
          <cell r="G8">
            <v>1</v>
          </cell>
          <cell r="H8" t="str">
            <v>20152016</v>
          </cell>
          <cell r="I8" t="str">
            <v>XG15</v>
          </cell>
          <cell r="J8" t="str">
            <v>Y</v>
          </cell>
          <cell r="K8" t="str">
            <v>Final</v>
          </cell>
          <cell r="L8" t="str">
            <v>Y</v>
          </cell>
          <cell r="M8" t="str">
            <v>Accruals</v>
          </cell>
          <cell r="N8" t="str">
            <v>N</v>
          </cell>
          <cell r="O8" t="str">
            <v>Y</v>
          </cell>
          <cell r="P8">
            <v>55241</v>
          </cell>
          <cell r="Q8">
            <v>0</v>
          </cell>
          <cell r="R8">
            <v>4316</v>
          </cell>
          <cell r="S8">
            <v>1261087</v>
          </cell>
          <cell r="T8">
            <v>0</v>
          </cell>
          <cell r="U8">
            <v>876123</v>
          </cell>
          <cell r="V8">
            <v>0</v>
          </cell>
          <cell r="W8">
            <v>146037.74</v>
          </cell>
          <cell r="X8">
            <v>68667.509999999995</v>
          </cell>
          <cell r="Y8">
            <v>23670.84</v>
          </cell>
          <cell r="Z8">
            <v>74510.73</v>
          </cell>
          <cell r="AA8">
            <v>185</v>
          </cell>
          <cell r="AB8">
            <v>23940</v>
          </cell>
          <cell r="AC8">
            <v>1365</v>
          </cell>
          <cell r="AD8">
            <v>40</v>
          </cell>
          <cell r="AE8">
            <v>200</v>
          </cell>
          <cell r="AF8">
            <v>0</v>
          </cell>
          <cell r="AG8">
            <v>0</v>
          </cell>
          <cell r="AH8">
            <v>0</v>
          </cell>
          <cell r="AI8">
            <v>5186</v>
          </cell>
          <cell r="AJ8">
            <v>1385219.72</v>
          </cell>
          <cell r="AK8">
            <v>48095.8</v>
          </cell>
          <cell r="AL8">
            <v>316713</v>
          </cell>
          <cell r="AM8">
            <v>32756.880000000001</v>
          </cell>
          <cell r="AN8">
            <v>22692.68</v>
          </cell>
          <cell r="AO8">
            <v>0</v>
          </cell>
          <cell r="AP8">
            <v>0</v>
          </cell>
          <cell r="AQ8">
            <v>13690.15</v>
          </cell>
          <cell r="AR8">
            <v>7347.42</v>
          </cell>
          <cell r="AS8">
            <v>10246.11</v>
          </cell>
          <cell r="AT8">
            <v>1229</v>
          </cell>
          <cell r="AU8">
            <v>9485.33</v>
          </cell>
          <cell r="AV8">
            <v>3407.5</v>
          </cell>
          <cell r="AW8">
            <v>14215.3</v>
          </cell>
          <cell r="AX8">
            <v>1351.42</v>
          </cell>
          <cell r="AY8">
            <v>11838.18</v>
          </cell>
          <cell r="AZ8">
            <v>0</v>
          </cell>
          <cell r="BA8">
            <v>12321.68</v>
          </cell>
          <cell r="BB8">
            <v>38066.5</v>
          </cell>
          <cell r="BC8">
            <v>22635.8</v>
          </cell>
          <cell r="BD8">
            <v>14667.61</v>
          </cell>
          <cell r="BE8">
            <v>21484.38</v>
          </cell>
          <cell r="BF8">
            <v>927</v>
          </cell>
          <cell r="BG8">
            <v>8582.99</v>
          </cell>
          <cell r="BH8">
            <v>30798.32</v>
          </cell>
          <cell r="BI8">
            <v>152728.09</v>
          </cell>
          <cell r="BJ8">
            <v>57700.54</v>
          </cell>
          <cell r="BK8">
            <v>37261.42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</row>
        <row r="9">
          <cell r="B9">
            <v>1102</v>
          </cell>
          <cell r="C9" t="str">
            <v>Northgate</v>
          </cell>
          <cell r="D9" t="str">
            <v>N</v>
          </cell>
          <cell r="E9" t="str">
            <v>Authorised</v>
          </cell>
          <cell r="F9">
            <v>0</v>
          </cell>
          <cell r="G9">
            <v>2</v>
          </cell>
          <cell r="H9" t="str">
            <v>20152016</v>
          </cell>
          <cell r="I9" t="str">
            <v>XG15</v>
          </cell>
          <cell r="J9" t="str">
            <v>Y</v>
          </cell>
          <cell r="K9" t="str">
            <v>Final</v>
          </cell>
          <cell r="L9" t="str">
            <v>Y</v>
          </cell>
          <cell r="M9" t="str">
            <v>Accruals</v>
          </cell>
          <cell r="N9" t="str">
            <v>N</v>
          </cell>
          <cell r="O9" t="str">
            <v>Y</v>
          </cell>
          <cell r="P9">
            <v>186</v>
          </cell>
          <cell r="Q9">
            <v>0</v>
          </cell>
          <cell r="R9">
            <v>4743</v>
          </cell>
          <cell r="S9">
            <v>391673</v>
          </cell>
          <cell r="T9">
            <v>0</v>
          </cell>
          <cell r="U9">
            <v>29491</v>
          </cell>
          <cell r="V9">
            <v>0</v>
          </cell>
          <cell r="W9">
            <v>18232.39</v>
          </cell>
          <cell r="X9">
            <v>144226.78</v>
          </cell>
          <cell r="Y9">
            <v>5671</v>
          </cell>
          <cell r="Z9">
            <v>2354.0500000000002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1103.5899999999999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301378.96000000002</v>
          </cell>
          <cell r="AK9">
            <v>0</v>
          </cell>
          <cell r="AL9">
            <v>43109.59</v>
          </cell>
          <cell r="AM9">
            <v>0</v>
          </cell>
          <cell r="AN9">
            <v>81899.86</v>
          </cell>
          <cell r="AO9">
            <v>0</v>
          </cell>
          <cell r="AP9">
            <v>0</v>
          </cell>
          <cell r="AQ9">
            <v>1453.42</v>
          </cell>
          <cell r="AR9">
            <v>929.5</v>
          </cell>
          <cell r="AS9">
            <v>0</v>
          </cell>
          <cell r="AT9">
            <v>0</v>
          </cell>
          <cell r="AU9">
            <v>3681.77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2950</v>
          </cell>
          <cell r="BB9">
            <v>3093.71</v>
          </cell>
          <cell r="BC9">
            <v>5691.76</v>
          </cell>
          <cell r="BD9">
            <v>525.54999999999995</v>
          </cell>
          <cell r="BE9">
            <v>5864.69</v>
          </cell>
          <cell r="BF9">
            <v>1000</v>
          </cell>
          <cell r="BG9">
            <v>5550</v>
          </cell>
          <cell r="BH9">
            <v>931</v>
          </cell>
          <cell r="BI9">
            <v>29560</v>
          </cell>
          <cell r="BJ9">
            <v>16229.58</v>
          </cell>
          <cell r="BK9">
            <v>16243.42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</row>
        <row r="10">
          <cell r="B10">
            <v>2002</v>
          </cell>
          <cell r="C10" t="str">
            <v>Barnfield School</v>
          </cell>
          <cell r="D10" t="str">
            <v>N</v>
          </cell>
          <cell r="E10" t="str">
            <v>Authorised</v>
          </cell>
          <cell r="F10">
            <v>0</v>
          </cell>
          <cell r="G10">
            <v>0</v>
          </cell>
          <cell r="H10" t="str">
            <v>20152016</v>
          </cell>
          <cell r="I10" t="str">
            <v>XG15</v>
          </cell>
          <cell r="J10" t="str">
            <v>Y</v>
          </cell>
          <cell r="K10" t="str">
            <v>Final</v>
          </cell>
          <cell r="L10" t="str">
            <v>Y</v>
          </cell>
          <cell r="M10" t="str">
            <v>Accruals</v>
          </cell>
          <cell r="N10" t="str">
            <v>Y</v>
          </cell>
          <cell r="O10" t="str">
            <v>Y</v>
          </cell>
          <cell r="P10">
            <v>303212</v>
          </cell>
          <cell r="Q10">
            <v>45516</v>
          </cell>
          <cell r="R10">
            <v>9720</v>
          </cell>
          <cell r="S10">
            <v>2399180</v>
          </cell>
          <cell r="T10">
            <v>0</v>
          </cell>
          <cell r="U10">
            <v>117083</v>
          </cell>
          <cell r="V10">
            <v>0</v>
          </cell>
          <cell r="W10">
            <v>412661</v>
          </cell>
          <cell r="X10">
            <v>6715</v>
          </cell>
          <cell r="Y10">
            <v>185</v>
          </cell>
          <cell r="Z10">
            <v>52077.06</v>
          </cell>
          <cell r="AA10">
            <v>38170.910000000003</v>
          </cell>
          <cell r="AB10">
            <v>15390</v>
          </cell>
          <cell r="AC10">
            <v>2914.1</v>
          </cell>
          <cell r="AD10">
            <v>21374.99</v>
          </cell>
          <cell r="AE10">
            <v>2054.08</v>
          </cell>
          <cell r="AF10">
            <v>0</v>
          </cell>
          <cell r="AG10">
            <v>292699</v>
          </cell>
          <cell r="AH10">
            <v>6195.04</v>
          </cell>
          <cell r="AI10">
            <v>24033.65</v>
          </cell>
          <cell r="AJ10">
            <v>1260257.67</v>
          </cell>
          <cell r="AK10">
            <v>0</v>
          </cell>
          <cell r="AL10">
            <v>671024.03</v>
          </cell>
          <cell r="AM10">
            <v>38399.760000000002</v>
          </cell>
          <cell r="AN10">
            <v>57692.2</v>
          </cell>
          <cell r="AO10">
            <v>0</v>
          </cell>
          <cell r="AP10">
            <v>95999.81</v>
          </cell>
          <cell r="AQ10">
            <v>35475.14</v>
          </cell>
          <cell r="AR10">
            <v>11568.37</v>
          </cell>
          <cell r="AS10">
            <v>13511.63</v>
          </cell>
          <cell r="AT10">
            <v>15255.82</v>
          </cell>
          <cell r="AU10">
            <v>41043.42</v>
          </cell>
          <cell r="AV10">
            <v>338.65</v>
          </cell>
          <cell r="AW10">
            <v>66303.38</v>
          </cell>
          <cell r="AX10">
            <v>2910.74</v>
          </cell>
          <cell r="AY10">
            <v>32817.81</v>
          </cell>
          <cell r="AZ10">
            <v>22597.98</v>
          </cell>
          <cell r="BA10">
            <v>12423.17</v>
          </cell>
          <cell r="BB10">
            <v>140705.21</v>
          </cell>
          <cell r="BC10">
            <v>22440.39</v>
          </cell>
          <cell r="BD10">
            <v>0</v>
          </cell>
          <cell r="BE10">
            <v>36767.15</v>
          </cell>
          <cell r="BF10">
            <v>13681.97</v>
          </cell>
          <cell r="BG10">
            <v>23808.720000000001</v>
          </cell>
          <cell r="BH10">
            <v>118272.87</v>
          </cell>
          <cell r="BI10">
            <v>76400.5</v>
          </cell>
          <cell r="BJ10">
            <v>206154.72</v>
          </cell>
          <cell r="BK10">
            <v>21973.68</v>
          </cell>
          <cell r="BL10">
            <v>0</v>
          </cell>
          <cell r="BM10">
            <v>38939</v>
          </cell>
          <cell r="BN10">
            <v>223904.76</v>
          </cell>
          <cell r="BO10">
            <v>51464.18</v>
          </cell>
        </row>
        <row r="11">
          <cell r="B11">
            <v>2003</v>
          </cell>
          <cell r="C11" t="str">
            <v>Bell Lane School</v>
          </cell>
          <cell r="D11" t="str">
            <v>N</v>
          </cell>
          <cell r="E11" t="str">
            <v>Authorised</v>
          </cell>
          <cell r="F11">
            <v>0</v>
          </cell>
          <cell r="G11">
            <v>0</v>
          </cell>
          <cell r="H11" t="str">
            <v>20152016</v>
          </cell>
          <cell r="I11" t="str">
            <v>XG15</v>
          </cell>
          <cell r="J11" t="str">
            <v>Y</v>
          </cell>
          <cell r="K11" t="str">
            <v>Final</v>
          </cell>
          <cell r="L11" t="str">
            <v>Y</v>
          </cell>
          <cell r="M11" t="str">
            <v>Accruals</v>
          </cell>
          <cell r="N11" t="str">
            <v>Y</v>
          </cell>
          <cell r="O11" t="str">
            <v>Y</v>
          </cell>
          <cell r="P11">
            <v>54737</v>
          </cell>
          <cell r="Q11">
            <v>14060</v>
          </cell>
          <cell r="R11">
            <v>0</v>
          </cell>
          <cell r="S11">
            <v>1929323</v>
          </cell>
          <cell r="T11">
            <v>0</v>
          </cell>
          <cell r="U11">
            <v>66319</v>
          </cell>
          <cell r="V11">
            <v>0</v>
          </cell>
          <cell r="W11">
            <v>234140</v>
          </cell>
          <cell r="X11">
            <v>1500</v>
          </cell>
          <cell r="Y11">
            <v>5390.6</v>
          </cell>
          <cell r="Z11">
            <v>55362.28</v>
          </cell>
          <cell r="AA11">
            <v>29175.26</v>
          </cell>
          <cell r="AB11">
            <v>10431</v>
          </cell>
          <cell r="AC11">
            <v>1797.08</v>
          </cell>
          <cell r="AD11">
            <v>15555.12</v>
          </cell>
          <cell r="AE11">
            <v>3124.42</v>
          </cell>
          <cell r="AF11">
            <v>0</v>
          </cell>
          <cell r="AG11">
            <v>240744.6</v>
          </cell>
          <cell r="AH11">
            <v>7214.91</v>
          </cell>
          <cell r="AI11">
            <v>52821.23</v>
          </cell>
          <cell r="AJ11">
            <v>1009129.84</v>
          </cell>
          <cell r="AK11">
            <v>18196.37</v>
          </cell>
          <cell r="AL11">
            <v>405692.37</v>
          </cell>
          <cell r="AM11">
            <v>44572.17</v>
          </cell>
          <cell r="AN11">
            <v>78688.639999999999</v>
          </cell>
          <cell r="AO11">
            <v>0</v>
          </cell>
          <cell r="AP11">
            <v>57466.96</v>
          </cell>
          <cell r="AQ11">
            <v>27346.18</v>
          </cell>
          <cell r="AR11">
            <v>19396.310000000001</v>
          </cell>
          <cell r="AS11">
            <v>19333.04</v>
          </cell>
          <cell r="AT11">
            <v>1561.14</v>
          </cell>
          <cell r="AU11">
            <v>30480.23</v>
          </cell>
          <cell r="AV11">
            <v>2768.42</v>
          </cell>
          <cell r="AW11">
            <v>39321.46</v>
          </cell>
          <cell r="AX11">
            <v>7499.36</v>
          </cell>
          <cell r="AY11">
            <v>24164.66</v>
          </cell>
          <cell r="AZ11">
            <v>11524.22</v>
          </cell>
          <cell r="BA11">
            <v>8105.89</v>
          </cell>
          <cell r="BB11">
            <v>85039.84</v>
          </cell>
          <cell r="BC11">
            <v>21997.81</v>
          </cell>
          <cell r="BD11">
            <v>0</v>
          </cell>
          <cell r="BE11">
            <v>52902.25</v>
          </cell>
          <cell r="BF11">
            <v>8218.6</v>
          </cell>
          <cell r="BG11">
            <v>15961.82</v>
          </cell>
          <cell r="BH11">
            <v>106369.15</v>
          </cell>
          <cell r="BI11">
            <v>73879</v>
          </cell>
          <cell r="BJ11">
            <v>202821.69</v>
          </cell>
          <cell r="BK11">
            <v>40476.800000000003</v>
          </cell>
          <cell r="BL11">
            <v>0</v>
          </cell>
          <cell r="BM11">
            <v>1901.77</v>
          </cell>
          <cell r="BN11">
            <v>208067.43</v>
          </cell>
          <cell r="BO11">
            <v>25105.84</v>
          </cell>
        </row>
        <row r="12">
          <cell r="B12">
            <v>2007</v>
          </cell>
          <cell r="C12" t="str">
            <v>Brookland Junior School</v>
          </cell>
          <cell r="D12" t="str">
            <v>N</v>
          </cell>
          <cell r="E12" t="str">
            <v>Authorised</v>
          </cell>
          <cell r="F12">
            <v>0</v>
          </cell>
          <cell r="G12">
            <v>0</v>
          </cell>
          <cell r="H12" t="str">
            <v>20152016</v>
          </cell>
          <cell r="I12" t="str">
            <v>XG15</v>
          </cell>
          <cell r="J12" t="str">
            <v>Y</v>
          </cell>
          <cell r="K12" t="str">
            <v>Final</v>
          </cell>
          <cell r="L12" t="str">
            <v>Y</v>
          </cell>
          <cell r="M12" t="str">
            <v>Accruals</v>
          </cell>
          <cell r="N12" t="str">
            <v>Y</v>
          </cell>
          <cell r="O12" t="str">
            <v>Y</v>
          </cell>
          <cell r="P12">
            <v>160695</v>
          </cell>
          <cell r="Q12">
            <v>0</v>
          </cell>
          <cell r="R12">
            <v>10387</v>
          </cell>
          <cell r="S12">
            <v>1418320.25</v>
          </cell>
          <cell r="T12">
            <v>0</v>
          </cell>
          <cell r="U12">
            <v>88558</v>
          </cell>
          <cell r="V12">
            <v>0</v>
          </cell>
          <cell r="W12">
            <v>75820</v>
          </cell>
          <cell r="X12">
            <v>4637</v>
          </cell>
          <cell r="Y12">
            <v>2305</v>
          </cell>
          <cell r="Z12">
            <v>38525.839999999997</v>
          </cell>
          <cell r="AA12">
            <v>60183.92</v>
          </cell>
          <cell r="AB12">
            <v>5130</v>
          </cell>
          <cell r="AC12">
            <v>0</v>
          </cell>
          <cell r="AD12">
            <v>49390.67</v>
          </cell>
          <cell r="AE12">
            <v>13526</v>
          </cell>
          <cell r="AF12">
            <v>0</v>
          </cell>
          <cell r="AG12">
            <v>0</v>
          </cell>
          <cell r="AH12">
            <v>0</v>
          </cell>
          <cell r="AI12">
            <v>9801.67</v>
          </cell>
          <cell r="AJ12">
            <v>828160.85</v>
          </cell>
          <cell r="AK12">
            <v>0</v>
          </cell>
          <cell r="AL12">
            <v>301630.55</v>
          </cell>
          <cell r="AM12">
            <v>36764.99</v>
          </cell>
          <cell r="AN12">
            <v>55052.42</v>
          </cell>
          <cell r="AO12">
            <v>0</v>
          </cell>
          <cell r="AP12">
            <v>30169.83</v>
          </cell>
          <cell r="AQ12">
            <v>13306.82</v>
          </cell>
          <cell r="AR12">
            <v>7832.9</v>
          </cell>
          <cell r="AS12">
            <v>14567.46</v>
          </cell>
          <cell r="AT12">
            <v>1499.4</v>
          </cell>
          <cell r="AU12">
            <v>25749.7</v>
          </cell>
          <cell r="AV12">
            <v>5271.42</v>
          </cell>
          <cell r="AW12">
            <v>19461.7</v>
          </cell>
          <cell r="AX12">
            <v>4118.59</v>
          </cell>
          <cell r="AY12">
            <v>21465.17</v>
          </cell>
          <cell r="AZ12">
            <v>13582.25</v>
          </cell>
          <cell r="BA12">
            <v>7446.96</v>
          </cell>
          <cell r="BB12">
            <v>91781.78</v>
          </cell>
          <cell r="BC12">
            <v>19970.310000000001</v>
          </cell>
          <cell r="BD12">
            <v>0</v>
          </cell>
          <cell r="BE12">
            <v>16234.72</v>
          </cell>
          <cell r="BF12">
            <v>7226.47</v>
          </cell>
          <cell r="BG12">
            <v>11777.63</v>
          </cell>
          <cell r="BH12">
            <v>69267.63</v>
          </cell>
          <cell r="BI12">
            <v>54420.9</v>
          </cell>
          <cell r="BJ12">
            <v>99564.68</v>
          </cell>
          <cell r="BK12">
            <v>28892.63</v>
          </cell>
          <cell r="BL12">
            <v>0</v>
          </cell>
          <cell r="BM12">
            <v>8024.59</v>
          </cell>
          <cell r="BN12">
            <v>0</v>
          </cell>
          <cell r="BO12">
            <v>0</v>
          </cell>
        </row>
        <row r="13">
          <cell r="B13">
            <v>2008</v>
          </cell>
          <cell r="C13" t="str">
            <v>Brookland Infant School</v>
          </cell>
          <cell r="D13" t="str">
            <v>N</v>
          </cell>
          <cell r="E13" t="str">
            <v>Authorised</v>
          </cell>
          <cell r="F13">
            <v>0</v>
          </cell>
          <cell r="G13">
            <v>0</v>
          </cell>
          <cell r="H13" t="str">
            <v>20152016</v>
          </cell>
          <cell r="I13" t="str">
            <v>XG15</v>
          </cell>
          <cell r="J13" t="str">
            <v>Y</v>
          </cell>
          <cell r="K13" t="str">
            <v>Final</v>
          </cell>
          <cell r="L13" t="str">
            <v>Y</v>
          </cell>
          <cell r="M13" t="str">
            <v>Accruals</v>
          </cell>
          <cell r="N13" t="str">
            <v>Y</v>
          </cell>
          <cell r="O13" t="str">
            <v>Y</v>
          </cell>
          <cell r="P13">
            <v>58030</v>
          </cell>
          <cell r="Q13">
            <v>0</v>
          </cell>
          <cell r="R13">
            <v>7330</v>
          </cell>
          <cell r="S13">
            <v>1254390.25</v>
          </cell>
          <cell r="T13">
            <v>0</v>
          </cell>
          <cell r="U13">
            <v>78470</v>
          </cell>
          <cell r="V13">
            <v>0</v>
          </cell>
          <cell r="W13">
            <v>48840</v>
          </cell>
          <cell r="X13">
            <v>670</v>
          </cell>
          <cell r="Y13">
            <v>1335</v>
          </cell>
          <cell r="Z13">
            <v>34666.04</v>
          </cell>
          <cell r="AA13">
            <v>4890.08</v>
          </cell>
          <cell r="AB13">
            <v>13303.8</v>
          </cell>
          <cell r="AC13">
            <v>775.81</v>
          </cell>
          <cell r="AD13">
            <v>24121.4</v>
          </cell>
          <cell r="AE13">
            <v>9376.68</v>
          </cell>
          <cell r="AF13">
            <v>0</v>
          </cell>
          <cell r="AG13">
            <v>0</v>
          </cell>
          <cell r="AH13">
            <v>0</v>
          </cell>
          <cell r="AI13">
            <v>108335.58</v>
          </cell>
          <cell r="AJ13">
            <v>676974.16</v>
          </cell>
          <cell r="AK13">
            <v>0</v>
          </cell>
          <cell r="AL13">
            <v>298599.01</v>
          </cell>
          <cell r="AM13">
            <v>36417.07</v>
          </cell>
          <cell r="AN13">
            <v>62971</v>
          </cell>
          <cell r="AO13">
            <v>0</v>
          </cell>
          <cell r="AP13">
            <v>29639.59</v>
          </cell>
          <cell r="AQ13">
            <v>7370.78</v>
          </cell>
          <cell r="AR13">
            <v>4658.96</v>
          </cell>
          <cell r="AS13">
            <v>8768.98</v>
          </cell>
          <cell r="AT13">
            <v>5732.2</v>
          </cell>
          <cell r="AU13">
            <v>18955.740000000002</v>
          </cell>
          <cell r="AV13">
            <v>3850.5</v>
          </cell>
          <cell r="AW13">
            <v>16303.18</v>
          </cell>
          <cell r="AX13">
            <v>4118.3100000000004</v>
          </cell>
          <cell r="AY13">
            <v>14875</v>
          </cell>
          <cell r="AZ13">
            <v>13582.25</v>
          </cell>
          <cell r="BA13">
            <v>6955.65</v>
          </cell>
          <cell r="BB13">
            <v>42349.31</v>
          </cell>
          <cell r="BC13">
            <v>15700.91</v>
          </cell>
          <cell r="BD13">
            <v>0</v>
          </cell>
          <cell r="BE13">
            <v>8469.81</v>
          </cell>
          <cell r="BF13">
            <v>6087.46</v>
          </cell>
          <cell r="BG13">
            <v>13998.18</v>
          </cell>
          <cell r="BH13">
            <v>95094.73</v>
          </cell>
          <cell r="BI13">
            <v>87624.95</v>
          </cell>
          <cell r="BJ13">
            <v>101004.11</v>
          </cell>
          <cell r="BK13">
            <v>30156.799999999999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</row>
        <row r="14">
          <cell r="B14">
            <v>2009</v>
          </cell>
          <cell r="C14" t="str">
            <v>Brunswick Park School</v>
          </cell>
          <cell r="D14" t="str">
            <v>N</v>
          </cell>
          <cell r="E14" t="str">
            <v>Authorised</v>
          </cell>
          <cell r="F14">
            <v>0</v>
          </cell>
          <cell r="G14">
            <v>0</v>
          </cell>
          <cell r="H14" t="str">
            <v>20152016</v>
          </cell>
          <cell r="I14" t="str">
            <v>XG15</v>
          </cell>
          <cell r="J14" t="str">
            <v>Y</v>
          </cell>
          <cell r="K14" t="str">
            <v>Final</v>
          </cell>
          <cell r="L14" t="str">
            <v>Y</v>
          </cell>
          <cell r="M14" t="str">
            <v>Accruals</v>
          </cell>
          <cell r="N14" t="str">
            <v>N</v>
          </cell>
          <cell r="O14" t="str">
            <v>Y</v>
          </cell>
          <cell r="P14">
            <v>204624</v>
          </cell>
          <cell r="Q14">
            <v>0</v>
          </cell>
          <cell r="R14">
            <v>2039</v>
          </cell>
          <cell r="S14">
            <v>1576342</v>
          </cell>
          <cell r="T14">
            <v>0</v>
          </cell>
          <cell r="U14">
            <v>18322</v>
          </cell>
          <cell r="V14">
            <v>0</v>
          </cell>
          <cell r="W14">
            <v>122760</v>
          </cell>
          <cell r="X14">
            <v>18678.099999999999</v>
          </cell>
          <cell r="Y14">
            <v>875</v>
          </cell>
          <cell r="Z14">
            <v>93911.99</v>
          </cell>
          <cell r="AA14">
            <v>27223.24</v>
          </cell>
          <cell r="AB14">
            <v>26419.26</v>
          </cell>
          <cell r="AC14">
            <v>7128.26</v>
          </cell>
          <cell r="AD14">
            <v>13154.46</v>
          </cell>
          <cell r="AE14">
            <v>16246.42</v>
          </cell>
          <cell r="AF14">
            <v>0</v>
          </cell>
          <cell r="AG14">
            <v>0</v>
          </cell>
          <cell r="AH14">
            <v>0</v>
          </cell>
          <cell r="AI14">
            <v>59980.08</v>
          </cell>
          <cell r="AJ14">
            <v>885544.79</v>
          </cell>
          <cell r="AK14">
            <v>0</v>
          </cell>
          <cell r="AL14">
            <v>409799.42</v>
          </cell>
          <cell r="AM14">
            <v>30898.51</v>
          </cell>
          <cell r="AN14">
            <v>70829.41</v>
          </cell>
          <cell r="AO14">
            <v>0</v>
          </cell>
          <cell r="AP14">
            <v>69509.06</v>
          </cell>
          <cell r="AQ14">
            <v>9793.4500000000007</v>
          </cell>
          <cell r="AR14">
            <v>13759.27</v>
          </cell>
          <cell r="AS14">
            <v>17785.060000000001</v>
          </cell>
          <cell r="AT14">
            <v>1378</v>
          </cell>
          <cell r="AU14">
            <v>23416.33</v>
          </cell>
          <cell r="AV14">
            <v>3397.5</v>
          </cell>
          <cell r="AW14">
            <v>31104.49</v>
          </cell>
          <cell r="AX14">
            <v>3678.6</v>
          </cell>
          <cell r="AY14">
            <v>17555.259999999998</v>
          </cell>
          <cell r="AZ14">
            <v>9247.5</v>
          </cell>
          <cell r="BA14">
            <v>7840.6</v>
          </cell>
          <cell r="BB14">
            <v>85926.98</v>
          </cell>
          <cell r="BC14">
            <v>14177.75</v>
          </cell>
          <cell r="BD14">
            <v>0</v>
          </cell>
          <cell r="BE14">
            <v>12536</v>
          </cell>
          <cell r="BF14">
            <v>6701.48</v>
          </cell>
          <cell r="BG14">
            <v>17573.669999999998</v>
          </cell>
          <cell r="BH14">
            <v>102955.1</v>
          </cell>
          <cell r="BI14">
            <v>29110.5</v>
          </cell>
          <cell r="BJ14">
            <v>140575.54999999999</v>
          </cell>
          <cell r="BK14">
            <v>26041.53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</row>
        <row r="15">
          <cell r="B15">
            <v>2010</v>
          </cell>
          <cell r="C15" t="str">
            <v>Childs Hill School</v>
          </cell>
          <cell r="D15" t="str">
            <v>N</v>
          </cell>
          <cell r="E15" t="str">
            <v>Authorised</v>
          </cell>
          <cell r="F15">
            <v>0</v>
          </cell>
          <cell r="G15">
            <v>3</v>
          </cell>
          <cell r="H15" t="str">
            <v>20152016</v>
          </cell>
          <cell r="I15" t="str">
            <v>XG15</v>
          </cell>
          <cell r="J15" t="str">
            <v>Y</v>
          </cell>
          <cell r="K15" t="str">
            <v>Final</v>
          </cell>
          <cell r="L15" t="str">
            <v>Y</v>
          </cell>
          <cell r="M15" t="str">
            <v>Accruals</v>
          </cell>
          <cell r="N15" t="str">
            <v>Y</v>
          </cell>
          <cell r="O15" t="str">
            <v>Y</v>
          </cell>
          <cell r="P15">
            <v>114846</v>
          </cell>
          <cell r="Q15">
            <v>9420</v>
          </cell>
          <cell r="R15">
            <v>1</v>
          </cell>
          <cell r="S15">
            <v>1812525</v>
          </cell>
          <cell r="T15">
            <v>0</v>
          </cell>
          <cell r="U15">
            <v>313664</v>
          </cell>
          <cell r="V15">
            <v>0</v>
          </cell>
          <cell r="W15">
            <v>186940.05</v>
          </cell>
          <cell r="X15">
            <v>18900</v>
          </cell>
          <cell r="Y15">
            <v>2140.2800000000002</v>
          </cell>
          <cell r="Z15">
            <v>37233.089999999997</v>
          </cell>
          <cell r="AA15">
            <v>29061.63</v>
          </cell>
          <cell r="AB15">
            <v>0</v>
          </cell>
          <cell r="AC15">
            <v>8807.19</v>
          </cell>
          <cell r="AD15">
            <v>13275.59</v>
          </cell>
          <cell r="AE15">
            <v>6766.27</v>
          </cell>
          <cell r="AF15">
            <v>0</v>
          </cell>
          <cell r="AG15">
            <v>232274</v>
          </cell>
          <cell r="AH15">
            <v>3991.9</v>
          </cell>
          <cell r="AI15">
            <v>16946.72</v>
          </cell>
          <cell r="AJ15">
            <v>1045040.05</v>
          </cell>
          <cell r="AK15">
            <v>0</v>
          </cell>
          <cell r="AL15">
            <v>584150.71</v>
          </cell>
          <cell r="AM15">
            <v>74368.990000000005</v>
          </cell>
          <cell r="AN15">
            <v>96265.07</v>
          </cell>
          <cell r="AO15">
            <v>0</v>
          </cell>
          <cell r="AP15">
            <v>42750.65</v>
          </cell>
          <cell r="AQ15">
            <v>21575.78</v>
          </cell>
          <cell r="AR15">
            <v>14708.86</v>
          </cell>
          <cell r="AS15">
            <v>18446.150000000001</v>
          </cell>
          <cell r="AT15">
            <v>1353.24</v>
          </cell>
          <cell r="AU15">
            <v>44144.41</v>
          </cell>
          <cell r="AV15">
            <v>173.6</v>
          </cell>
          <cell r="AW15">
            <v>3737.57</v>
          </cell>
          <cell r="AX15">
            <v>3847.55</v>
          </cell>
          <cell r="AY15">
            <v>24148.91</v>
          </cell>
          <cell r="AZ15">
            <v>15131.83</v>
          </cell>
          <cell r="BA15">
            <v>9941.4599999999991</v>
          </cell>
          <cell r="BB15">
            <v>68379.960000000006</v>
          </cell>
          <cell r="BC15">
            <v>33898.480000000003</v>
          </cell>
          <cell r="BD15">
            <v>0</v>
          </cell>
          <cell r="BE15">
            <v>14430.19</v>
          </cell>
          <cell r="BF15">
            <v>8391.24</v>
          </cell>
          <cell r="BG15">
            <v>15943.06</v>
          </cell>
          <cell r="BH15">
            <v>91567</v>
          </cell>
          <cell r="BI15">
            <v>97227.97</v>
          </cell>
          <cell r="BJ15">
            <v>124989.83</v>
          </cell>
          <cell r="BK15">
            <v>54504.26</v>
          </cell>
          <cell r="BL15">
            <v>0</v>
          </cell>
          <cell r="BM15">
            <v>0</v>
          </cell>
          <cell r="BN15">
            <v>155307.35</v>
          </cell>
          <cell r="BO15">
            <v>25051.89</v>
          </cell>
        </row>
        <row r="16">
          <cell r="B16">
            <v>2011</v>
          </cell>
          <cell r="C16" t="str">
            <v>Church Hill School</v>
          </cell>
          <cell r="D16" t="str">
            <v>N</v>
          </cell>
          <cell r="E16" t="str">
            <v>Authorised</v>
          </cell>
          <cell r="F16">
            <v>0</v>
          </cell>
          <cell r="G16">
            <v>0</v>
          </cell>
          <cell r="H16" t="str">
            <v>20152016</v>
          </cell>
          <cell r="I16" t="str">
            <v>XG15</v>
          </cell>
          <cell r="J16" t="str">
            <v>Y</v>
          </cell>
          <cell r="K16" t="str">
            <v>Final</v>
          </cell>
          <cell r="L16" t="str">
            <v>Y</v>
          </cell>
          <cell r="M16" t="str">
            <v>Accruals</v>
          </cell>
          <cell r="N16" t="str">
            <v>Y</v>
          </cell>
          <cell r="O16" t="str">
            <v>Y</v>
          </cell>
          <cell r="P16">
            <v>3898</v>
          </cell>
          <cell r="Q16">
            <v>0</v>
          </cell>
          <cell r="R16">
            <v>4406</v>
          </cell>
          <cell r="S16">
            <v>979032</v>
          </cell>
          <cell r="T16">
            <v>0</v>
          </cell>
          <cell r="U16">
            <v>53725</v>
          </cell>
          <cell r="V16">
            <v>0</v>
          </cell>
          <cell r="W16">
            <v>52479.89</v>
          </cell>
          <cell r="X16">
            <v>0</v>
          </cell>
          <cell r="Y16">
            <v>879.66</v>
          </cell>
          <cell r="Z16">
            <v>20080.07</v>
          </cell>
          <cell r="AA16">
            <v>32567.03</v>
          </cell>
          <cell r="AB16">
            <v>5441</v>
          </cell>
          <cell r="AC16">
            <v>0</v>
          </cell>
          <cell r="AD16">
            <v>33099.599999999999</v>
          </cell>
          <cell r="AE16">
            <v>15131.9</v>
          </cell>
          <cell r="AF16">
            <v>0</v>
          </cell>
          <cell r="AG16">
            <v>0</v>
          </cell>
          <cell r="AH16">
            <v>0</v>
          </cell>
          <cell r="AI16">
            <v>34618.65</v>
          </cell>
          <cell r="AJ16">
            <v>534858.89</v>
          </cell>
          <cell r="AK16">
            <v>148.18</v>
          </cell>
          <cell r="AL16">
            <v>212883.11</v>
          </cell>
          <cell r="AM16">
            <v>33534.22</v>
          </cell>
          <cell r="AN16">
            <v>63399.91</v>
          </cell>
          <cell r="AO16">
            <v>0</v>
          </cell>
          <cell r="AP16">
            <v>33142.28</v>
          </cell>
          <cell r="AQ16">
            <v>4977.88</v>
          </cell>
          <cell r="AR16">
            <v>6379.5</v>
          </cell>
          <cell r="AS16">
            <v>10629.85</v>
          </cell>
          <cell r="AT16">
            <v>991.2</v>
          </cell>
          <cell r="AU16">
            <v>10534.1</v>
          </cell>
          <cell r="AV16">
            <v>13366.86</v>
          </cell>
          <cell r="AW16">
            <v>13866.4</v>
          </cell>
          <cell r="AX16">
            <v>1594.25</v>
          </cell>
          <cell r="AY16">
            <v>18415.41</v>
          </cell>
          <cell r="AZ16">
            <v>15529.5</v>
          </cell>
          <cell r="BA16">
            <v>6066.66</v>
          </cell>
          <cell r="BB16">
            <v>53143.91</v>
          </cell>
          <cell r="BC16">
            <v>12644.68</v>
          </cell>
          <cell r="BD16">
            <v>0</v>
          </cell>
          <cell r="BE16">
            <v>7365.89</v>
          </cell>
          <cell r="BF16">
            <v>5618.21</v>
          </cell>
          <cell r="BG16">
            <v>2504.87</v>
          </cell>
          <cell r="BH16">
            <v>67238.39</v>
          </cell>
          <cell r="BI16">
            <v>15638</v>
          </cell>
          <cell r="BJ16">
            <v>35698.29</v>
          </cell>
          <cell r="BK16">
            <v>16357.36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</row>
        <row r="17">
          <cell r="B17">
            <v>2014</v>
          </cell>
          <cell r="C17" t="str">
            <v>Colindale School</v>
          </cell>
          <cell r="D17" t="str">
            <v>N</v>
          </cell>
          <cell r="E17" t="str">
            <v>Authorised</v>
          </cell>
          <cell r="F17">
            <v>0</v>
          </cell>
          <cell r="G17">
            <v>0</v>
          </cell>
          <cell r="H17" t="str">
            <v>20152016</v>
          </cell>
          <cell r="I17" t="str">
            <v>XG15</v>
          </cell>
          <cell r="J17" t="str">
            <v>Y</v>
          </cell>
          <cell r="K17" t="str">
            <v>Final</v>
          </cell>
          <cell r="L17" t="str">
            <v>Y</v>
          </cell>
          <cell r="M17" t="str">
            <v>Accruals</v>
          </cell>
          <cell r="N17" t="str">
            <v>Y</v>
          </cell>
          <cell r="O17" t="str">
            <v>Y</v>
          </cell>
          <cell r="P17">
            <v>524251</v>
          </cell>
          <cell r="Q17">
            <v>0</v>
          </cell>
          <cell r="R17">
            <v>0</v>
          </cell>
          <cell r="S17">
            <v>2922508</v>
          </cell>
          <cell r="T17">
            <v>0</v>
          </cell>
          <cell r="U17">
            <v>357213</v>
          </cell>
          <cell r="V17">
            <v>0</v>
          </cell>
          <cell r="W17">
            <v>234960</v>
          </cell>
          <cell r="X17">
            <v>8200</v>
          </cell>
          <cell r="Y17">
            <v>2134.48</v>
          </cell>
          <cell r="Z17">
            <v>44367.98</v>
          </cell>
          <cell r="AA17">
            <v>55692.32</v>
          </cell>
          <cell r="AB17">
            <v>11696.4</v>
          </cell>
          <cell r="AC17">
            <v>11669.48</v>
          </cell>
          <cell r="AD17">
            <v>37736.49</v>
          </cell>
          <cell r="AE17">
            <v>4961.49</v>
          </cell>
          <cell r="AF17">
            <v>0</v>
          </cell>
          <cell r="AG17">
            <v>0</v>
          </cell>
          <cell r="AH17">
            <v>0</v>
          </cell>
          <cell r="AI17">
            <v>96186.34</v>
          </cell>
          <cell r="AJ17">
            <v>1521773.88</v>
          </cell>
          <cell r="AK17">
            <v>0</v>
          </cell>
          <cell r="AL17">
            <v>726877.91</v>
          </cell>
          <cell r="AM17">
            <v>98610.97</v>
          </cell>
          <cell r="AN17">
            <v>96010.03</v>
          </cell>
          <cell r="AO17">
            <v>0</v>
          </cell>
          <cell r="AP17">
            <v>44503.79</v>
          </cell>
          <cell r="AQ17">
            <v>43999.42</v>
          </cell>
          <cell r="AR17">
            <v>7768.4</v>
          </cell>
          <cell r="AS17">
            <v>23271.919999999998</v>
          </cell>
          <cell r="AT17">
            <v>7993.95</v>
          </cell>
          <cell r="AU17">
            <v>61084.99</v>
          </cell>
          <cell r="AV17">
            <v>3871.92</v>
          </cell>
          <cell r="AW17">
            <v>10475.6</v>
          </cell>
          <cell r="AX17">
            <v>3794.59</v>
          </cell>
          <cell r="AY17">
            <v>76764.759999999995</v>
          </cell>
          <cell r="AZ17">
            <v>15242.6</v>
          </cell>
          <cell r="BA17">
            <v>23525.58</v>
          </cell>
          <cell r="BB17">
            <v>134756.82</v>
          </cell>
          <cell r="BC17">
            <v>28424.15</v>
          </cell>
          <cell r="BD17">
            <v>0</v>
          </cell>
          <cell r="BE17">
            <v>24821.9</v>
          </cell>
          <cell r="BF17">
            <v>22043.759999999998</v>
          </cell>
          <cell r="BG17">
            <v>22730.36</v>
          </cell>
          <cell r="BH17">
            <v>168065.1</v>
          </cell>
          <cell r="BI17">
            <v>95190.68</v>
          </cell>
          <cell r="BJ17">
            <v>320934.5</v>
          </cell>
          <cell r="BK17">
            <v>50436.73</v>
          </cell>
          <cell r="BL17">
            <v>0</v>
          </cell>
          <cell r="BM17">
            <v>11625.67</v>
          </cell>
          <cell r="BN17">
            <v>0</v>
          </cell>
          <cell r="BO17">
            <v>0</v>
          </cell>
        </row>
        <row r="18">
          <cell r="B18">
            <v>2015</v>
          </cell>
          <cell r="C18" t="str">
            <v>Coppetts Wood School</v>
          </cell>
          <cell r="D18" t="str">
            <v>N</v>
          </cell>
          <cell r="E18" t="str">
            <v>Authorised</v>
          </cell>
          <cell r="F18">
            <v>0</v>
          </cell>
          <cell r="G18">
            <v>0</v>
          </cell>
          <cell r="H18" t="str">
            <v>20152016</v>
          </cell>
          <cell r="I18" t="str">
            <v>XG15</v>
          </cell>
          <cell r="J18" t="str">
            <v>Y</v>
          </cell>
          <cell r="K18" t="str">
            <v>Final</v>
          </cell>
          <cell r="L18" t="str">
            <v>Y</v>
          </cell>
          <cell r="M18" t="str">
            <v>Accruals</v>
          </cell>
          <cell r="N18" t="str">
            <v>N</v>
          </cell>
          <cell r="O18" t="str">
            <v>Y</v>
          </cell>
          <cell r="P18">
            <v>283048</v>
          </cell>
          <cell r="Q18">
            <v>21644</v>
          </cell>
          <cell r="R18">
            <v>0</v>
          </cell>
          <cell r="S18">
            <v>1440626</v>
          </cell>
          <cell r="T18">
            <v>0</v>
          </cell>
          <cell r="U18">
            <v>170531.91</v>
          </cell>
          <cell r="V18">
            <v>0</v>
          </cell>
          <cell r="W18">
            <v>132035.29</v>
          </cell>
          <cell r="X18">
            <v>2700</v>
          </cell>
          <cell r="Y18">
            <v>15430.44</v>
          </cell>
          <cell r="Z18">
            <v>4185.84</v>
          </cell>
          <cell r="AA18">
            <v>29499.94</v>
          </cell>
          <cell r="AB18">
            <v>19528.2</v>
          </cell>
          <cell r="AC18">
            <v>3107.12</v>
          </cell>
          <cell r="AD18">
            <v>25084.27</v>
          </cell>
          <cell r="AE18">
            <v>2935.38</v>
          </cell>
          <cell r="AF18">
            <v>0</v>
          </cell>
          <cell r="AG18">
            <v>278465</v>
          </cell>
          <cell r="AH18">
            <v>60562.38</v>
          </cell>
          <cell r="AI18">
            <v>36001.68</v>
          </cell>
          <cell r="AJ18">
            <v>765232.24</v>
          </cell>
          <cell r="AK18">
            <v>0</v>
          </cell>
          <cell r="AL18">
            <v>482480.72</v>
          </cell>
          <cell r="AM18">
            <v>30059.57</v>
          </cell>
          <cell r="AN18">
            <v>48096.35</v>
          </cell>
          <cell r="AO18">
            <v>0</v>
          </cell>
          <cell r="AP18">
            <v>7406.32</v>
          </cell>
          <cell r="AQ18">
            <v>6698.16</v>
          </cell>
          <cell r="AR18">
            <v>6938.78</v>
          </cell>
          <cell r="AS18">
            <v>16499.62</v>
          </cell>
          <cell r="AT18">
            <v>1163.4000000000001</v>
          </cell>
          <cell r="AU18">
            <v>22494.49</v>
          </cell>
          <cell r="AV18">
            <v>16287.1</v>
          </cell>
          <cell r="AW18">
            <v>27300.52</v>
          </cell>
          <cell r="AX18">
            <v>2909.65</v>
          </cell>
          <cell r="AY18">
            <v>16743.03</v>
          </cell>
          <cell r="AZ18">
            <v>13355.08</v>
          </cell>
          <cell r="BA18">
            <v>15884.29</v>
          </cell>
          <cell r="BB18">
            <v>81072.59</v>
          </cell>
          <cell r="BC18">
            <v>26981.05</v>
          </cell>
          <cell r="BD18">
            <v>0</v>
          </cell>
          <cell r="BE18">
            <v>10540.07</v>
          </cell>
          <cell r="BF18">
            <v>4190.05</v>
          </cell>
          <cell r="BG18">
            <v>5471.35</v>
          </cell>
          <cell r="BH18">
            <v>80092.350000000006</v>
          </cell>
          <cell r="BI18">
            <v>55279.82</v>
          </cell>
          <cell r="BJ18">
            <v>54010.18</v>
          </cell>
          <cell r="BK18">
            <v>33736.620000000003</v>
          </cell>
          <cell r="BL18">
            <v>0</v>
          </cell>
          <cell r="BM18">
            <v>48543.5</v>
          </cell>
          <cell r="BN18">
            <v>266432.06</v>
          </cell>
          <cell r="BO18">
            <v>29907.49</v>
          </cell>
        </row>
        <row r="19">
          <cell r="B19">
            <v>2016</v>
          </cell>
          <cell r="C19" t="str">
            <v>Courtland School</v>
          </cell>
          <cell r="D19" t="str">
            <v>N</v>
          </cell>
          <cell r="E19" t="str">
            <v>Authorised</v>
          </cell>
          <cell r="F19">
            <v>0</v>
          </cell>
          <cell r="G19">
            <v>0</v>
          </cell>
          <cell r="H19" t="str">
            <v>20152016</v>
          </cell>
          <cell r="I19" t="str">
            <v>XG15</v>
          </cell>
          <cell r="J19" t="str">
            <v>Y</v>
          </cell>
          <cell r="K19" t="str">
            <v>Final</v>
          </cell>
          <cell r="L19" t="str">
            <v>Y</v>
          </cell>
          <cell r="M19" t="str">
            <v>Accruals</v>
          </cell>
          <cell r="N19" t="str">
            <v>Y</v>
          </cell>
          <cell r="O19" t="str">
            <v>Y</v>
          </cell>
          <cell r="P19">
            <v>60696</v>
          </cell>
          <cell r="Q19">
            <v>0</v>
          </cell>
          <cell r="R19">
            <v>931</v>
          </cell>
          <cell r="S19">
            <v>921371.35</v>
          </cell>
          <cell r="T19">
            <v>0</v>
          </cell>
          <cell r="U19">
            <v>46315</v>
          </cell>
          <cell r="V19">
            <v>0</v>
          </cell>
          <cell r="W19">
            <v>44880</v>
          </cell>
          <cell r="X19">
            <v>3202</v>
          </cell>
          <cell r="Y19">
            <v>6129.11</v>
          </cell>
          <cell r="Z19">
            <v>7938.67</v>
          </cell>
          <cell r="AA19">
            <v>26547.52</v>
          </cell>
          <cell r="AB19">
            <v>25194.37</v>
          </cell>
          <cell r="AC19">
            <v>0</v>
          </cell>
          <cell r="AD19">
            <v>28724.55</v>
          </cell>
          <cell r="AE19">
            <v>12186.35</v>
          </cell>
          <cell r="AF19">
            <v>0</v>
          </cell>
          <cell r="AG19">
            <v>0</v>
          </cell>
          <cell r="AH19">
            <v>0</v>
          </cell>
          <cell r="AI19">
            <v>49432.76</v>
          </cell>
          <cell r="AJ19">
            <v>554871.54</v>
          </cell>
          <cell r="AK19">
            <v>3900.22</v>
          </cell>
          <cell r="AL19">
            <v>208190.64</v>
          </cell>
          <cell r="AM19">
            <v>24448.15</v>
          </cell>
          <cell r="AN19">
            <v>23294.02</v>
          </cell>
          <cell r="AO19">
            <v>0</v>
          </cell>
          <cell r="AP19">
            <v>24739.46</v>
          </cell>
          <cell r="AQ19">
            <v>4461.5600000000004</v>
          </cell>
          <cell r="AR19">
            <v>1484.09</v>
          </cell>
          <cell r="AS19">
            <v>9326.02</v>
          </cell>
          <cell r="AT19">
            <v>899.04</v>
          </cell>
          <cell r="AU19">
            <v>19809.169999999998</v>
          </cell>
          <cell r="AV19">
            <v>4157.7700000000004</v>
          </cell>
          <cell r="AW19">
            <v>12740.59</v>
          </cell>
          <cell r="AX19">
            <v>2663.1</v>
          </cell>
          <cell r="AY19">
            <v>9585.35</v>
          </cell>
          <cell r="AZ19">
            <v>18788.75</v>
          </cell>
          <cell r="BA19">
            <v>11279.85</v>
          </cell>
          <cell r="BB19">
            <v>52107.95</v>
          </cell>
          <cell r="BC19">
            <v>8041.41</v>
          </cell>
          <cell r="BD19">
            <v>0</v>
          </cell>
          <cell r="BE19">
            <v>8352.86</v>
          </cell>
          <cell r="BF19">
            <v>5665.74</v>
          </cell>
          <cell r="BG19">
            <v>3010.54</v>
          </cell>
          <cell r="BH19">
            <v>66798.13</v>
          </cell>
          <cell r="BI19">
            <v>48180</v>
          </cell>
          <cell r="BJ19">
            <v>59490.41</v>
          </cell>
          <cell r="BK19">
            <v>29116.32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</row>
        <row r="20">
          <cell r="B20">
            <v>2017</v>
          </cell>
          <cell r="C20" t="str">
            <v>Cromer Road School</v>
          </cell>
          <cell r="D20" t="str">
            <v>N</v>
          </cell>
          <cell r="E20" t="str">
            <v>Authorised</v>
          </cell>
          <cell r="F20">
            <v>0</v>
          </cell>
          <cell r="G20">
            <v>0</v>
          </cell>
          <cell r="H20" t="str">
            <v>20152016</v>
          </cell>
          <cell r="I20" t="str">
            <v>XG15</v>
          </cell>
          <cell r="J20" t="str">
            <v>Y</v>
          </cell>
          <cell r="K20" t="str">
            <v>Final</v>
          </cell>
          <cell r="L20" t="str">
            <v>Y</v>
          </cell>
          <cell r="M20" t="str">
            <v>Accruals</v>
          </cell>
          <cell r="N20" t="str">
            <v>Y</v>
          </cell>
          <cell r="O20" t="str">
            <v>Y</v>
          </cell>
          <cell r="P20">
            <v>258814</v>
          </cell>
          <cell r="Q20">
            <v>0</v>
          </cell>
          <cell r="R20">
            <v>8556</v>
          </cell>
          <cell r="S20">
            <v>1708278</v>
          </cell>
          <cell r="T20">
            <v>0</v>
          </cell>
          <cell r="U20">
            <v>56988</v>
          </cell>
          <cell r="V20">
            <v>0</v>
          </cell>
          <cell r="W20">
            <v>173760.01</v>
          </cell>
          <cell r="X20">
            <v>2000</v>
          </cell>
          <cell r="Y20">
            <v>1915</v>
          </cell>
          <cell r="Z20">
            <v>76298.12</v>
          </cell>
          <cell r="AA20">
            <v>40245.93</v>
          </cell>
          <cell r="AB20">
            <v>23078.7</v>
          </cell>
          <cell r="AC20">
            <v>0</v>
          </cell>
          <cell r="AD20">
            <v>52249.52</v>
          </cell>
          <cell r="AE20">
            <v>2221.0500000000002</v>
          </cell>
          <cell r="AF20">
            <v>0</v>
          </cell>
          <cell r="AG20">
            <v>0</v>
          </cell>
          <cell r="AH20">
            <v>0</v>
          </cell>
          <cell r="AI20">
            <v>42964.22</v>
          </cell>
          <cell r="AJ20">
            <v>942821.17</v>
          </cell>
          <cell r="AK20">
            <v>3992.25</v>
          </cell>
          <cell r="AL20">
            <v>454342.96</v>
          </cell>
          <cell r="AM20">
            <v>35219.96</v>
          </cell>
          <cell r="AN20">
            <v>57946.6</v>
          </cell>
          <cell r="AO20">
            <v>0</v>
          </cell>
          <cell r="AP20">
            <v>93794.52</v>
          </cell>
          <cell r="AQ20">
            <v>13438.28</v>
          </cell>
          <cell r="AR20">
            <v>10473.81</v>
          </cell>
          <cell r="AS20">
            <v>19919.12</v>
          </cell>
          <cell r="AT20">
            <v>1734.6</v>
          </cell>
          <cell r="AU20">
            <v>66250.649999999994</v>
          </cell>
          <cell r="AV20">
            <v>3438</v>
          </cell>
          <cell r="AW20">
            <v>25660.09</v>
          </cell>
          <cell r="AX20">
            <v>9999.0300000000007</v>
          </cell>
          <cell r="AY20">
            <v>37052.82</v>
          </cell>
          <cell r="AZ20">
            <v>11186.35</v>
          </cell>
          <cell r="BA20">
            <v>12347.8</v>
          </cell>
          <cell r="BB20">
            <v>103193.8</v>
          </cell>
          <cell r="BC20">
            <v>30272.03</v>
          </cell>
          <cell r="BD20">
            <v>0</v>
          </cell>
          <cell r="BE20">
            <v>11820.27</v>
          </cell>
          <cell r="BF20">
            <v>9745.2099999999991</v>
          </cell>
          <cell r="BG20">
            <v>13419.93</v>
          </cell>
          <cell r="BH20">
            <v>110607.6</v>
          </cell>
          <cell r="BI20">
            <v>60603.12</v>
          </cell>
          <cell r="BJ20">
            <v>52369.69</v>
          </cell>
          <cell r="BK20">
            <v>53654.89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</row>
        <row r="21">
          <cell r="B21">
            <v>2019</v>
          </cell>
          <cell r="C21" t="str">
            <v>Deansbrook Infant School</v>
          </cell>
          <cell r="D21" t="str">
            <v>N</v>
          </cell>
          <cell r="E21" t="str">
            <v>Authorised</v>
          </cell>
          <cell r="F21">
            <v>0</v>
          </cell>
          <cell r="G21">
            <v>0</v>
          </cell>
          <cell r="H21" t="str">
            <v>20152016</v>
          </cell>
          <cell r="I21" t="str">
            <v>XG15</v>
          </cell>
          <cell r="J21" t="str">
            <v>Y</v>
          </cell>
          <cell r="K21" t="str">
            <v>Final</v>
          </cell>
          <cell r="L21" t="str">
            <v>Y</v>
          </cell>
          <cell r="M21" t="str">
            <v>Accruals</v>
          </cell>
          <cell r="N21" t="str">
            <v>Y</v>
          </cell>
          <cell r="O21" t="str">
            <v>Y</v>
          </cell>
          <cell r="P21">
            <v>142628</v>
          </cell>
          <cell r="Q21">
            <v>0</v>
          </cell>
          <cell r="R21">
            <v>0</v>
          </cell>
          <cell r="S21">
            <v>1579659</v>
          </cell>
          <cell r="T21">
            <v>0</v>
          </cell>
          <cell r="U21">
            <v>30498</v>
          </cell>
          <cell r="V21">
            <v>0</v>
          </cell>
          <cell r="W21">
            <v>130680</v>
          </cell>
          <cell r="X21">
            <v>13900</v>
          </cell>
          <cell r="Y21">
            <v>1472</v>
          </cell>
          <cell r="Z21">
            <v>16338</v>
          </cell>
          <cell r="AA21">
            <v>78.47</v>
          </cell>
          <cell r="AB21">
            <v>17177.740000000002</v>
          </cell>
          <cell r="AC21">
            <v>1704.54</v>
          </cell>
          <cell r="AD21">
            <v>8194.7999999999993</v>
          </cell>
          <cell r="AE21">
            <v>1241.97</v>
          </cell>
          <cell r="AF21">
            <v>0</v>
          </cell>
          <cell r="AG21">
            <v>0</v>
          </cell>
          <cell r="AH21">
            <v>0</v>
          </cell>
          <cell r="AI21">
            <v>23927.32</v>
          </cell>
          <cell r="AJ21">
            <v>712952.5</v>
          </cell>
          <cell r="AK21">
            <v>0</v>
          </cell>
          <cell r="AL21">
            <v>473842.78</v>
          </cell>
          <cell r="AM21">
            <v>34741.81</v>
          </cell>
          <cell r="AN21">
            <v>77202.84</v>
          </cell>
          <cell r="AO21">
            <v>0</v>
          </cell>
          <cell r="AP21">
            <v>48998.23</v>
          </cell>
          <cell r="AQ21">
            <v>13297.61</v>
          </cell>
          <cell r="AR21">
            <v>6364.2</v>
          </cell>
          <cell r="AS21">
            <v>15896.05</v>
          </cell>
          <cell r="AT21">
            <v>1549.8</v>
          </cell>
          <cell r="AU21">
            <v>28934.55</v>
          </cell>
          <cell r="AV21">
            <v>8265.89</v>
          </cell>
          <cell r="AW21">
            <v>2798.13</v>
          </cell>
          <cell r="AX21">
            <v>4662.12</v>
          </cell>
          <cell r="AY21">
            <v>24886.94</v>
          </cell>
          <cell r="AZ21">
            <v>14790</v>
          </cell>
          <cell r="BA21">
            <v>7289.22</v>
          </cell>
          <cell r="BB21">
            <v>37274.639999999999</v>
          </cell>
          <cell r="BC21">
            <v>22674.02</v>
          </cell>
          <cell r="BD21">
            <v>0</v>
          </cell>
          <cell r="BE21">
            <v>20368.8</v>
          </cell>
          <cell r="BF21">
            <v>6448.36</v>
          </cell>
          <cell r="BG21">
            <v>2265.85</v>
          </cell>
          <cell r="BH21">
            <v>89225.85</v>
          </cell>
          <cell r="BI21">
            <v>130605.54</v>
          </cell>
          <cell r="BJ21">
            <v>49315.99</v>
          </cell>
          <cell r="BK21">
            <v>56652.12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</row>
        <row r="22">
          <cell r="B22">
            <v>2021</v>
          </cell>
          <cell r="C22" t="str">
            <v>Dollis Infant School</v>
          </cell>
          <cell r="D22" t="str">
            <v>N</v>
          </cell>
          <cell r="E22" t="str">
            <v>Authorised</v>
          </cell>
          <cell r="F22">
            <v>0</v>
          </cell>
          <cell r="G22">
            <v>0</v>
          </cell>
          <cell r="H22" t="str">
            <v>20152016</v>
          </cell>
          <cell r="I22" t="str">
            <v>XG15</v>
          </cell>
          <cell r="J22" t="str">
            <v>Y</v>
          </cell>
          <cell r="K22" t="str">
            <v>Final</v>
          </cell>
          <cell r="L22" t="str">
            <v>Y</v>
          </cell>
          <cell r="M22" t="str">
            <v>Accruals</v>
          </cell>
          <cell r="N22" t="str">
            <v>Y</v>
          </cell>
          <cell r="O22" t="str">
            <v>Y</v>
          </cell>
          <cell r="P22">
            <v>58532</v>
          </cell>
          <cell r="Q22">
            <v>0</v>
          </cell>
          <cell r="R22">
            <v>11673</v>
          </cell>
          <cell r="S22">
            <v>1383992</v>
          </cell>
          <cell r="T22">
            <v>0</v>
          </cell>
          <cell r="U22">
            <v>89459</v>
          </cell>
          <cell r="V22">
            <v>0</v>
          </cell>
          <cell r="W22">
            <v>116739.99</v>
          </cell>
          <cell r="X22">
            <v>2259.6</v>
          </cell>
          <cell r="Y22">
            <v>76640.490000000005</v>
          </cell>
          <cell r="Z22">
            <v>27752.63</v>
          </cell>
          <cell r="AA22">
            <v>1702.57</v>
          </cell>
          <cell r="AB22">
            <v>0</v>
          </cell>
          <cell r="AC22">
            <v>3760</v>
          </cell>
          <cell r="AD22">
            <v>6527.1</v>
          </cell>
          <cell r="AE22">
            <v>10098.75</v>
          </cell>
          <cell r="AF22">
            <v>0</v>
          </cell>
          <cell r="AG22">
            <v>0</v>
          </cell>
          <cell r="AH22">
            <v>0</v>
          </cell>
          <cell r="AI22">
            <v>95741.9</v>
          </cell>
          <cell r="AJ22">
            <v>709062.14</v>
          </cell>
          <cell r="AK22">
            <v>10403.44</v>
          </cell>
          <cell r="AL22">
            <v>554718.71999999997</v>
          </cell>
          <cell r="AM22">
            <v>42431</v>
          </cell>
          <cell r="AN22">
            <v>75838.850000000006</v>
          </cell>
          <cell r="AO22">
            <v>0</v>
          </cell>
          <cell r="AP22">
            <v>0</v>
          </cell>
          <cell r="AQ22">
            <v>9251.76</v>
          </cell>
          <cell r="AR22">
            <v>7095.29</v>
          </cell>
          <cell r="AS22">
            <v>14239.38</v>
          </cell>
          <cell r="AT22">
            <v>6334.2</v>
          </cell>
          <cell r="AU22">
            <v>19686.490000000002</v>
          </cell>
          <cell r="AV22">
            <v>5075.5</v>
          </cell>
          <cell r="AW22">
            <v>26738.32</v>
          </cell>
          <cell r="AX22">
            <v>2956.69</v>
          </cell>
          <cell r="AY22">
            <v>20268.29</v>
          </cell>
          <cell r="AZ22">
            <v>14905.75</v>
          </cell>
          <cell r="BA22">
            <v>11231.02</v>
          </cell>
          <cell r="BB22">
            <v>42222.29</v>
          </cell>
          <cell r="BC22">
            <v>11983.16</v>
          </cell>
          <cell r="BD22">
            <v>0</v>
          </cell>
          <cell r="BE22">
            <v>11543.54</v>
          </cell>
          <cell r="BF22">
            <v>4435.72</v>
          </cell>
          <cell r="BG22">
            <v>1015.55</v>
          </cell>
          <cell r="BH22">
            <v>99842.4</v>
          </cell>
          <cell r="BI22">
            <v>29991</v>
          </cell>
          <cell r="BJ22">
            <v>79056.53</v>
          </cell>
          <cell r="BK22">
            <v>20207</v>
          </cell>
          <cell r="BL22">
            <v>0</v>
          </cell>
          <cell r="BM22">
            <v>1892</v>
          </cell>
          <cell r="BN22">
            <v>0</v>
          </cell>
          <cell r="BO22">
            <v>0</v>
          </cell>
        </row>
        <row r="23">
          <cell r="B23">
            <v>2023</v>
          </cell>
          <cell r="C23" t="str">
            <v>Edgware Primary</v>
          </cell>
          <cell r="D23" t="str">
            <v>N</v>
          </cell>
          <cell r="E23" t="str">
            <v>Authorised</v>
          </cell>
          <cell r="F23">
            <v>0</v>
          </cell>
          <cell r="G23">
            <v>3</v>
          </cell>
          <cell r="H23" t="str">
            <v>20152016</v>
          </cell>
          <cell r="I23" t="str">
            <v>XG15</v>
          </cell>
          <cell r="J23" t="str">
            <v>Y</v>
          </cell>
          <cell r="K23" t="str">
            <v>Final</v>
          </cell>
          <cell r="L23" t="str">
            <v>Y</v>
          </cell>
          <cell r="M23" t="str">
            <v>Accruals</v>
          </cell>
          <cell r="N23" t="str">
            <v>Y</v>
          </cell>
          <cell r="O23" t="str">
            <v>N</v>
          </cell>
          <cell r="P23">
            <v>205917</v>
          </cell>
          <cell r="Q23">
            <v>0</v>
          </cell>
          <cell r="R23">
            <v>1343</v>
          </cell>
          <cell r="S23">
            <v>2806533</v>
          </cell>
          <cell r="T23">
            <v>0</v>
          </cell>
          <cell r="U23">
            <v>146598.07999999999</v>
          </cell>
          <cell r="V23">
            <v>0</v>
          </cell>
          <cell r="W23">
            <v>270042.99</v>
          </cell>
          <cell r="X23">
            <v>10000</v>
          </cell>
          <cell r="Y23">
            <v>14896.96</v>
          </cell>
          <cell r="Z23">
            <v>42001.19</v>
          </cell>
          <cell r="AA23">
            <v>44869.84</v>
          </cell>
          <cell r="AB23">
            <v>20998</v>
          </cell>
          <cell r="AC23">
            <v>8401</v>
          </cell>
          <cell r="AD23">
            <v>22954.28</v>
          </cell>
          <cell r="AE23">
            <v>3101.28</v>
          </cell>
          <cell r="AF23">
            <v>0</v>
          </cell>
          <cell r="AG23">
            <v>0</v>
          </cell>
          <cell r="AH23">
            <v>0</v>
          </cell>
          <cell r="AI23">
            <v>104708.16</v>
          </cell>
          <cell r="AJ23">
            <v>1492933.39</v>
          </cell>
          <cell r="AK23">
            <v>0</v>
          </cell>
          <cell r="AL23">
            <v>772091.78</v>
          </cell>
          <cell r="AM23">
            <v>56261.06</v>
          </cell>
          <cell r="AN23">
            <v>201832.77</v>
          </cell>
          <cell r="AO23">
            <v>0</v>
          </cell>
          <cell r="AP23">
            <v>128752.27</v>
          </cell>
          <cell r="AQ23">
            <v>51269.440000000002</v>
          </cell>
          <cell r="AR23">
            <v>16056.47</v>
          </cell>
          <cell r="AS23">
            <v>29584.400000000001</v>
          </cell>
          <cell r="AT23">
            <v>2772</v>
          </cell>
          <cell r="AU23">
            <v>29758.28</v>
          </cell>
          <cell r="AV23">
            <v>11302</v>
          </cell>
          <cell r="AW23">
            <v>47924.21</v>
          </cell>
          <cell r="AX23">
            <v>15100.08</v>
          </cell>
          <cell r="AY23">
            <v>36403.81</v>
          </cell>
          <cell r="AZ23">
            <v>16009.4</v>
          </cell>
          <cell r="BA23">
            <v>12234.8</v>
          </cell>
          <cell r="BB23">
            <v>136894.98000000001</v>
          </cell>
          <cell r="BC23">
            <v>25846.59</v>
          </cell>
          <cell r="BD23">
            <v>0</v>
          </cell>
          <cell r="BE23">
            <v>14494.82</v>
          </cell>
          <cell r="BF23">
            <v>12523.3</v>
          </cell>
          <cell r="BG23">
            <v>12245.69</v>
          </cell>
          <cell r="BH23">
            <v>175993.27</v>
          </cell>
          <cell r="BI23">
            <v>155911.31</v>
          </cell>
          <cell r="BJ23">
            <v>109449.60000000001</v>
          </cell>
          <cell r="BK23">
            <v>73162.06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</row>
        <row r="24">
          <cell r="B24">
            <v>2024</v>
          </cell>
          <cell r="C24" t="str">
            <v>The Fairway School</v>
          </cell>
          <cell r="D24" t="str">
            <v>N</v>
          </cell>
          <cell r="E24" t="str">
            <v>Authorised</v>
          </cell>
          <cell r="F24">
            <v>0</v>
          </cell>
          <cell r="G24">
            <v>0</v>
          </cell>
          <cell r="H24" t="str">
            <v>20152016</v>
          </cell>
          <cell r="I24" t="str">
            <v>XG15</v>
          </cell>
          <cell r="J24" t="str">
            <v>Y</v>
          </cell>
          <cell r="K24" t="str">
            <v>Final</v>
          </cell>
          <cell r="L24" t="str">
            <v>Y</v>
          </cell>
          <cell r="M24" t="str">
            <v>Accruals</v>
          </cell>
          <cell r="N24" t="str">
            <v>N</v>
          </cell>
          <cell r="O24" t="str">
            <v>Y</v>
          </cell>
          <cell r="P24">
            <v>94844</v>
          </cell>
          <cell r="Q24">
            <v>36933</v>
          </cell>
          <cell r="R24">
            <v>37057</v>
          </cell>
          <cell r="S24">
            <v>1264844</v>
          </cell>
          <cell r="T24">
            <v>0</v>
          </cell>
          <cell r="U24">
            <v>61401</v>
          </cell>
          <cell r="V24">
            <v>0</v>
          </cell>
          <cell r="W24">
            <v>111480</v>
          </cell>
          <cell r="X24">
            <v>19630.72</v>
          </cell>
          <cell r="Y24">
            <v>6763.5</v>
          </cell>
          <cell r="Z24">
            <v>27161.81</v>
          </cell>
          <cell r="AA24">
            <v>27512.3</v>
          </cell>
          <cell r="AB24">
            <v>0</v>
          </cell>
          <cell r="AC24">
            <v>3308.49</v>
          </cell>
          <cell r="AD24">
            <v>23044.32</v>
          </cell>
          <cell r="AE24">
            <v>1768.03</v>
          </cell>
          <cell r="AF24">
            <v>0</v>
          </cell>
          <cell r="AG24">
            <v>452199.77</v>
          </cell>
          <cell r="AH24">
            <v>169985.27</v>
          </cell>
          <cell r="AI24">
            <v>37235.42</v>
          </cell>
          <cell r="AJ24">
            <v>517076.06</v>
          </cell>
          <cell r="AK24">
            <v>0</v>
          </cell>
          <cell r="AL24">
            <v>307598.53000000003</v>
          </cell>
          <cell r="AM24">
            <v>36563.43</v>
          </cell>
          <cell r="AN24">
            <v>52590.93</v>
          </cell>
          <cell r="AO24">
            <v>7481.17</v>
          </cell>
          <cell r="AP24">
            <v>27988.19</v>
          </cell>
          <cell r="AQ24">
            <v>11027.36</v>
          </cell>
          <cell r="AR24">
            <v>10339.19</v>
          </cell>
          <cell r="AS24">
            <v>12909.18</v>
          </cell>
          <cell r="AT24">
            <v>436.06</v>
          </cell>
          <cell r="AU24">
            <v>36721.620000000003</v>
          </cell>
          <cell r="AV24">
            <v>2783.3</v>
          </cell>
          <cell r="AW24">
            <v>23796.639999999999</v>
          </cell>
          <cell r="AX24">
            <v>2472.19</v>
          </cell>
          <cell r="AY24">
            <v>30576.97</v>
          </cell>
          <cell r="AZ24">
            <v>47709</v>
          </cell>
          <cell r="BA24">
            <v>4874.42</v>
          </cell>
          <cell r="BB24">
            <v>57651.53</v>
          </cell>
          <cell r="BC24">
            <v>17408.009999999998</v>
          </cell>
          <cell r="BD24">
            <v>0</v>
          </cell>
          <cell r="BE24">
            <v>27908.33</v>
          </cell>
          <cell r="BF24">
            <v>4342.47</v>
          </cell>
          <cell r="BG24">
            <v>18504.54</v>
          </cell>
          <cell r="BH24">
            <v>69968.17</v>
          </cell>
          <cell r="BI24">
            <v>138620.64000000001</v>
          </cell>
          <cell r="BJ24">
            <v>90903.87</v>
          </cell>
          <cell r="BK24">
            <v>30146.85</v>
          </cell>
          <cell r="BL24">
            <v>0</v>
          </cell>
          <cell r="BM24">
            <v>0</v>
          </cell>
          <cell r="BN24">
            <v>517260.9</v>
          </cell>
          <cell r="BO24">
            <v>104804.08</v>
          </cell>
        </row>
        <row r="25">
          <cell r="B25">
            <v>2025</v>
          </cell>
          <cell r="C25" t="str">
            <v>Foulds School</v>
          </cell>
          <cell r="D25" t="str">
            <v>N</v>
          </cell>
          <cell r="E25" t="str">
            <v>Authorised</v>
          </cell>
          <cell r="F25">
            <v>0</v>
          </cell>
          <cell r="G25">
            <v>0</v>
          </cell>
          <cell r="H25" t="str">
            <v>20152016</v>
          </cell>
          <cell r="I25" t="str">
            <v>XG15</v>
          </cell>
          <cell r="J25" t="str">
            <v>Y</v>
          </cell>
          <cell r="K25" t="str">
            <v>Final</v>
          </cell>
          <cell r="L25" t="str">
            <v>Y</v>
          </cell>
          <cell r="M25" t="str">
            <v>Accruals</v>
          </cell>
          <cell r="N25" t="str">
            <v>Y</v>
          </cell>
          <cell r="O25" t="str">
            <v>Y</v>
          </cell>
          <cell r="P25">
            <v>49146</v>
          </cell>
          <cell r="Q25">
            <v>0</v>
          </cell>
          <cell r="R25">
            <v>16491</v>
          </cell>
          <cell r="S25">
            <v>1226945</v>
          </cell>
          <cell r="T25">
            <v>0</v>
          </cell>
          <cell r="U25">
            <v>69535</v>
          </cell>
          <cell r="V25">
            <v>0</v>
          </cell>
          <cell r="W25">
            <v>38004</v>
          </cell>
          <cell r="X25">
            <v>3603</v>
          </cell>
          <cell r="Y25">
            <v>8052.88</v>
          </cell>
          <cell r="Z25">
            <v>44274.65</v>
          </cell>
          <cell r="AA25">
            <v>42241.16</v>
          </cell>
          <cell r="AB25">
            <v>2199.65</v>
          </cell>
          <cell r="AC25">
            <v>1902.5</v>
          </cell>
          <cell r="AD25">
            <v>52426.5</v>
          </cell>
          <cell r="AE25">
            <v>15252.33</v>
          </cell>
          <cell r="AF25">
            <v>0</v>
          </cell>
          <cell r="AG25">
            <v>0</v>
          </cell>
          <cell r="AH25">
            <v>0</v>
          </cell>
          <cell r="AI25">
            <v>56759.67</v>
          </cell>
          <cell r="AJ25">
            <v>725755.15</v>
          </cell>
          <cell r="AK25">
            <v>10773.43</v>
          </cell>
          <cell r="AL25">
            <v>289954.40000000002</v>
          </cell>
          <cell r="AM25">
            <v>50602.21</v>
          </cell>
          <cell r="AN25">
            <v>45515.49</v>
          </cell>
          <cell r="AO25">
            <v>0</v>
          </cell>
          <cell r="AP25">
            <v>33638.17</v>
          </cell>
          <cell r="AQ25">
            <v>13634.62</v>
          </cell>
          <cell r="AR25">
            <v>5645.17</v>
          </cell>
          <cell r="AS25">
            <v>12678.38</v>
          </cell>
          <cell r="AT25">
            <v>1327.4</v>
          </cell>
          <cell r="AU25">
            <v>15907.3</v>
          </cell>
          <cell r="AV25">
            <v>0</v>
          </cell>
          <cell r="AW25">
            <v>2103.15</v>
          </cell>
          <cell r="AX25">
            <v>4607.4799999999996</v>
          </cell>
          <cell r="AY25">
            <v>24785.42</v>
          </cell>
          <cell r="AZ25">
            <v>16631.25</v>
          </cell>
          <cell r="BA25">
            <v>3936.05</v>
          </cell>
          <cell r="BB25">
            <v>62468.800000000003</v>
          </cell>
          <cell r="BC25">
            <v>14613.85</v>
          </cell>
          <cell r="BD25">
            <v>0</v>
          </cell>
          <cell r="BE25">
            <v>9475.2800000000007</v>
          </cell>
          <cell r="BF25">
            <v>7204.54</v>
          </cell>
          <cell r="BG25">
            <v>11424.15</v>
          </cell>
          <cell r="BH25">
            <v>91169.85</v>
          </cell>
          <cell r="BI25">
            <v>18271.55</v>
          </cell>
          <cell r="BJ25">
            <v>40989.82</v>
          </cell>
          <cell r="BK25">
            <v>35348.43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</row>
        <row r="26">
          <cell r="B26">
            <v>2026</v>
          </cell>
          <cell r="C26" t="str">
            <v>Frith Manor School</v>
          </cell>
          <cell r="D26" t="str">
            <v>N</v>
          </cell>
          <cell r="E26" t="str">
            <v>Authorised</v>
          </cell>
          <cell r="F26">
            <v>0</v>
          </cell>
          <cell r="G26">
            <v>0</v>
          </cell>
          <cell r="H26" t="str">
            <v>20152016</v>
          </cell>
          <cell r="I26" t="str">
            <v>XG15</v>
          </cell>
          <cell r="J26" t="str">
            <v>Y</v>
          </cell>
          <cell r="K26" t="str">
            <v>Final</v>
          </cell>
          <cell r="L26" t="str">
            <v>Y</v>
          </cell>
          <cell r="M26" t="str">
            <v>Accruals</v>
          </cell>
          <cell r="N26" t="str">
            <v>Y</v>
          </cell>
          <cell r="O26" t="str">
            <v>Y</v>
          </cell>
          <cell r="P26">
            <v>16281</v>
          </cell>
          <cell r="Q26">
            <v>0</v>
          </cell>
          <cell r="R26">
            <v>1</v>
          </cell>
          <cell r="S26">
            <v>2607219.69</v>
          </cell>
          <cell r="T26">
            <v>0</v>
          </cell>
          <cell r="U26">
            <v>115942</v>
          </cell>
          <cell r="V26">
            <v>0</v>
          </cell>
          <cell r="W26">
            <v>156735.37</v>
          </cell>
          <cell r="X26">
            <v>7413.5</v>
          </cell>
          <cell r="Y26">
            <v>0</v>
          </cell>
          <cell r="Z26">
            <v>83440.45</v>
          </cell>
          <cell r="AA26">
            <v>47628.02</v>
          </cell>
          <cell r="AB26">
            <v>0</v>
          </cell>
          <cell r="AC26">
            <v>0</v>
          </cell>
          <cell r="AD26">
            <v>129705.92</v>
          </cell>
          <cell r="AE26">
            <v>30123.84</v>
          </cell>
          <cell r="AF26">
            <v>0</v>
          </cell>
          <cell r="AG26">
            <v>0</v>
          </cell>
          <cell r="AH26">
            <v>0</v>
          </cell>
          <cell r="AI26">
            <v>108123.65</v>
          </cell>
          <cell r="AJ26">
            <v>1573762.48</v>
          </cell>
          <cell r="AK26">
            <v>5405.61</v>
          </cell>
          <cell r="AL26">
            <v>640871.30000000005</v>
          </cell>
          <cell r="AM26">
            <v>48123.51</v>
          </cell>
          <cell r="AN26">
            <v>149974.82</v>
          </cell>
          <cell r="AO26">
            <v>0</v>
          </cell>
          <cell r="AP26">
            <v>82258.3</v>
          </cell>
          <cell r="AQ26">
            <v>9442.18</v>
          </cell>
          <cell r="AR26">
            <v>6120.12</v>
          </cell>
          <cell r="AS26">
            <v>1021.14</v>
          </cell>
          <cell r="AT26">
            <v>0</v>
          </cell>
          <cell r="AU26">
            <v>14637.3</v>
          </cell>
          <cell r="AV26">
            <v>3397</v>
          </cell>
          <cell r="AW26">
            <v>52831.63</v>
          </cell>
          <cell r="AX26">
            <v>2286.39</v>
          </cell>
          <cell r="AY26">
            <v>32007.759999999998</v>
          </cell>
          <cell r="AZ26">
            <v>28239.72</v>
          </cell>
          <cell r="BA26">
            <v>11472.45</v>
          </cell>
          <cell r="BB26">
            <v>113114.93</v>
          </cell>
          <cell r="BC26">
            <v>23577.82</v>
          </cell>
          <cell r="BD26">
            <v>0</v>
          </cell>
          <cell r="BE26">
            <v>26098.35</v>
          </cell>
          <cell r="BF26">
            <v>0</v>
          </cell>
          <cell r="BG26">
            <v>6354.78</v>
          </cell>
          <cell r="BH26">
            <v>159557.38</v>
          </cell>
          <cell r="BI26">
            <v>88830.92</v>
          </cell>
          <cell r="BJ26">
            <v>134427.60999999999</v>
          </cell>
          <cell r="BK26">
            <v>34838.94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</row>
        <row r="27">
          <cell r="B27">
            <v>2027</v>
          </cell>
          <cell r="C27" t="str">
            <v>Garden Suburb Junior School</v>
          </cell>
          <cell r="D27" t="str">
            <v>N</v>
          </cell>
          <cell r="E27" t="str">
            <v>Authorised</v>
          </cell>
          <cell r="F27">
            <v>0</v>
          </cell>
          <cell r="G27">
            <v>0</v>
          </cell>
          <cell r="H27" t="str">
            <v>20152016</v>
          </cell>
          <cell r="I27" t="str">
            <v>XG15</v>
          </cell>
          <cell r="J27" t="str">
            <v>Y</v>
          </cell>
          <cell r="K27" t="str">
            <v>Final</v>
          </cell>
          <cell r="L27" t="str">
            <v>Y</v>
          </cell>
          <cell r="M27" t="str">
            <v>Accruals</v>
          </cell>
          <cell r="N27" t="str">
            <v>Y</v>
          </cell>
          <cell r="O27" t="str">
            <v>Y</v>
          </cell>
          <cell r="P27">
            <v>99788</v>
          </cell>
          <cell r="Q27">
            <v>0</v>
          </cell>
          <cell r="R27">
            <v>0</v>
          </cell>
          <cell r="S27">
            <v>1442217</v>
          </cell>
          <cell r="T27">
            <v>0</v>
          </cell>
          <cell r="U27">
            <v>91693</v>
          </cell>
          <cell r="V27">
            <v>0</v>
          </cell>
          <cell r="W27">
            <v>97679.99</v>
          </cell>
          <cell r="X27">
            <v>5190</v>
          </cell>
          <cell r="Y27">
            <v>180</v>
          </cell>
          <cell r="Z27">
            <v>16927.05</v>
          </cell>
          <cell r="AA27">
            <v>81999.78</v>
          </cell>
          <cell r="AB27">
            <v>14535</v>
          </cell>
          <cell r="AC27">
            <v>1357.23</v>
          </cell>
          <cell r="AD27">
            <v>29302.9</v>
          </cell>
          <cell r="AE27">
            <v>3700.87</v>
          </cell>
          <cell r="AF27">
            <v>0</v>
          </cell>
          <cell r="AG27">
            <v>0</v>
          </cell>
          <cell r="AH27">
            <v>0</v>
          </cell>
          <cell r="AI27">
            <v>9772.17</v>
          </cell>
          <cell r="AJ27">
            <v>913620.83</v>
          </cell>
          <cell r="AK27">
            <v>5409.18</v>
          </cell>
          <cell r="AL27">
            <v>255438.23</v>
          </cell>
          <cell r="AM27">
            <v>25852.66</v>
          </cell>
          <cell r="AN27">
            <v>48703.42</v>
          </cell>
          <cell r="AO27">
            <v>0</v>
          </cell>
          <cell r="AP27">
            <v>25299.63</v>
          </cell>
          <cell r="AQ27">
            <v>6019.05</v>
          </cell>
          <cell r="AR27">
            <v>4249.6000000000004</v>
          </cell>
          <cell r="AS27">
            <v>15002.96</v>
          </cell>
          <cell r="AT27">
            <v>1491</v>
          </cell>
          <cell r="AU27">
            <v>10946.7</v>
          </cell>
          <cell r="AV27">
            <v>1932.86</v>
          </cell>
          <cell r="AW27">
            <v>20644.099999999999</v>
          </cell>
          <cell r="AX27">
            <v>828.45</v>
          </cell>
          <cell r="AY27">
            <v>17123.64</v>
          </cell>
          <cell r="AZ27">
            <v>13847.33</v>
          </cell>
          <cell r="BA27">
            <v>13418.43</v>
          </cell>
          <cell r="BB27">
            <v>66161.679999999993</v>
          </cell>
          <cell r="BC27">
            <v>14637.14</v>
          </cell>
          <cell r="BD27">
            <v>0</v>
          </cell>
          <cell r="BE27">
            <v>9764.74</v>
          </cell>
          <cell r="BF27">
            <v>7887.69</v>
          </cell>
          <cell r="BG27">
            <v>12511.82</v>
          </cell>
          <cell r="BH27">
            <v>94883.69</v>
          </cell>
          <cell r="BI27">
            <v>55777.120000000003</v>
          </cell>
          <cell r="BJ27">
            <v>141749.39000000001</v>
          </cell>
          <cell r="BK27">
            <v>30694.65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</row>
        <row r="28">
          <cell r="B28">
            <v>2028</v>
          </cell>
          <cell r="C28" t="str">
            <v>Garden Suburb Infant School</v>
          </cell>
          <cell r="D28" t="str">
            <v>N</v>
          </cell>
          <cell r="E28" t="str">
            <v>Authorised</v>
          </cell>
          <cell r="F28">
            <v>0</v>
          </cell>
          <cell r="G28">
            <v>0</v>
          </cell>
          <cell r="H28" t="str">
            <v>20152016</v>
          </cell>
          <cell r="I28" t="str">
            <v>XG15</v>
          </cell>
          <cell r="J28" t="str">
            <v>Y</v>
          </cell>
          <cell r="K28" t="str">
            <v>Final</v>
          </cell>
          <cell r="L28" t="str">
            <v>Y</v>
          </cell>
          <cell r="M28" t="str">
            <v>Accruals</v>
          </cell>
          <cell r="N28" t="str">
            <v>Y</v>
          </cell>
          <cell r="O28" t="str">
            <v>Y</v>
          </cell>
          <cell r="P28">
            <v>107317</v>
          </cell>
          <cell r="Q28">
            <v>0</v>
          </cell>
          <cell r="R28">
            <v>3222</v>
          </cell>
          <cell r="S28">
            <v>1078487</v>
          </cell>
          <cell r="T28">
            <v>0</v>
          </cell>
          <cell r="U28">
            <v>42391.83</v>
          </cell>
          <cell r="V28">
            <v>0</v>
          </cell>
          <cell r="W28">
            <v>48679.99</v>
          </cell>
          <cell r="X28">
            <v>5062.5</v>
          </cell>
          <cell r="Y28">
            <v>0</v>
          </cell>
          <cell r="Z28">
            <v>9459.61</v>
          </cell>
          <cell r="AA28">
            <v>2620.5700000000002</v>
          </cell>
          <cell r="AB28">
            <v>0</v>
          </cell>
          <cell r="AC28">
            <v>394.06</v>
          </cell>
          <cell r="AD28">
            <v>4939.55</v>
          </cell>
          <cell r="AE28">
            <v>7255.3</v>
          </cell>
          <cell r="AF28">
            <v>0</v>
          </cell>
          <cell r="AG28">
            <v>0</v>
          </cell>
          <cell r="AH28">
            <v>0</v>
          </cell>
          <cell r="AI28">
            <v>108151.91</v>
          </cell>
          <cell r="AJ28">
            <v>674217.24</v>
          </cell>
          <cell r="AK28">
            <v>0</v>
          </cell>
          <cell r="AL28">
            <v>254511.97</v>
          </cell>
          <cell r="AM28">
            <v>25853.86</v>
          </cell>
          <cell r="AN28">
            <v>37182.53</v>
          </cell>
          <cell r="AO28">
            <v>0</v>
          </cell>
          <cell r="AP28">
            <v>29467.7</v>
          </cell>
          <cell r="AQ28">
            <v>6718.66</v>
          </cell>
          <cell r="AR28">
            <v>636.6</v>
          </cell>
          <cell r="AS28">
            <v>11612.06</v>
          </cell>
          <cell r="AT28">
            <v>1134</v>
          </cell>
          <cell r="AU28">
            <v>7134.7</v>
          </cell>
          <cell r="AV28">
            <v>1048.6300000000001</v>
          </cell>
          <cell r="AW28">
            <v>14239.68</v>
          </cell>
          <cell r="AX28">
            <v>502.33</v>
          </cell>
          <cell r="AY28">
            <v>11732.87</v>
          </cell>
          <cell r="AZ28">
            <v>13847.33</v>
          </cell>
          <cell r="BA28">
            <v>11936.23</v>
          </cell>
          <cell r="BB28">
            <v>26774.46</v>
          </cell>
          <cell r="BC28">
            <v>10175.35</v>
          </cell>
          <cell r="BD28">
            <v>0</v>
          </cell>
          <cell r="BE28">
            <v>8664.84</v>
          </cell>
          <cell r="BF28">
            <v>5583.43</v>
          </cell>
          <cell r="BG28">
            <v>2724.26</v>
          </cell>
          <cell r="BH28">
            <v>94886.65</v>
          </cell>
          <cell r="BI28">
            <v>16039</v>
          </cell>
          <cell r="BJ28">
            <v>51942.29</v>
          </cell>
          <cell r="BK28">
            <v>24777.65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</row>
        <row r="29">
          <cell r="B29">
            <v>2029</v>
          </cell>
          <cell r="C29" t="str">
            <v>Goldbeaters School</v>
          </cell>
          <cell r="D29" t="str">
            <v>N</v>
          </cell>
          <cell r="E29" t="str">
            <v>Authorised</v>
          </cell>
          <cell r="F29">
            <v>0</v>
          </cell>
          <cell r="G29">
            <v>0</v>
          </cell>
          <cell r="H29" t="str">
            <v>20152016</v>
          </cell>
          <cell r="I29" t="str">
            <v>XG15</v>
          </cell>
          <cell r="J29" t="str">
            <v>Y</v>
          </cell>
          <cell r="K29" t="str">
            <v>Final</v>
          </cell>
          <cell r="L29" t="str">
            <v>Y</v>
          </cell>
          <cell r="M29" t="str">
            <v>Accruals</v>
          </cell>
          <cell r="N29" t="str">
            <v>Y</v>
          </cell>
          <cell r="O29" t="str">
            <v>Y</v>
          </cell>
          <cell r="P29">
            <v>241495</v>
          </cell>
          <cell r="Q29">
            <v>0</v>
          </cell>
          <cell r="R29">
            <v>-1</v>
          </cell>
          <cell r="S29">
            <v>2232158</v>
          </cell>
          <cell r="T29">
            <v>0</v>
          </cell>
          <cell r="U29">
            <v>51026</v>
          </cell>
          <cell r="V29">
            <v>0</v>
          </cell>
          <cell r="W29">
            <v>292570</v>
          </cell>
          <cell r="X29">
            <v>6035</v>
          </cell>
          <cell r="Y29">
            <v>1931</v>
          </cell>
          <cell r="Z29">
            <v>20554.23</v>
          </cell>
          <cell r="AA29">
            <v>29901.45</v>
          </cell>
          <cell r="AB29">
            <v>0</v>
          </cell>
          <cell r="AC29">
            <v>0</v>
          </cell>
          <cell r="AD29">
            <v>23512.31</v>
          </cell>
          <cell r="AE29">
            <v>2414.84</v>
          </cell>
          <cell r="AF29">
            <v>0</v>
          </cell>
          <cell r="AG29">
            <v>0</v>
          </cell>
          <cell r="AH29">
            <v>0</v>
          </cell>
          <cell r="AI29">
            <v>26771.91</v>
          </cell>
          <cell r="AJ29">
            <v>1089358.54</v>
          </cell>
          <cell r="AK29">
            <v>0</v>
          </cell>
          <cell r="AL29">
            <v>568721.03</v>
          </cell>
          <cell r="AM29">
            <v>106966.21</v>
          </cell>
          <cell r="AN29">
            <v>85123.39</v>
          </cell>
          <cell r="AO29">
            <v>0</v>
          </cell>
          <cell r="AP29">
            <v>95637.61</v>
          </cell>
          <cell r="AQ29">
            <v>10121.57</v>
          </cell>
          <cell r="AR29">
            <v>9117.39</v>
          </cell>
          <cell r="AS29">
            <v>15408.63</v>
          </cell>
          <cell r="AT29">
            <v>2028.6</v>
          </cell>
          <cell r="AU29">
            <v>80629.990000000005</v>
          </cell>
          <cell r="AV29">
            <v>318.38</v>
          </cell>
          <cell r="AW29">
            <v>4957.78</v>
          </cell>
          <cell r="AX29">
            <v>8037.36</v>
          </cell>
          <cell r="AY29">
            <v>27388.240000000002</v>
          </cell>
          <cell r="AZ29">
            <v>18629.599999999999</v>
          </cell>
          <cell r="BA29">
            <v>16041.93</v>
          </cell>
          <cell r="BB29">
            <v>140852.24</v>
          </cell>
          <cell r="BC29">
            <v>21212.6</v>
          </cell>
          <cell r="BD29">
            <v>0</v>
          </cell>
          <cell r="BE29">
            <v>16120.6</v>
          </cell>
          <cell r="BF29">
            <v>9441.84</v>
          </cell>
          <cell r="BG29">
            <v>34891.199999999997</v>
          </cell>
          <cell r="BH29">
            <v>111012.47</v>
          </cell>
          <cell r="BI29">
            <v>148047.47</v>
          </cell>
          <cell r="BJ29">
            <v>195326.58</v>
          </cell>
          <cell r="BK29">
            <v>44458.49</v>
          </cell>
          <cell r="BL29">
            <v>0</v>
          </cell>
          <cell r="BM29">
            <v>24050</v>
          </cell>
          <cell r="BN29">
            <v>0</v>
          </cell>
          <cell r="BO29">
            <v>0</v>
          </cell>
        </row>
        <row r="30">
          <cell r="B30">
            <v>2031</v>
          </cell>
          <cell r="C30" t="str">
            <v>Hollickwood School</v>
          </cell>
          <cell r="D30" t="str">
            <v>N</v>
          </cell>
          <cell r="E30" t="str">
            <v>Authorised</v>
          </cell>
          <cell r="F30">
            <v>0</v>
          </cell>
          <cell r="G30">
            <v>1</v>
          </cell>
          <cell r="H30" t="str">
            <v>20152016</v>
          </cell>
          <cell r="I30" t="str">
            <v>XG15</v>
          </cell>
          <cell r="J30" t="str">
            <v>Y</v>
          </cell>
          <cell r="K30" t="str">
            <v>Final</v>
          </cell>
          <cell r="L30" t="str">
            <v>Y</v>
          </cell>
          <cell r="M30" t="str">
            <v>Accruals</v>
          </cell>
          <cell r="N30" t="str">
            <v>Y</v>
          </cell>
          <cell r="O30" t="str">
            <v>Y</v>
          </cell>
          <cell r="P30">
            <v>108765</v>
          </cell>
          <cell r="Q30">
            <v>0</v>
          </cell>
          <cell r="R30">
            <v>0</v>
          </cell>
          <cell r="S30">
            <v>1170441</v>
          </cell>
          <cell r="T30">
            <v>0</v>
          </cell>
          <cell r="U30">
            <v>34249.300000000003</v>
          </cell>
          <cell r="V30">
            <v>0</v>
          </cell>
          <cell r="W30">
            <v>110101</v>
          </cell>
          <cell r="X30">
            <v>6439</v>
          </cell>
          <cell r="Y30">
            <v>5684.43</v>
          </cell>
          <cell r="Z30">
            <v>35629.42</v>
          </cell>
          <cell r="AA30">
            <v>16833.11</v>
          </cell>
          <cell r="AB30">
            <v>1094.4000000000001</v>
          </cell>
          <cell r="AC30">
            <v>10695.15</v>
          </cell>
          <cell r="AD30">
            <v>16213.36</v>
          </cell>
          <cell r="AE30">
            <v>3749.73</v>
          </cell>
          <cell r="AF30">
            <v>0</v>
          </cell>
          <cell r="AG30">
            <v>0</v>
          </cell>
          <cell r="AH30">
            <v>0</v>
          </cell>
          <cell r="AI30">
            <v>36610.33</v>
          </cell>
          <cell r="AJ30">
            <v>644964.66</v>
          </cell>
          <cell r="AK30">
            <v>0</v>
          </cell>
          <cell r="AL30">
            <v>367132.04</v>
          </cell>
          <cell r="AM30">
            <v>21978.32</v>
          </cell>
          <cell r="AN30">
            <v>36452.67</v>
          </cell>
          <cell r="AO30">
            <v>0</v>
          </cell>
          <cell r="AP30">
            <v>36280.76</v>
          </cell>
          <cell r="AQ30">
            <v>5166.51</v>
          </cell>
          <cell r="AR30">
            <v>8400.85</v>
          </cell>
          <cell r="AS30">
            <v>13978.44</v>
          </cell>
          <cell r="AT30">
            <v>940.8</v>
          </cell>
          <cell r="AU30">
            <v>16424.509999999998</v>
          </cell>
          <cell r="AV30">
            <v>4778.5600000000004</v>
          </cell>
          <cell r="AW30">
            <v>21131.26</v>
          </cell>
          <cell r="AX30">
            <v>4191.72</v>
          </cell>
          <cell r="AY30">
            <v>14700.13</v>
          </cell>
          <cell r="AZ30">
            <v>0</v>
          </cell>
          <cell r="BA30">
            <v>7442.88</v>
          </cell>
          <cell r="BB30">
            <v>51345.77</v>
          </cell>
          <cell r="BC30">
            <v>13422.43</v>
          </cell>
          <cell r="BD30">
            <v>0</v>
          </cell>
          <cell r="BE30">
            <v>12301.03</v>
          </cell>
          <cell r="BF30">
            <v>5440.99</v>
          </cell>
          <cell r="BG30">
            <v>11579.08</v>
          </cell>
          <cell r="BH30">
            <v>64126.15</v>
          </cell>
          <cell r="BI30">
            <v>28959</v>
          </cell>
          <cell r="BJ30">
            <v>55388.33</v>
          </cell>
          <cell r="BK30">
            <v>37109.339999999997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</row>
        <row r="31">
          <cell r="B31">
            <v>2032</v>
          </cell>
          <cell r="C31" t="str">
            <v>Holly Park School</v>
          </cell>
          <cell r="D31" t="str">
            <v>N</v>
          </cell>
          <cell r="E31" t="str">
            <v>Authorised</v>
          </cell>
          <cell r="F31">
            <v>0</v>
          </cell>
          <cell r="G31">
            <v>0</v>
          </cell>
          <cell r="H31" t="str">
            <v>20152016</v>
          </cell>
          <cell r="I31" t="str">
            <v>XG15</v>
          </cell>
          <cell r="J31" t="str">
            <v>Y</v>
          </cell>
          <cell r="K31" t="str">
            <v>Final</v>
          </cell>
          <cell r="L31" t="str">
            <v>Y</v>
          </cell>
          <cell r="M31" t="str">
            <v>Accruals</v>
          </cell>
          <cell r="N31" t="str">
            <v>Y</v>
          </cell>
          <cell r="O31" t="str">
            <v>N</v>
          </cell>
          <cell r="P31">
            <v>129706</v>
          </cell>
          <cell r="Q31">
            <v>0</v>
          </cell>
          <cell r="R31">
            <v>9</v>
          </cell>
          <cell r="S31">
            <v>2153534.2000000002</v>
          </cell>
          <cell r="T31">
            <v>0</v>
          </cell>
          <cell r="U31">
            <v>98593</v>
          </cell>
          <cell r="V31">
            <v>0</v>
          </cell>
          <cell r="W31">
            <v>159540.04999999999</v>
          </cell>
          <cell r="X31">
            <v>0</v>
          </cell>
          <cell r="Y31">
            <v>0</v>
          </cell>
          <cell r="Z31">
            <v>124425.3</v>
          </cell>
          <cell r="AA31">
            <v>48869.14</v>
          </cell>
          <cell r="AB31">
            <v>8665</v>
          </cell>
          <cell r="AC31">
            <v>0</v>
          </cell>
          <cell r="AD31">
            <v>0</v>
          </cell>
          <cell r="AE31">
            <v>65457.52</v>
          </cell>
          <cell r="AF31">
            <v>0</v>
          </cell>
          <cell r="AG31">
            <v>0</v>
          </cell>
          <cell r="AH31">
            <v>0</v>
          </cell>
          <cell r="AI31">
            <v>72663.87</v>
          </cell>
          <cell r="AJ31">
            <v>1226574.73</v>
          </cell>
          <cell r="AK31">
            <v>12514.23</v>
          </cell>
          <cell r="AL31">
            <v>602198.63</v>
          </cell>
          <cell r="AM31">
            <v>29843.78</v>
          </cell>
          <cell r="AN31">
            <v>62738.04</v>
          </cell>
          <cell r="AO31">
            <v>4.29</v>
          </cell>
          <cell r="AP31">
            <v>42392.66</v>
          </cell>
          <cell r="AQ31">
            <v>9019.48</v>
          </cell>
          <cell r="AR31">
            <v>7174.87</v>
          </cell>
          <cell r="AS31">
            <v>20080.03</v>
          </cell>
          <cell r="AT31">
            <v>2272.1999999999998</v>
          </cell>
          <cell r="AU31">
            <v>101509.7</v>
          </cell>
          <cell r="AV31">
            <v>1290.6600000000001</v>
          </cell>
          <cell r="AW31">
            <v>38792.03</v>
          </cell>
          <cell r="AX31">
            <v>4999.9399999999996</v>
          </cell>
          <cell r="AY31">
            <v>24817.14</v>
          </cell>
          <cell r="AZ31">
            <v>21445.5</v>
          </cell>
          <cell r="BA31">
            <v>7980.4</v>
          </cell>
          <cell r="BB31">
            <v>170896</v>
          </cell>
          <cell r="BC31">
            <v>17877.310000000001</v>
          </cell>
          <cell r="BD31">
            <v>0</v>
          </cell>
          <cell r="BE31">
            <v>16774.88</v>
          </cell>
          <cell r="BF31">
            <v>10524.36</v>
          </cell>
          <cell r="BG31">
            <v>5040</v>
          </cell>
          <cell r="BH31">
            <v>139129.51999999999</v>
          </cell>
          <cell r="BI31">
            <v>112363</v>
          </cell>
          <cell r="BJ31">
            <v>116647.08</v>
          </cell>
          <cell r="BK31">
            <v>35666.620000000003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</row>
        <row r="32">
          <cell r="B32">
            <v>2036</v>
          </cell>
          <cell r="C32" t="str">
            <v>Livingstone School</v>
          </cell>
          <cell r="D32" t="str">
            <v>N</v>
          </cell>
          <cell r="E32" t="str">
            <v>Authorised</v>
          </cell>
          <cell r="F32">
            <v>0</v>
          </cell>
          <cell r="G32">
            <v>1</v>
          </cell>
          <cell r="H32" t="str">
            <v>20152016</v>
          </cell>
          <cell r="I32" t="str">
            <v>XG15</v>
          </cell>
          <cell r="J32" t="str">
            <v>Y</v>
          </cell>
          <cell r="K32" t="str">
            <v>Final</v>
          </cell>
          <cell r="L32" t="str">
            <v>Y</v>
          </cell>
          <cell r="M32" t="str">
            <v>Accruals</v>
          </cell>
          <cell r="N32" t="str">
            <v>Y</v>
          </cell>
          <cell r="O32" t="str">
            <v>Y</v>
          </cell>
          <cell r="P32">
            <v>368432</v>
          </cell>
          <cell r="Q32">
            <v>0</v>
          </cell>
          <cell r="R32">
            <v>32</v>
          </cell>
          <cell r="S32">
            <v>1578607</v>
          </cell>
          <cell r="T32">
            <v>0</v>
          </cell>
          <cell r="U32">
            <v>437042</v>
          </cell>
          <cell r="V32">
            <v>0</v>
          </cell>
          <cell r="W32">
            <v>145903.76</v>
          </cell>
          <cell r="X32">
            <v>0</v>
          </cell>
          <cell r="Y32">
            <v>1525</v>
          </cell>
          <cell r="Z32">
            <v>59290.2</v>
          </cell>
          <cell r="AA32">
            <v>14117.64</v>
          </cell>
          <cell r="AB32">
            <v>0</v>
          </cell>
          <cell r="AC32">
            <v>7487</v>
          </cell>
          <cell r="AD32">
            <v>18802.599999999999</v>
          </cell>
          <cell r="AE32">
            <v>4178.34</v>
          </cell>
          <cell r="AF32">
            <v>0</v>
          </cell>
          <cell r="AG32">
            <v>0</v>
          </cell>
          <cell r="AH32">
            <v>0</v>
          </cell>
          <cell r="AI32">
            <v>48169.59</v>
          </cell>
          <cell r="AJ32">
            <v>877175.79</v>
          </cell>
          <cell r="AK32">
            <v>17261.2</v>
          </cell>
          <cell r="AL32">
            <v>604210.92000000004</v>
          </cell>
          <cell r="AM32">
            <v>73497.84</v>
          </cell>
          <cell r="AN32">
            <v>60994.47</v>
          </cell>
          <cell r="AO32">
            <v>0</v>
          </cell>
          <cell r="AP32">
            <v>9490.64</v>
          </cell>
          <cell r="AQ32">
            <v>16845.34</v>
          </cell>
          <cell r="AR32">
            <v>15263.47</v>
          </cell>
          <cell r="AS32">
            <v>381</v>
          </cell>
          <cell r="AT32">
            <v>1062.5999999999999</v>
          </cell>
          <cell r="AU32">
            <v>64323.16</v>
          </cell>
          <cell r="AV32">
            <v>12214.9</v>
          </cell>
          <cell r="AW32">
            <v>15058.41</v>
          </cell>
          <cell r="AX32">
            <v>1751.07</v>
          </cell>
          <cell r="AY32">
            <v>24636.73</v>
          </cell>
          <cell r="AZ32">
            <v>12255.75</v>
          </cell>
          <cell r="BA32">
            <v>21710.79</v>
          </cell>
          <cell r="BB32">
            <v>86214.86</v>
          </cell>
          <cell r="BC32">
            <v>26371.86</v>
          </cell>
          <cell r="BD32">
            <v>0</v>
          </cell>
          <cell r="BE32">
            <v>13813.98</v>
          </cell>
          <cell r="BF32">
            <v>8754.2800000000007</v>
          </cell>
          <cell r="BG32">
            <v>8501.8799999999992</v>
          </cell>
          <cell r="BH32">
            <v>83121.23</v>
          </cell>
          <cell r="BI32">
            <v>30248.5</v>
          </cell>
          <cell r="BJ32">
            <v>123786.2</v>
          </cell>
          <cell r="BK32">
            <v>41320.57</v>
          </cell>
          <cell r="BL32">
            <v>0</v>
          </cell>
          <cell r="BM32">
            <v>40126.69</v>
          </cell>
          <cell r="BN32">
            <v>0</v>
          </cell>
          <cell r="BO32">
            <v>0</v>
          </cell>
        </row>
        <row r="33">
          <cell r="B33">
            <v>2037</v>
          </cell>
          <cell r="C33" t="str">
            <v xml:space="preserve">Manorside School </v>
          </cell>
          <cell r="D33" t="str">
            <v>N</v>
          </cell>
          <cell r="E33" t="str">
            <v>Authorised</v>
          </cell>
          <cell r="F33">
            <v>0</v>
          </cell>
          <cell r="G33">
            <v>1</v>
          </cell>
          <cell r="H33" t="str">
            <v>20152016</v>
          </cell>
          <cell r="I33" t="str">
            <v>XG15</v>
          </cell>
          <cell r="J33" t="str">
            <v>Y</v>
          </cell>
          <cell r="K33" t="str">
            <v>Final</v>
          </cell>
          <cell r="L33" t="str">
            <v>Y</v>
          </cell>
          <cell r="M33" t="str">
            <v>Accruals</v>
          </cell>
          <cell r="N33" t="str">
            <v>Y</v>
          </cell>
          <cell r="O33" t="str">
            <v>N</v>
          </cell>
          <cell r="P33">
            <v>94199</v>
          </cell>
          <cell r="Q33">
            <v>0</v>
          </cell>
          <cell r="R33">
            <v>333</v>
          </cell>
          <cell r="S33">
            <v>1421645</v>
          </cell>
          <cell r="T33">
            <v>0</v>
          </cell>
          <cell r="U33">
            <v>63981</v>
          </cell>
          <cell r="V33">
            <v>0</v>
          </cell>
          <cell r="W33">
            <v>89440.01</v>
          </cell>
          <cell r="X33">
            <v>7402.87</v>
          </cell>
          <cell r="Y33">
            <v>99602.05</v>
          </cell>
          <cell r="Z33">
            <v>67297.649999999994</v>
          </cell>
          <cell r="AA33">
            <v>27294.04</v>
          </cell>
          <cell r="AB33">
            <v>2804.89</v>
          </cell>
          <cell r="AC33">
            <v>3464.19</v>
          </cell>
          <cell r="AD33">
            <v>16793.3</v>
          </cell>
          <cell r="AE33">
            <v>6371.27</v>
          </cell>
          <cell r="AF33">
            <v>0</v>
          </cell>
          <cell r="AG33">
            <v>0</v>
          </cell>
          <cell r="AH33">
            <v>0</v>
          </cell>
          <cell r="AI33">
            <v>20955.830000000002</v>
          </cell>
          <cell r="AJ33">
            <v>756538.72</v>
          </cell>
          <cell r="AK33">
            <v>0</v>
          </cell>
          <cell r="AL33">
            <v>414668.87</v>
          </cell>
          <cell r="AM33">
            <v>45309.58</v>
          </cell>
          <cell r="AN33">
            <v>71705.13</v>
          </cell>
          <cell r="AO33">
            <v>0</v>
          </cell>
          <cell r="AP33">
            <v>52082.69</v>
          </cell>
          <cell r="AQ33">
            <v>3797.71</v>
          </cell>
          <cell r="AR33">
            <v>4107.51</v>
          </cell>
          <cell r="AS33">
            <v>15710.09</v>
          </cell>
          <cell r="AT33">
            <v>1176</v>
          </cell>
          <cell r="AU33">
            <v>22829.11</v>
          </cell>
          <cell r="AV33">
            <v>1188.44</v>
          </cell>
          <cell r="AW33">
            <v>28152.400000000001</v>
          </cell>
          <cell r="AX33">
            <v>2976.42</v>
          </cell>
          <cell r="AY33">
            <v>30009.79</v>
          </cell>
          <cell r="AZ33">
            <v>31193.53</v>
          </cell>
          <cell r="BA33">
            <v>8270.7099999999991</v>
          </cell>
          <cell r="BB33">
            <v>133122.64000000001</v>
          </cell>
          <cell r="BC33">
            <v>27034.81</v>
          </cell>
          <cell r="BD33">
            <v>0</v>
          </cell>
          <cell r="BE33">
            <v>17640.990000000002</v>
          </cell>
          <cell r="BF33">
            <v>11125.17</v>
          </cell>
          <cell r="BG33">
            <v>6747.41</v>
          </cell>
          <cell r="BH33">
            <v>82807.17</v>
          </cell>
          <cell r="BI33">
            <v>60754.2</v>
          </cell>
          <cell r="BJ33">
            <v>60135.78</v>
          </cell>
          <cell r="BK33">
            <v>42107.06</v>
          </cell>
          <cell r="BL33">
            <v>0</v>
          </cell>
          <cell r="BM33">
            <v>6358.17</v>
          </cell>
          <cell r="BN33">
            <v>0</v>
          </cell>
          <cell r="BO33">
            <v>0</v>
          </cell>
        </row>
        <row r="34">
          <cell r="B34">
            <v>2041</v>
          </cell>
          <cell r="C34" t="str">
            <v>Sacks Morasha</v>
          </cell>
          <cell r="D34" t="str">
            <v>N</v>
          </cell>
          <cell r="E34" t="str">
            <v>Authorised</v>
          </cell>
          <cell r="F34">
            <v>0</v>
          </cell>
          <cell r="G34">
            <v>0</v>
          </cell>
          <cell r="H34" t="str">
            <v>20152016</v>
          </cell>
          <cell r="I34" t="str">
            <v>XG15</v>
          </cell>
          <cell r="J34" t="str">
            <v>Y</v>
          </cell>
          <cell r="K34" t="str">
            <v>Final</v>
          </cell>
          <cell r="L34" t="str">
            <v>Y</v>
          </cell>
          <cell r="M34" t="str">
            <v>Accruals</v>
          </cell>
          <cell r="N34" t="str">
            <v>N</v>
          </cell>
          <cell r="O34" t="str">
            <v>Y</v>
          </cell>
          <cell r="P34">
            <v>24718</v>
          </cell>
          <cell r="Q34">
            <v>0</v>
          </cell>
          <cell r="R34">
            <v>1</v>
          </cell>
          <cell r="S34">
            <v>722795</v>
          </cell>
          <cell r="T34">
            <v>0</v>
          </cell>
          <cell r="U34">
            <v>0</v>
          </cell>
          <cell r="V34">
            <v>0</v>
          </cell>
          <cell r="W34">
            <v>3960</v>
          </cell>
          <cell r="X34">
            <v>0</v>
          </cell>
          <cell r="Y34">
            <v>6015.68</v>
          </cell>
          <cell r="Z34">
            <v>2310.19</v>
          </cell>
          <cell r="AA34">
            <v>38654.39</v>
          </cell>
          <cell r="AB34">
            <v>0</v>
          </cell>
          <cell r="AC34">
            <v>19855.78</v>
          </cell>
          <cell r="AD34">
            <v>9922.6200000000008</v>
          </cell>
          <cell r="AE34">
            <v>147365.91</v>
          </cell>
          <cell r="AF34">
            <v>0</v>
          </cell>
          <cell r="AG34">
            <v>0</v>
          </cell>
          <cell r="AH34">
            <v>0</v>
          </cell>
          <cell r="AI34">
            <v>51561.59</v>
          </cell>
          <cell r="AJ34">
            <v>466512.63</v>
          </cell>
          <cell r="AK34">
            <v>0</v>
          </cell>
          <cell r="AL34">
            <v>163098.96</v>
          </cell>
          <cell r="AM34">
            <v>112.9</v>
          </cell>
          <cell r="AN34">
            <v>9092.25</v>
          </cell>
          <cell r="AO34">
            <v>0</v>
          </cell>
          <cell r="AP34">
            <v>1115.44</v>
          </cell>
          <cell r="AQ34">
            <v>11344.67</v>
          </cell>
          <cell r="AR34">
            <v>5225.6000000000004</v>
          </cell>
          <cell r="AS34">
            <v>11339.72</v>
          </cell>
          <cell r="AT34">
            <v>146.47</v>
          </cell>
          <cell r="AU34">
            <v>10998.12</v>
          </cell>
          <cell r="AV34">
            <v>0</v>
          </cell>
          <cell r="AW34">
            <v>10787.16</v>
          </cell>
          <cell r="AX34">
            <v>120.68</v>
          </cell>
          <cell r="AY34">
            <v>7373.5</v>
          </cell>
          <cell r="AZ34">
            <v>0</v>
          </cell>
          <cell r="BA34">
            <v>2323.1999999999998</v>
          </cell>
          <cell r="BB34">
            <v>76287.429999999993</v>
          </cell>
          <cell r="BC34">
            <v>11392.88</v>
          </cell>
          <cell r="BD34">
            <v>0</v>
          </cell>
          <cell r="BE34">
            <v>11974.78</v>
          </cell>
          <cell r="BF34">
            <v>10092.969999999999</v>
          </cell>
          <cell r="BG34">
            <v>6981.47</v>
          </cell>
          <cell r="BH34">
            <v>73076.5</v>
          </cell>
          <cell r="BI34">
            <v>16326.85</v>
          </cell>
          <cell r="BJ34">
            <v>22835.38</v>
          </cell>
          <cell r="BK34">
            <v>19067.599999999999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</row>
        <row r="35">
          <cell r="B35">
            <v>2042</v>
          </cell>
          <cell r="C35" t="str">
            <v>Monkfrith School</v>
          </cell>
          <cell r="D35" t="str">
            <v>N</v>
          </cell>
          <cell r="E35" t="str">
            <v>Authorised</v>
          </cell>
          <cell r="F35">
            <v>0</v>
          </cell>
          <cell r="G35">
            <v>2</v>
          </cell>
          <cell r="H35" t="str">
            <v>20152016</v>
          </cell>
          <cell r="I35" t="str">
            <v>XG15</v>
          </cell>
          <cell r="J35" t="str">
            <v>Y</v>
          </cell>
          <cell r="K35" t="str">
            <v>Final</v>
          </cell>
          <cell r="L35" t="str">
            <v>Y</v>
          </cell>
          <cell r="M35" t="str">
            <v>Accruals</v>
          </cell>
          <cell r="N35" t="str">
            <v>Y</v>
          </cell>
          <cell r="O35" t="str">
            <v>Y</v>
          </cell>
          <cell r="P35">
            <v>114538</v>
          </cell>
          <cell r="Q35">
            <v>0</v>
          </cell>
          <cell r="R35">
            <v>0</v>
          </cell>
          <cell r="S35">
            <v>1140142</v>
          </cell>
          <cell r="T35">
            <v>0</v>
          </cell>
          <cell r="U35">
            <v>77753</v>
          </cell>
          <cell r="V35">
            <v>0</v>
          </cell>
          <cell r="W35">
            <v>50179</v>
          </cell>
          <cell r="X35">
            <v>2305</v>
          </cell>
          <cell r="Y35">
            <v>718</v>
          </cell>
          <cell r="Z35">
            <v>53914.85</v>
          </cell>
          <cell r="AA35">
            <v>33054.400000000001</v>
          </cell>
          <cell r="AB35">
            <v>4620</v>
          </cell>
          <cell r="AC35">
            <v>2152</v>
          </cell>
          <cell r="AD35">
            <v>30683.91</v>
          </cell>
          <cell r="AE35">
            <v>5018.07</v>
          </cell>
          <cell r="AF35">
            <v>0</v>
          </cell>
          <cell r="AG35">
            <v>0</v>
          </cell>
          <cell r="AH35">
            <v>0</v>
          </cell>
          <cell r="AI35">
            <v>60447.92</v>
          </cell>
          <cell r="AJ35">
            <v>607580.4</v>
          </cell>
          <cell r="AK35">
            <v>0</v>
          </cell>
          <cell r="AL35">
            <v>345264.7</v>
          </cell>
          <cell r="AM35">
            <v>42047.11</v>
          </cell>
          <cell r="AN35">
            <v>82057.84</v>
          </cell>
          <cell r="AO35">
            <v>0</v>
          </cell>
          <cell r="AP35">
            <v>83455.899999999994</v>
          </cell>
          <cell r="AQ35">
            <v>3701.3</v>
          </cell>
          <cell r="AR35">
            <v>4949.1000000000004</v>
          </cell>
          <cell r="AS35">
            <v>5095.22</v>
          </cell>
          <cell r="AT35">
            <v>1024.8</v>
          </cell>
          <cell r="AU35">
            <v>6731.97</v>
          </cell>
          <cell r="AV35">
            <v>4806</v>
          </cell>
          <cell r="AW35">
            <v>339.01</v>
          </cell>
          <cell r="AX35">
            <v>2001.15</v>
          </cell>
          <cell r="AY35">
            <v>12124.7</v>
          </cell>
          <cell r="AZ35">
            <v>12331.07</v>
          </cell>
          <cell r="BA35">
            <v>5775.46</v>
          </cell>
          <cell r="BB35">
            <v>48902.71</v>
          </cell>
          <cell r="BC35">
            <v>8768.2000000000007</v>
          </cell>
          <cell r="BD35">
            <v>0</v>
          </cell>
          <cell r="BE35">
            <v>6594.84</v>
          </cell>
          <cell r="BF35">
            <v>6119.34</v>
          </cell>
          <cell r="BG35">
            <v>5839.31</v>
          </cell>
          <cell r="BH35">
            <v>88586.03</v>
          </cell>
          <cell r="BI35">
            <v>12464</v>
          </cell>
          <cell r="BJ35">
            <v>51285.599999999999</v>
          </cell>
          <cell r="BK35">
            <v>15937.39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</row>
        <row r="36">
          <cell r="B36">
            <v>2043</v>
          </cell>
          <cell r="C36" t="str">
            <v>Moss Hall Junior School</v>
          </cell>
          <cell r="D36" t="str">
            <v>N</v>
          </cell>
          <cell r="E36" t="str">
            <v>Authorised</v>
          </cell>
          <cell r="F36">
            <v>0</v>
          </cell>
          <cell r="G36">
            <v>0</v>
          </cell>
          <cell r="H36" t="str">
            <v>20152016</v>
          </cell>
          <cell r="I36" t="str">
            <v>XG15</v>
          </cell>
          <cell r="J36" t="str">
            <v>Y</v>
          </cell>
          <cell r="K36" t="str">
            <v>Final</v>
          </cell>
          <cell r="L36" t="str">
            <v>Y</v>
          </cell>
          <cell r="M36" t="str">
            <v>Accruals</v>
          </cell>
          <cell r="N36" t="str">
            <v>Y</v>
          </cell>
          <cell r="O36" t="str">
            <v>Y</v>
          </cell>
          <cell r="P36">
            <v>209805</v>
          </cell>
          <cell r="Q36">
            <v>0</v>
          </cell>
          <cell r="R36">
            <v>-1</v>
          </cell>
          <cell r="S36">
            <v>1623667</v>
          </cell>
          <cell r="T36">
            <v>0</v>
          </cell>
          <cell r="U36">
            <v>162742</v>
          </cell>
          <cell r="V36">
            <v>0</v>
          </cell>
          <cell r="W36">
            <v>110429.01</v>
          </cell>
          <cell r="X36">
            <v>1600</v>
          </cell>
          <cell r="Y36">
            <v>0</v>
          </cell>
          <cell r="Z36">
            <v>73860.52</v>
          </cell>
          <cell r="AA36">
            <v>79498.45</v>
          </cell>
          <cell r="AB36">
            <v>8852.61</v>
          </cell>
          <cell r="AC36">
            <v>5860.52</v>
          </cell>
          <cell r="AD36">
            <v>53069.85</v>
          </cell>
          <cell r="AE36">
            <v>17325.3</v>
          </cell>
          <cell r="AF36">
            <v>0</v>
          </cell>
          <cell r="AG36">
            <v>0</v>
          </cell>
          <cell r="AH36">
            <v>0</v>
          </cell>
          <cell r="AI36">
            <v>9922.58</v>
          </cell>
          <cell r="AJ36">
            <v>892011.6</v>
          </cell>
          <cell r="AK36">
            <v>1007.5</v>
          </cell>
          <cell r="AL36">
            <v>368637.47</v>
          </cell>
          <cell r="AM36">
            <v>57168.480000000003</v>
          </cell>
          <cell r="AN36">
            <v>79094.17</v>
          </cell>
          <cell r="AO36">
            <v>0</v>
          </cell>
          <cell r="AP36">
            <v>37155.26</v>
          </cell>
          <cell r="AQ36">
            <v>0</v>
          </cell>
          <cell r="AR36">
            <v>8725.65</v>
          </cell>
          <cell r="AS36">
            <v>10799.61</v>
          </cell>
          <cell r="AT36">
            <v>6708.7</v>
          </cell>
          <cell r="AU36">
            <v>45600.62</v>
          </cell>
          <cell r="AV36">
            <v>10359.219999999999</v>
          </cell>
          <cell r="AW36">
            <v>45225.65</v>
          </cell>
          <cell r="AX36">
            <v>9364.23</v>
          </cell>
          <cell r="AY36">
            <v>43867.35</v>
          </cell>
          <cell r="AZ36">
            <v>12571.5</v>
          </cell>
          <cell r="BA36">
            <v>8592.7900000000009</v>
          </cell>
          <cell r="BB36">
            <v>111332</v>
          </cell>
          <cell r="BC36">
            <v>21369.11</v>
          </cell>
          <cell r="BD36">
            <v>0</v>
          </cell>
          <cell r="BE36">
            <v>19143.37</v>
          </cell>
          <cell r="BF36">
            <v>11896.01</v>
          </cell>
          <cell r="BG36">
            <v>2301.04</v>
          </cell>
          <cell r="BH36">
            <v>96305.96</v>
          </cell>
          <cell r="BI36">
            <v>158420.39000000001</v>
          </cell>
          <cell r="BJ36">
            <v>52645.64</v>
          </cell>
          <cell r="BK36">
            <v>32347.8</v>
          </cell>
          <cell r="BL36">
            <v>0</v>
          </cell>
          <cell r="BM36">
            <v>22315.72</v>
          </cell>
          <cell r="BN36">
            <v>0</v>
          </cell>
          <cell r="BO36">
            <v>0</v>
          </cell>
        </row>
        <row r="37">
          <cell r="B37">
            <v>2044</v>
          </cell>
          <cell r="C37" t="str">
            <v>Moss Hall Infant School</v>
          </cell>
          <cell r="D37" t="str">
            <v>N</v>
          </cell>
          <cell r="E37" t="str">
            <v>Authorised</v>
          </cell>
          <cell r="F37">
            <v>0</v>
          </cell>
          <cell r="G37">
            <v>0</v>
          </cell>
          <cell r="H37" t="str">
            <v>20152016</v>
          </cell>
          <cell r="I37" t="str">
            <v>XG15</v>
          </cell>
          <cell r="J37" t="str">
            <v>Y</v>
          </cell>
          <cell r="K37" t="str">
            <v>Final</v>
          </cell>
          <cell r="L37" t="str">
            <v>Y</v>
          </cell>
          <cell r="M37" t="str">
            <v>Accruals</v>
          </cell>
          <cell r="N37" t="str">
            <v>Y</v>
          </cell>
          <cell r="O37" t="str">
            <v>Y</v>
          </cell>
          <cell r="P37">
            <v>62352</v>
          </cell>
          <cell r="Q37">
            <v>0</v>
          </cell>
          <cell r="R37">
            <v>0</v>
          </cell>
          <cell r="S37">
            <v>1509732</v>
          </cell>
          <cell r="T37">
            <v>0</v>
          </cell>
          <cell r="U37">
            <v>148376</v>
          </cell>
          <cell r="V37">
            <v>0</v>
          </cell>
          <cell r="W37">
            <v>109169</v>
          </cell>
          <cell r="X37">
            <v>8939.65</v>
          </cell>
          <cell r="Y37">
            <v>5142.3599999999997</v>
          </cell>
          <cell r="Z37">
            <v>40081.78</v>
          </cell>
          <cell r="AA37">
            <v>2155.5300000000002</v>
          </cell>
          <cell r="AB37">
            <v>9234</v>
          </cell>
          <cell r="AC37">
            <v>3331.39</v>
          </cell>
          <cell r="AD37">
            <v>11986.05</v>
          </cell>
          <cell r="AE37">
            <v>25289.75</v>
          </cell>
          <cell r="AF37">
            <v>0</v>
          </cell>
          <cell r="AG37">
            <v>0</v>
          </cell>
          <cell r="AH37">
            <v>0</v>
          </cell>
          <cell r="AI37">
            <v>131292.66</v>
          </cell>
          <cell r="AJ37">
            <v>823802.17</v>
          </cell>
          <cell r="AK37">
            <v>428.72</v>
          </cell>
          <cell r="AL37">
            <v>423763.04</v>
          </cell>
          <cell r="AM37">
            <v>33159.550000000003</v>
          </cell>
          <cell r="AN37">
            <v>94907.42</v>
          </cell>
          <cell r="AO37">
            <v>0</v>
          </cell>
          <cell r="AP37">
            <v>66298.89</v>
          </cell>
          <cell r="AQ37">
            <v>8490.08</v>
          </cell>
          <cell r="AR37">
            <v>3790.09</v>
          </cell>
          <cell r="AS37">
            <v>11424.04</v>
          </cell>
          <cell r="AT37">
            <v>7939.7</v>
          </cell>
          <cell r="AU37">
            <v>47277.83</v>
          </cell>
          <cell r="AV37">
            <v>5787.5</v>
          </cell>
          <cell r="AW37">
            <v>44648.5</v>
          </cell>
          <cell r="AX37">
            <v>7091.05</v>
          </cell>
          <cell r="AY37">
            <v>27423.119999999999</v>
          </cell>
          <cell r="AZ37">
            <v>12571.5</v>
          </cell>
          <cell r="BA37">
            <v>11259.87</v>
          </cell>
          <cell r="BB37">
            <v>60887.26</v>
          </cell>
          <cell r="BC37">
            <v>11933.82</v>
          </cell>
          <cell r="BD37">
            <v>0</v>
          </cell>
          <cell r="BE37">
            <v>7347.67</v>
          </cell>
          <cell r="BF37">
            <v>7813.94</v>
          </cell>
          <cell r="BG37">
            <v>4048.24</v>
          </cell>
          <cell r="BH37">
            <v>117701.71</v>
          </cell>
          <cell r="BI37">
            <v>30095.58</v>
          </cell>
          <cell r="BJ37">
            <v>50085.88</v>
          </cell>
          <cell r="BK37">
            <v>21195</v>
          </cell>
          <cell r="BL37">
            <v>0</v>
          </cell>
          <cell r="BM37">
            <v>20064</v>
          </cell>
          <cell r="BN37">
            <v>0</v>
          </cell>
          <cell r="BO37">
            <v>0</v>
          </cell>
        </row>
        <row r="38">
          <cell r="B38">
            <v>2045</v>
          </cell>
          <cell r="C38" t="str">
            <v>Northside School</v>
          </cell>
          <cell r="D38" t="str">
            <v>N</v>
          </cell>
          <cell r="E38" t="str">
            <v>Authorised</v>
          </cell>
          <cell r="F38">
            <v>0</v>
          </cell>
          <cell r="G38">
            <v>0</v>
          </cell>
          <cell r="H38" t="str">
            <v>20152016</v>
          </cell>
          <cell r="I38" t="str">
            <v>XG15</v>
          </cell>
          <cell r="J38" t="str">
            <v>Y</v>
          </cell>
          <cell r="K38" t="str">
            <v>Final</v>
          </cell>
          <cell r="L38" t="str">
            <v>Y</v>
          </cell>
          <cell r="M38" t="str">
            <v>Accruals</v>
          </cell>
          <cell r="N38" t="str">
            <v>Y</v>
          </cell>
          <cell r="O38" t="str">
            <v>N</v>
          </cell>
          <cell r="P38">
            <v>399125</v>
          </cell>
          <cell r="Q38">
            <v>0</v>
          </cell>
          <cell r="R38">
            <v>12252</v>
          </cell>
          <cell r="S38">
            <v>1298491</v>
          </cell>
          <cell r="T38">
            <v>0</v>
          </cell>
          <cell r="U38">
            <v>28807</v>
          </cell>
          <cell r="V38">
            <v>0</v>
          </cell>
          <cell r="W38">
            <v>74905.440000000002</v>
          </cell>
          <cell r="X38">
            <v>12731</v>
          </cell>
          <cell r="Y38">
            <v>30105</v>
          </cell>
          <cell r="Z38">
            <v>65763.039999999994</v>
          </cell>
          <cell r="AA38">
            <v>18344.91</v>
          </cell>
          <cell r="AB38">
            <v>5515.5</v>
          </cell>
          <cell r="AC38">
            <v>0</v>
          </cell>
          <cell r="AD38">
            <v>20023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20156.330000000002</v>
          </cell>
          <cell r="AJ38">
            <v>695532.37</v>
          </cell>
          <cell r="AK38">
            <v>0</v>
          </cell>
          <cell r="AL38">
            <v>346393.57</v>
          </cell>
          <cell r="AM38">
            <v>24355.64</v>
          </cell>
          <cell r="AN38">
            <v>43428.29</v>
          </cell>
          <cell r="AO38">
            <v>0</v>
          </cell>
          <cell r="AP38">
            <v>38278.14</v>
          </cell>
          <cell r="AQ38">
            <v>4971.83</v>
          </cell>
          <cell r="AR38">
            <v>9564.99</v>
          </cell>
          <cell r="AS38">
            <v>12724.42</v>
          </cell>
          <cell r="AT38">
            <v>0</v>
          </cell>
          <cell r="AU38">
            <v>28269.74</v>
          </cell>
          <cell r="AV38">
            <v>1831.37</v>
          </cell>
          <cell r="AW38">
            <v>17064.84</v>
          </cell>
          <cell r="AX38">
            <v>467.08</v>
          </cell>
          <cell r="AY38">
            <v>16231.95</v>
          </cell>
          <cell r="AZ38">
            <v>9568.44</v>
          </cell>
          <cell r="BA38">
            <v>6902.59</v>
          </cell>
          <cell r="BB38">
            <v>66475.75</v>
          </cell>
          <cell r="BC38">
            <v>15287.99</v>
          </cell>
          <cell r="BD38">
            <v>0</v>
          </cell>
          <cell r="BE38">
            <v>7295.63</v>
          </cell>
          <cell r="BF38">
            <v>10785.61</v>
          </cell>
          <cell r="BG38">
            <v>21122.34</v>
          </cell>
          <cell r="BH38">
            <v>55551.01</v>
          </cell>
          <cell r="BI38">
            <v>20296.46</v>
          </cell>
          <cell r="BJ38">
            <v>37878.959999999999</v>
          </cell>
          <cell r="BK38">
            <v>41514.21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</row>
        <row r="39">
          <cell r="B39">
            <v>2052</v>
          </cell>
          <cell r="C39" t="str">
            <v xml:space="preserve">Summerside School </v>
          </cell>
          <cell r="D39" t="str">
            <v>N</v>
          </cell>
          <cell r="E39" t="str">
            <v>Authorised</v>
          </cell>
          <cell r="F39">
            <v>0</v>
          </cell>
          <cell r="G39">
            <v>0</v>
          </cell>
          <cell r="H39" t="str">
            <v>20152016</v>
          </cell>
          <cell r="I39" t="str">
            <v>XG15</v>
          </cell>
          <cell r="J39" t="str">
            <v>Y</v>
          </cell>
          <cell r="K39" t="str">
            <v>Final</v>
          </cell>
          <cell r="L39" t="str">
            <v>Y</v>
          </cell>
          <cell r="M39" t="str">
            <v>Accruals</v>
          </cell>
          <cell r="N39" t="str">
            <v>Y</v>
          </cell>
          <cell r="O39" t="str">
            <v>Y</v>
          </cell>
          <cell r="P39">
            <v>111700</v>
          </cell>
          <cell r="Q39">
            <v>0</v>
          </cell>
          <cell r="R39">
            <v>142</v>
          </cell>
          <cell r="S39">
            <v>2304581</v>
          </cell>
          <cell r="T39">
            <v>0</v>
          </cell>
          <cell r="U39">
            <v>235953</v>
          </cell>
          <cell r="V39">
            <v>0</v>
          </cell>
          <cell r="W39">
            <v>234852.12</v>
          </cell>
          <cell r="X39">
            <v>17800</v>
          </cell>
          <cell r="Y39">
            <v>3837</v>
          </cell>
          <cell r="Z39">
            <v>13880.14</v>
          </cell>
          <cell r="AA39">
            <v>48838.5</v>
          </cell>
          <cell r="AB39">
            <v>15641.86</v>
          </cell>
          <cell r="AC39">
            <v>5544.71</v>
          </cell>
          <cell r="AD39">
            <v>17402.8</v>
          </cell>
          <cell r="AE39">
            <v>7447.85</v>
          </cell>
          <cell r="AF39">
            <v>0</v>
          </cell>
          <cell r="AG39">
            <v>0</v>
          </cell>
          <cell r="AH39">
            <v>0</v>
          </cell>
          <cell r="AI39">
            <v>70361.66</v>
          </cell>
          <cell r="AJ39">
            <v>1301160.75</v>
          </cell>
          <cell r="AK39">
            <v>0</v>
          </cell>
          <cell r="AL39">
            <v>561737.11</v>
          </cell>
          <cell r="AM39">
            <v>45935</v>
          </cell>
          <cell r="AN39">
            <v>95416.61</v>
          </cell>
          <cell r="AO39">
            <v>59637.02</v>
          </cell>
          <cell r="AP39">
            <v>47814.09</v>
          </cell>
          <cell r="AQ39">
            <v>19597.900000000001</v>
          </cell>
          <cell r="AR39">
            <v>20202.330000000002</v>
          </cell>
          <cell r="AS39">
            <v>22856.19</v>
          </cell>
          <cell r="AT39">
            <v>1907</v>
          </cell>
          <cell r="AU39">
            <v>41158.99</v>
          </cell>
          <cell r="AV39">
            <v>7573</v>
          </cell>
          <cell r="AW39">
            <v>35998.959999999999</v>
          </cell>
          <cell r="AX39">
            <v>2992.38</v>
          </cell>
          <cell r="AY39">
            <v>29468.81</v>
          </cell>
          <cell r="AZ39">
            <v>16591.75</v>
          </cell>
          <cell r="BA39">
            <v>13259.9</v>
          </cell>
          <cell r="BB39">
            <v>97713.73</v>
          </cell>
          <cell r="BC39">
            <v>23084.97</v>
          </cell>
          <cell r="BD39">
            <v>0</v>
          </cell>
          <cell r="BE39">
            <v>17643.98</v>
          </cell>
          <cell r="BF39">
            <v>10379</v>
          </cell>
          <cell r="BG39">
            <v>30567.27</v>
          </cell>
          <cell r="BH39">
            <v>60969.22</v>
          </cell>
          <cell r="BI39">
            <v>123668.73</v>
          </cell>
          <cell r="BJ39">
            <v>261776.53</v>
          </cell>
          <cell r="BK39">
            <v>39092.54</v>
          </cell>
          <cell r="BL39">
            <v>0</v>
          </cell>
          <cell r="BM39">
            <v>54054.879999999997</v>
          </cell>
          <cell r="BN39">
            <v>0</v>
          </cell>
          <cell r="BO39">
            <v>0</v>
          </cell>
        </row>
        <row r="40">
          <cell r="B40">
            <v>2054</v>
          </cell>
          <cell r="C40" t="str">
            <v>Woodridge School</v>
          </cell>
          <cell r="D40" t="str">
            <v>N</v>
          </cell>
          <cell r="E40" t="str">
            <v>Authorised</v>
          </cell>
          <cell r="F40">
            <v>0</v>
          </cell>
          <cell r="G40">
            <v>0</v>
          </cell>
          <cell r="H40" t="str">
            <v>20152016</v>
          </cell>
          <cell r="I40" t="str">
            <v>XG15</v>
          </cell>
          <cell r="J40" t="str">
            <v>Y</v>
          </cell>
          <cell r="K40" t="str">
            <v>Final</v>
          </cell>
          <cell r="L40" t="str">
            <v>Y</v>
          </cell>
          <cell r="M40" t="str">
            <v>Accruals</v>
          </cell>
          <cell r="N40" t="str">
            <v>Y</v>
          </cell>
          <cell r="O40" t="str">
            <v>Y</v>
          </cell>
          <cell r="P40">
            <v>149100</v>
          </cell>
          <cell r="Q40">
            <v>0</v>
          </cell>
          <cell r="R40">
            <v>6689</v>
          </cell>
          <cell r="S40">
            <v>989721.05</v>
          </cell>
          <cell r="T40">
            <v>0</v>
          </cell>
          <cell r="U40">
            <v>43529</v>
          </cell>
          <cell r="V40">
            <v>0</v>
          </cell>
          <cell r="W40">
            <v>30751</v>
          </cell>
          <cell r="X40">
            <v>4400</v>
          </cell>
          <cell r="Y40">
            <v>5876.29</v>
          </cell>
          <cell r="Z40">
            <v>45279.14</v>
          </cell>
          <cell r="AA40">
            <v>37093.97</v>
          </cell>
          <cell r="AB40">
            <v>10624.4</v>
          </cell>
          <cell r="AC40">
            <v>0</v>
          </cell>
          <cell r="AD40">
            <v>40770.07</v>
          </cell>
          <cell r="AE40">
            <v>10559.84</v>
          </cell>
          <cell r="AF40">
            <v>0</v>
          </cell>
          <cell r="AG40">
            <v>0</v>
          </cell>
          <cell r="AH40">
            <v>0</v>
          </cell>
          <cell r="AI40">
            <v>37814.07</v>
          </cell>
          <cell r="AJ40">
            <v>550010.57999999996</v>
          </cell>
          <cell r="AK40">
            <v>13229.53</v>
          </cell>
          <cell r="AL40">
            <v>257398.82</v>
          </cell>
          <cell r="AM40">
            <v>26835.93</v>
          </cell>
          <cell r="AN40">
            <v>67931.88</v>
          </cell>
          <cell r="AO40">
            <v>0</v>
          </cell>
          <cell r="AP40">
            <v>28963.21</v>
          </cell>
          <cell r="AQ40">
            <v>5294.45</v>
          </cell>
          <cell r="AR40">
            <v>4334.7700000000004</v>
          </cell>
          <cell r="AS40">
            <v>12792.25</v>
          </cell>
          <cell r="AT40">
            <v>0.2</v>
          </cell>
          <cell r="AU40">
            <v>25694.69</v>
          </cell>
          <cell r="AV40">
            <v>9872.0499999999993</v>
          </cell>
          <cell r="AW40">
            <v>11481.48</v>
          </cell>
          <cell r="AX40">
            <v>2481.5300000000002</v>
          </cell>
          <cell r="AY40">
            <v>11823.63</v>
          </cell>
          <cell r="AZ40">
            <v>8178.75</v>
          </cell>
          <cell r="BA40">
            <v>6364.72</v>
          </cell>
          <cell r="BB40">
            <v>58979.54</v>
          </cell>
          <cell r="BC40">
            <v>15829.69</v>
          </cell>
          <cell r="BD40">
            <v>0</v>
          </cell>
          <cell r="BE40">
            <v>11484.96</v>
          </cell>
          <cell r="BF40">
            <v>5245.46</v>
          </cell>
          <cell r="BG40">
            <v>3946.1</v>
          </cell>
          <cell r="BH40">
            <v>65025.59</v>
          </cell>
          <cell r="BI40">
            <v>8700.9500000000007</v>
          </cell>
          <cell r="BJ40">
            <v>49634.720000000001</v>
          </cell>
          <cell r="BK40">
            <v>24084.35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</row>
        <row r="41">
          <cell r="B41">
            <v>2055</v>
          </cell>
          <cell r="C41" t="str">
            <v>Tudor School</v>
          </cell>
          <cell r="D41" t="str">
            <v>N</v>
          </cell>
          <cell r="E41" t="str">
            <v>Authorised</v>
          </cell>
          <cell r="F41">
            <v>0</v>
          </cell>
          <cell r="G41">
            <v>0</v>
          </cell>
          <cell r="H41" t="str">
            <v>20152016</v>
          </cell>
          <cell r="I41" t="str">
            <v>XG15</v>
          </cell>
          <cell r="J41" t="str">
            <v>Y</v>
          </cell>
          <cell r="K41" t="str">
            <v>Final</v>
          </cell>
          <cell r="L41" t="str">
            <v>Y</v>
          </cell>
          <cell r="M41" t="str">
            <v>Accruals</v>
          </cell>
          <cell r="N41" t="str">
            <v>N</v>
          </cell>
          <cell r="O41" t="str">
            <v>Y</v>
          </cell>
          <cell r="P41">
            <v>82816</v>
          </cell>
          <cell r="Q41">
            <v>0</v>
          </cell>
          <cell r="R41">
            <v>2</v>
          </cell>
          <cell r="S41">
            <v>1183982.9099999999</v>
          </cell>
          <cell r="T41">
            <v>0</v>
          </cell>
          <cell r="U41">
            <v>40769</v>
          </cell>
          <cell r="V41">
            <v>0</v>
          </cell>
          <cell r="W41">
            <v>98131</v>
          </cell>
          <cell r="X41">
            <v>35496</v>
          </cell>
          <cell r="Y41">
            <v>370</v>
          </cell>
          <cell r="Z41">
            <v>18802.310000000001</v>
          </cell>
          <cell r="AA41">
            <v>21777.79</v>
          </cell>
          <cell r="AB41">
            <v>9349.9</v>
          </cell>
          <cell r="AC41">
            <v>0</v>
          </cell>
          <cell r="AD41">
            <v>10758</v>
          </cell>
          <cell r="AE41">
            <v>1055.77</v>
          </cell>
          <cell r="AF41">
            <v>0</v>
          </cell>
          <cell r="AG41">
            <v>0</v>
          </cell>
          <cell r="AH41">
            <v>0</v>
          </cell>
          <cell r="AI41">
            <v>27218.98</v>
          </cell>
          <cell r="AJ41">
            <v>578497.39</v>
          </cell>
          <cell r="AK41">
            <v>0</v>
          </cell>
          <cell r="AL41">
            <v>279297.89</v>
          </cell>
          <cell r="AM41">
            <v>43100.89</v>
          </cell>
          <cell r="AN41">
            <v>42215.33</v>
          </cell>
          <cell r="AO41">
            <v>0</v>
          </cell>
          <cell r="AP41">
            <v>33062.769999999997</v>
          </cell>
          <cell r="AQ41">
            <v>10098.98</v>
          </cell>
          <cell r="AR41">
            <v>10790.57</v>
          </cell>
          <cell r="AS41">
            <v>11695.31</v>
          </cell>
          <cell r="AT41">
            <v>949.2</v>
          </cell>
          <cell r="AU41">
            <v>24243.08</v>
          </cell>
          <cell r="AV41">
            <v>6712.03</v>
          </cell>
          <cell r="AW41">
            <v>17808.98</v>
          </cell>
          <cell r="AX41">
            <v>4013.06</v>
          </cell>
          <cell r="AY41">
            <v>20943.77</v>
          </cell>
          <cell r="AZ41">
            <v>16515</v>
          </cell>
          <cell r="BA41">
            <v>9735.4699999999993</v>
          </cell>
          <cell r="BB41">
            <v>52509.68</v>
          </cell>
          <cell r="BC41">
            <v>14248.29</v>
          </cell>
          <cell r="BD41">
            <v>0</v>
          </cell>
          <cell r="BE41">
            <v>15342.64</v>
          </cell>
          <cell r="BF41">
            <v>6056.36</v>
          </cell>
          <cell r="BG41">
            <v>3229.58</v>
          </cell>
          <cell r="BH41">
            <v>64230.96</v>
          </cell>
          <cell r="BI41">
            <v>135135.97</v>
          </cell>
          <cell r="BJ41">
            <v>59388.72</v>
          </cell>
          <cell r="BK41">
            <v>50141.74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</row>
        <row r="42">
          <cell r="B42">
            <v>2057</v>
          </cell>
          <cell r="C42" t="str">
            <v>Underhill School</v>
          </cell>
          <cell r="D42" t="str">
            <v>N</v>
          </cell>
          <cell r="E42" t="str">
            <v>Authorised</v>
          </cell>
          <cell r="F42">
            <v>0</v>
          </cell>
          <cell r="G42">
            <v>1</v>
          </cell>
          <cell r="H42" t="str">
            <v>20152016</v>
          </cell>
          <cell r="I42" t="str">
            <v>XG15</v>
          </cell>
          <cell r="J42" t="str">
            <v>Y</v>
          </cell>
          <cell r="K42" t="str">
            <v>Final</v>
          </cell>
          <cell r="L42" t="str">
            <v>Y</v>
          </cell>
          <cell r="M42" t="str">
            <v>Accruals</v>
          </cell>
          <cell r="N42" t="str">
            <v>N</v>
          </cell>
          <cell r="O42" t="str">
            <v>N</v>
          </cell>
          <cell r="P42">
            <v>99848</v>
          </cell>
          <cell r="Q42">
            <v>33752</v>
          </cell>
          <cell r="R42">
            <v>0</v>
          </cell>
          <cell r="S42">
            <v>2495799.16</v>
          </cell>
          <cell r="T42">
            <v>0</v>
          </cell>
          <cell r="U42">
            <v>109968</v>
          </cell>
          <cell r="V42">
            <v>0</v>
          </cell>
          <cell r="W42">
            <v>295187.99</v>
          </cell>
          <cell r="X42">
            <v>1985</v>
          </cell>
          <cell r="Y42">
            <v>4010</v>
          </cell>
          <cell r="Z42">
            <v>148299.46</v>
          </cell>
          <cell r="AA42">
            <v>36335.5</v>
          </cell>
          <cell r="AB42">
            <v>7387.2</v>
          </cell>
          <cell r="AC42">
            <v>18408.78</v>
          </cell>
          <cell r="AD42">
            <v>32873</v>
          </cell>
          <cell r="AE42">
            <v>9280.8799999999992</v>
          </cell>
          <cell r="AF42">
            <v>0</v>
          </cell>
          <cell r="AG42">
            <v>368340.79</v>
          </cell>
          <cell r="AH42">
            <v>23875.9</v>
          </cell>
          <cell r="AI42">
            <v>68509.48</v>
          </cell>
          <cell r="AJ42">
            <v>1245587.76</v>
          </cell>
          <cell r="AK42">
            <v>0</v>
          </cell>
          <cell r="AL42">
            <v>781086.79</v>
          </cell>
          <cell r="AM42">
            <v>105381.79</v>
          </cell>
          <cell r="AN42">
            <v>115428.03</v>
          </cell>
          <cell r="AO42">
            <v>0</v>
          </cell>
          <cell r="AP42">
            <v>125688.2</v>
          </cell>
          <cell r="AQ42">
            <v>29231.31</v>
          </cell>
          <cell r="AR42">
            <v>15490.15</v>
          </cell>
          <cell r="AS42">
            <v>12024.07</v>
          </cell>
          <cell r="AT42">
            <v>17669.77</v>
          </cell>
          <cell r="AU42">
            <v>24587.75</v>
          </cell>
          <cell r="AV42">
            <v>11472.23</v>
          </cell>
          <cell r="AW42">
            <v>9530.74</v>
          </cell>
          <cell r="AX42">
            <v>3752.3</v>
          </cell>
          <cell r="AY42">
            <v>46928.35</v>
          </cell>
          <cell r="AZ42">
            <v>46939.5</v>
          </cell>
          <cell r="BA42">
            <v>10410.91</v>
          </cell>
          <cell r="BB42">
            <v>59628.76</v>
          </cell>
          <cell r="BC42">
            <v>14173.91</v>
          </cell>
          <cell r="BD42">
            <v>0</v>
          </cell>
          <cell r="BE42">
            <v>22120.38</v>
          </cell>
          <cell r="BF42">
            <v>6312.52</v>
          </cell>
          <cell r="BG42">
            <v>18882.09</v>
          </cell>
          <cell r="BH42">
            <v>124854.68</v>
          </cell>
          <cell r="BI42">
            <v>169927.91</v>
          </cell>
          <cell r="BJ42">
            <v>140174.24</v>
          </cell>
          <cell r="BK42">
            <v>26977.15</v>
          </cell>
          <cell r="BL42">
            <v>0</v>
          </cell>
          <cell r="BM42">
            <v>25852</v>
          </cell>
          <cell r="BN42">
            <v>319910.34999999998</v>
          </cell>
          <cell r="BO42">
            <v>63513.5</v>
          </cell>
        </row>
        <row r="43">
          <cell r="B43">
            <v>2060</v>
          </cell>
          <cell r="C43" t="str">
            <v>Whitings Hill School</v>
          </cell>
          <cell r="D43" t="str">
            <v>N</v>
          </cell>
          <cell r="E43" t="str">
            <v>Authorised</v>
          </cell>
          <cell r="F43">
            <v>0</v>
          </cell>
          <cell r="G43">
            <v>1</v>
          </cell>
          <cell r="H43" t="str">
            <v>20152016</v>
          </cell>
          <cell r="I43" t="str">
            <v>XG15</v>
          </cell>
          <cell r="J43" t="str">
            <v>Y</v>
          </cell>
          <cell r="K43" t="str">
            <v>Final</v>
          </cell>
          <cell r="L43" t="str">
            <v>Y</v>
          </cell>
          <cell r="M43" t="str">
            <v>Accruals</v>
          </cell>
          <cell r="N43" t="str">
            <v>N</v>
          </cell>
          <cell r="O43" t="str">
            <v>Y</v>
          </cell>
          <cell r="P43">
            <v>323335</v>
          </cell>
          <cell r="Q43">
            <v>0</v>
          </cell>
          <cell r="R43">
            <v>0</v>
          </cell>
          <cell r="S43">
            <v>2306176.41</v>
          </cell>
          <cell r="T43">
            <v>0</v>
          </cell>
          <cell r="U43">
            <v>30498</v>
          </cell>
          <cell r="V43">
            <v>0</v>
          </cell>
          <cell r="W43">
            <v>231967</v>
          </cell>
          <cell r="X43">
            <v>0</v>
          </cell>
          <cell r="Y43">
            <v>2275</v>
          </cell>
          <cell r="Z43">
            <v>97007.63</v>
          </cell>
          <cell r="AA43">
            <v>41261.620000000003</v>
          </cell>
          <cell r="AB43">
            <v>18391.96</v>
          </cell>
          <cell r="AC43">
            <v>4912.49</v>
          </cell>
          <cell r="AD43">
            <v>22915.87</v>
          </cell>
          <cell r="AE43">
            <v>9532.73</v>
          </cell>
          <cell r="AF43">
            <v>0</v>
          </cell>
          <cell r="AG43">
            <v>0</v>
          </cell>
          <cell r="AH43">
            <v>0.18</v>
          </cell>
          <cell r="AI43">
            <v>56066.400000000001</v>
          </cell>
          <cell r="AJ43">
            <v>1181511.1399999999</v>
          </cell>
          <cell r="AK43">
            <v>0</v>
          </cell>
          <cell r="AL43">
            <v>633119.42000000004</v>
          </cell>
          <cell r="AM43">
            <v>54188.31</v>
          </cell>
          <cell r="AN43">
            <v>83756.81</v>
          </cell>
          <cell r="AO43">
            <v>0</v>
          </cell>
          <cell r="AP43">
            <v>55656.18</v>
          </cell>
          <cell r="AQ43">
            <v>12200.64</v>
          </cell>
          <cell r="AR43">
            <v>22598.61</v>
          </cell>
          <cell r="AS43">
            <v>19999.12</v>
          </cell>
          <cell r="AT43">
            <v>3873.24</v>
          </cell>
          <cell r="AU43">
            <v>101607.03</v>
          </cell>
          <cell r="AV43">
            <v>7677</v>
          </cell>
          <cell r="AW43">
            <v>38953.230000000003</v>
          </cell>
          <cell r="AX43">
            <v>10342.48</v>
          </cell>
          <cell r="AY43">
            <v>65488.19</v>
          </cell>
          <cell r="AZ43">
            <v>7059.65</v>
          </cell>
          <cell r="BA43">
            <v>10778.19</v>
          </cell>
          <cell r="BB43">
            <v>138359.45000000001</v>
          </cell>
          <cell r="BC43">
            <v>60318.73</v>
          </cell>
          <cell r="BD43">
            <v>0</v>
          </cell>
          <cell r="BE43">
            <v>11464.2</v>
          </cell>
          <cell r="BF43">
            <v>11288.8</v>
          </cell>
          <cell r="BG43">
            <v>32265.64</v>
          </cell>
          <cell r="BH43">
            <v>112374.69</v>
          </cell>
          <cell r="BI43">
            <v>67714.3</v>
          </cell>
          <cell r="BJ43">
            <v>50154.05</v>
          </cell>
          <cell r="BK43">
            <v>52655.72</v>
          </cell>
          <cell r="BL43">
            <v>0</v>
          </cell>
          <cell r="BM43">
            <v>65852.47</v>
          </cell>
          <cell r="BN43">
            <v>0</v>
          </cell>
          <cell r="BO43">
            <v>0</v>
          </cell>
        </row>
        <row r="44">
          <cell r="B44">
            <v>2067</v>
          </cell>
          <cell r="C44" t="str">
            <v>Chalgrove School</v>
          </cell>
          <cell r="D44" t="str">
            <v>N</v>
          </cell>
          <cell r="E44" t="str">
            <v>Authorised</v>
          </cell>
          <cell r="F44">
            <v>0</v>
          </cell>
          <cell r="G44">
            <v>1</v>
          </cell>
          <cell r="H44" t="str">
            <v>20152016</v>
          </cell>
          <cell r="I44" t="str">
            <v>XG15</v>
          </cell>
          <cell r="J44" t="str">
            <v>Y</v>
          </cell>
          <cell r="K44" t="str">
            <v>Final</v>
          </cell>
          <cell r="L44" t="str">
            <v>Y</v>
          </cell>
          <cell r="M44" t="str">
            <v>Accruals</v>
          </cell>
          <cell r="N44" t="str">
            <v>Y</v>
          </cell>
          <cell r="O44" t="str">
            <v>Y</v>
          </cell>
          <cell r="P44">
            <v>113672</v>
          </cell>
          <cell r="Q44">
            <v>0</v>
          </cell>
          <cell r="R44">
            <v>-1</v>
          </cell>
          <cell r="S44">
            <v>1104917.92</v>
          </cell>
          <cell r="T44">
            <v>0</v>
          </cell>
          <cell r="U44">
            <v>43083</v>
          </cell>
          <cell r="V44">
            <v>0</v>
          </cell>
          <cell r="W44">
            <v>78312.009999999995</v>
          </cell>
          <cell r="X44">
            <v>11669.67</v>
          </cell>
          <cell r="Y44">
            <v>3487</v>
          </cell>
          <cell r="Z44">
            <v>18114.28</v>
          </cell>
          <cell r="AA44">
            <v>22167.08</v>
          </cell>
          <cell r="AB44">
            <v>9712.7999999999993</v>
          </cell>
          <cell r="AC44">
            <v>0</v>
          </cell>
          <cell r="AD44">
            <v>17106.2</v>
          </cell>
          <cell r="AE44">
            <v>12288.97</v>
          </cell>
          <cell r="AF44">
            <v>0</v>
          </cell>
          <cell r="AG44">
            <v>0</v>
          </cell>
          <cell r="AH44">
            <v>0</v>
          </cell>
          <cell r="AI44">
            <v>43221.08</v>
          </cell>
          <cell r="AJ44">
            <v>614304.09</v>
          </cell>
          <cell r="AK44">
            <v>0</v>
          </cell>
          <cell r="AL44">
            <v>250422.5</v>
          </cell>
          <cell r="AM44">
            <v>25621.03</v>
          </cell>
          <cell r="AN44">
            <v>51727.89</v>
          </cell>
          <cell r="AO44">
            <v>0</v>
          </cell>
          <cell r="AP44">
            <v>17125.89</v>
          </cell>
          <cell r="AQ44">
            <v>8371.81</v>
          </cell>
          <cell r="AR44">
            <v>1895.47</v>
          </cell>
          <cell r="AS44">
            <v>10948.87</v>
          </cell>
          <cell r="AT44">
            <v>865.4</v>
          </cell>
          <cell r="AU44">
            <v>20873.71</v>
          </cell>
          <cell r="AV44">
            <v>5991.2</v>
          </cell>
          <cell r="AW44">
            <v>26754.12</v>
          </cell>
          <cell r="AX44">
            <v>1874.54</v>
          </cell>
          <cell r="AY44">
            <v>15550.24</v>
          </cell>
          <cell r="AZ44">
            <v>12106.5</v>
          </cell>
          <cell r="BA44">
            <v>8970.48</v>
          </cell>
          <cell r="BB44">
            <v>77638.740000000005</v>
          </cell>
          <cell r="BC44">
            <v>16085.88</v>
          </cell>
          <cell r="BD44">
            <v>0</v>
          </cell>
          <cell r="BE44">
            <v>9445.9</v>
          </cell>
          <cell r="BF44">
            <v>4765.99</v>
          </cell>
          <cell r="BG44">
            <v>10787.26</v>
          </cell>
          <cell r="BH44">
            <v>79615.55</v>
          </cell>
          <cell r="BI44">
            <v>33087.15</v>
          </cell>
          <cell r="BJ44">
            <v>66650.8</v>
          </cell>
          <cell r="BK44">
            <v>21302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</row>
        <row r="45">
          <cell r="B45">
            <v>2070</v>
          </cell>
          <cell r="C45" t="str">
            <v>Sunnyfields School</v>
          </cell>
          <cell r="D45" t="str">
            <v>N</v>
          </cell>
          <cell r="E45" t="str">
            <v>Authorised</v>
          </cell>
          <cell r="F45">
            <v>0</v>
          </cell>
          <cell r="G45">
            <v>0</v>
          </cell>
          <cell r="H45" t="str">
            <v>20152016</v>
          </cell>
          <cell r="I45" t="str">
            <v>XG15</v>
          </cell>
          <cell r="J45" t="str">
            <v>Y</v>
          </cell>
          <cell r="K45" t="str">
            <v>Final</v>
          </cell>
          <cell r="L45" t="str">
            <v>Y</v>
          </cell>
          <cell r="M45" t="str">
            <v>Accruals</v>
          </cell>
          <cell r="N45" t="str">
            <v>Y</v>
          </cell>
          <cell r="O45" t="str">
            <v>Y</v>
          </cell>
          <cell r="P45">
            <v>92741</v>
          </cell>
          <cell r="Q45">
            <v>0</v>
          </cell>
          <cell r="R45">
            <v>0</v>
          </cell>
          <cell r="S45">
            <v>1124293.46</v>
          </cell>
          <cell r="T45">
            <v>0</v>
          </cell>
          <cell r="U45">
            <v>71741</v>
          </cell>
          <cell r="V45">
            <v>0</v>
          </cell>
          <cell r="W45">
            <v>125400</v>
          </cell>
          <cell r="X45">
            <v>3116.68</v>
          </cell>
          <cell r="Y45">
            <v>8170</v>
          </cell>
          <cell r="Z45">
            <v>4450.95</v>
          </cell>
          <cell r="AA45">
            <v>21074.880000000001</v>
          </cell>
          <cell r="AB45">
            <v>0</v>
          </cell>
          <cell r="AC45">
            <v>10035.6</v>
          </cell>
          <cell r="AD45">
            <v>15460.94</v>
          </cell>
          <cell r="AE45">
            <v>3447.22</v>
          </cell>
          <cell r="AF45">
            <v>0</v>
          </cell>
          <cell r="AG45">
            <v>0</v>
          </cell>
          <cell r="AH45">
            <v>0</v>
          </cell>
          <cell r="AI45">
            <v>23926.07</v>
          </cell>
          <cell r="AJ45">
            <v>622522.06999999995</v>
          </cell>
          <cell r="AK45">
            <v>134.01</v>
          </cell>
          <cell r="AL45">
            <v>292941.69</v>
          </cell>
          <cell r="AM45">
            <v>47342.91</v>
          </cell>
          <cell r="AN45">
            <v>59440.71</v>
          </cell>
          <cell r="AO45">
            <v>0</v>
          </cell>
          <cell r="AP45">
            <v>29321.78</v>
          </cell>
          <cell r="AQ45">
            <v>14993.45</v>
          </cell>
          <cell r="AR45">
            <v>7317.44</v>
          </cell>
          <cell r="AS45">
            <v>5450.95</v>
          </cell>
          <cell r="AT45">
            <v>7844.94</v>
          </cell>
          <cell r="AU45">
            <v>20775.05</v>
          </cell>
          <cell r="AV45">
            <v>2592</v>
          </cell>
          <cell r="AW45">
            <v>1560.98</v>
          </cell>
          <cell r="AX45">
            <v>2691.74</v>
          </cell>
          <cell r="AY45">
            <v>11700.01</v>
          </cell>
          <cell r="AZ45">
            <v>7913</v>
          </cell>
          <cell r="BA45">
            <v>9476.8799999999992</v>
          </cell>
          <cell r="BB45">
            <v>45712.12</v>
          </cell>
          <cell r="BC45">
            <v>23665.96</v>
          </cell>
          <cell r="BD45">
            <v>0</v>
          </cell>
          <cell r="BE45">
            <v>11556.09</v>
          </cell>
          <cell r="BF45">
            <v>5029.76</v>
          </cell>
          <cell r="BG45">
            <v>12510.59</v>
          </cell>
          <cell r="BH45">
            <v>67133.45</v>
          </cell>
          <cell r="BI45">
            <v>20403.650000000001</v>
          </cell>
          <cell r="BJ45">
            <v>58074.63</v>
          </cell>
          <cell r="BK45">
            <v>13658.94</v>
          </cell>
          <cell r="BL45">
            <v>0</v>
          </cell>
          <cell r="BM45">
            <v>6749</v>
          </cell>
          <cell r="BN45">
            <v>0</v>
          </cell>
          <cell r="BO45">
            <v>0</v>
          </cell>
        </row>
        <row r="46">
          <cell r="B46">
            <v>2071</v>
          </cell>
          <cell r="C46" t="str">
            <v>Queenswell Infant School</v>
          </cell>
          <cell r="D46" t="str">
            <v>N</v>
          </cell>
          <cell r="E46" t="str">
            <v>Authorised</v>
          </cell>
          <cell r="F46">
            <v>0</v>
          </cell>
          <cell r="G46">
            <v>0</v>
          </cell>
          <cell r="H46" t="str">
            <v>20152016</v>
          </cell>
          <cell r="I46" t="str">
            <v>XG15</v>
          </cell>
          <cell r="J46" t="str">
            <v>Y</v>
          </cell>
          <cell r="K46" t="str">
            <v>Final</v>
          </cell>
          <cell r="L46" t="str">
            <v>Y</v>
          </cell>
          <cell r="M46" t="str">
            <v>Accruals</v>
          </cell>
          <cell r="N46" t="str">
            <v>Y</v>
          </cell>
          <cell r="O46" t="str">
            <v>Y</v>
          </cell>
          <cell r="P46">
            <v>60873</v>
          </cell>
          <cell r="Q46">
            <v>0</v>
          </cell>
          <cell r="R46">
            <v>0</v>
          </cell>
          <cell r="S46">
            <v>1494720</v>
          </cell>
          <cell r="T46">
            <v>0</v>
          </cell>
          <cell r="U46">
            <v>63729</v>
          </cell>
          <cell r="V46">
            <v>0</v>
          </cell>
          <cell r="W46">
            <v>102104</v>
          </cell>
          <cell r="X46">
            <v>4350</v>
          </cell>
          <cell r="Y46">
            <v>859</v>
          </cell>
          <cell r="Z46">
            <v>38753.160000000003</v>
          </cell>
          <cell r="AA46">
            <v>6068.5</v>
          </cell>
          <cell r="AB46">
            <v>33351.4</v>
          </cell>
          <cell r="AC46">
            <v>4760.62</v>
          </cell>
          <cell r="AD46">
            <v>9579.5</v>
          </cell>
          <cell r="AE46">
            <v>3511.98</v>
          </cell>
          <cell r="AF46">
            <v>0</v>
          </cell>
          <cell r="AG46">
            <v>0</v>
          </cell>
          <cell r="AH46">
            <v>0</v>
          </cell>
          <cell r="AI46">
            <v>106233.66</v>
          </cell>
          <cell r="AJ46">
            <v>598267.06999999995</v>
          </cell>
          <cell r="AK46">
            <v>0</v>
          </cell>
          <cell r="AL46">
            <v>547894.81999999995</v>
          </cell>
          <cell r="AM46">
            <v>24739.4</v>
          </cell>
          <cell r="AN46">
            <v>95189.27</v>
          </cell>
          <cell r="AO46">
            <v>0</v>
          </cell>
          <cell r="AP46">
            <v>13699.13</v>
          </cell>
          <cell r="AQ46">
            <v>6640.2</v>
          </cell>
          <cell r="AR46">
            <v>15180.69</v>
          </cell>
          <cell r="AS46">
            <v>8484.02</v>
          </cell>
          <cell r="AT46">
            <v>8642.6</v>
          </cell>
          <cell r="AU46">
            <v>29533.5</v>
          </cell>
          <cell r="AV46">
            <v>6162.24</v>
          </cell>
          <cell r="AW46">
            <v>33479.410000000003</v>
          </cell>
          <cell r="AX46">
            <v>4399.8</v>
          </cell>
          <cell r="AY46">
            <v>20690.14</v>
          </cell>
          <cell r="AZ46">
            <v>19473.5</v>
          </cell>
          <cell r="BA46">
            <v>4568.3</v>
          </cell>
          <cell r="BB46">
            <v>39239.620000000003</v>
          </cell>
          <cell r="BC46">
            <v>21947.84</v>
          </cell>
          <cell r="BD46">
            <v>0</v>
          </cell>
          <cell r="BE46">
            <v>13770.81</v>
          </cell>
          <cell r="BF46">
            <v>5503.65</v>
          </cell>
          <cell r="BG46">
            <v>4608.9799999999996</v>
          </cell>
          <cell r="BH46">
            <v>93006.55</v>
          </cell>
          <cell r="BI46">
            <v>111379.78</v>
          </cell>
          <cell r="BJ46">
            <v>95098.5</v>
          </cell>
          <cell r="BK46">
            <v>10223</v>
          </cell>
          <cell r="BL46">
            <v>0</v>
          </cell>
          <cell r="BM46">
            <v>4876</v>
          </cell>
          <cell r="BN46">
            <v>0</v>
          </cell>
          <cell r="BO46">
            <v>0</v>
          </cell>
        </row>
        <row r="47">
          <cell r="B47">
            <v>2072</v>
          </cell>
          <cell r="C47" t="str">
            <v>Queenswell Junior School</v>
          </cell>
          <cell r="D47" t="str">
            <v>N</v>
          </cell>
          <cell r="E47" t="str">
            <v>Authorised</v>
          </cell>
          <cell r="F47">
            <v>0</v>
          </cell>
          <cell r="G47">
            <v>0</v>
          </cell>
          <cell r="H47" t="str">
            <v>20152016</v>
          </cell>
          <cell r="I47" t="str">
            <v>XG15</v>
          </cell>
          <cell r="J47" t="str">
            <v>Y</v>
          </cell>
          <cell r="K47" t="str">
            <v>Final</v>
          </cell>
          <cell r="L47" t="str">
            <v>Y</v>
          </cell>
          <cell r="M47" t="str">
            <v>Accruals</v>
          </cell>
          <cell r="N47" t="str">
            <v>Y</v>
          </cell>
          <cell r="O47" t="str">
            <v>Y</v>
          </cell>
          <cell r="P47">
            <v>73690</v>
          </cell>
          <cell r="Q47">
            <v>0</v>
          </cell>
          <cell r="R47">
            <v>-1</v>
          </cell>
          <cell r="S47">
            <v>1561696</v>
          </cell>
          <cell r="T47">
            <v>0</v>
          </cell>
          <cell r="U47">
            <v>81936</v>
          </cell>
          <cell r="V47">
            <v>0</v>
          </cell>
          <cell r="W47">
            <v>209851.01</v>
          </cell>
          <cell r="X47">
            <v>300</v>
          </cell>
          <cell r="Y47">
            <v>1625</v>
          </cell>
          <cell r="Z47">
            <v>1274.98</v>
          </cell>
          <cell r="AA47">
            <v>51982.080000000002</v>
          </cell>
          <cell r="AB47">
            <v>0</v>
          </cell>
          <cell r="AC47">
            <v>773.5</v>
          </cell>
          <cell r="AD47">
            <v>36508.58</v>
          </cell>
          <cell r="AE47">
            <v>5388.79</v>
          </cell>
          <cell r="AF47">
            <v>0</v>
          </cell>
          <cell r="AG47">
            <v>0</v>
          </cell>
          <cell r="AH47">
            <v>0</v>
          </cell>
          <cell r="AI47">
            <v>9645</v>
          </cell>
          <cell r="AJ47">
            <v>854494.92</v>
          </cell>
          <cell r="AK47">
            <v>0</v>
          </cell>
          <cell r="AL47">
            <v>529531.25</v>
          </cell>
          <cell r="AM47">
            <v>25885.68</v>
          </cell>
          <cell r="AN47">
            <v>55184.3</v>
          </cell>
          <cell r="AO47">
            <v>0</v>
          </cell>
          <cell r="AP47">
            <v>18970.740000000002</v>
          </cell>
          <cell r="AQ47">
            <v>3736.34</v>
          </cell>
          <cell r="AR47">
            <v>10099.06</v>
          </cell>
          <cell r="AS47">
            <v>3873.52</v>
          </cell>
          <cell r="AT47">
            <v>5804.01</v>
          </cell>
          <cell r="AU47">
            <v>27558.55</v>
          </cell>
          <cell r="AV47">
            <v>5686.3</v>
          </cell>
          <cell r="AW47">
            <v>22993.59</v>
          </cell>
          <cell r="AX47">
            <v>6109.34</v>
          </cell>
          <cell r="AY47">
            <v>20202.84</v>
          </cell>
          <cell r="AZ47">
            <v>7970</v>
          </cell>
          <cell r="BA47">
            <v>6733.4</v>
          </cell>
          <cell r="BB47">
            <v>99354.37</v>
          </cell>
          <cell r="BC47">
            <v>18855.22</v>
          </cell>
          <cell r="BD47">
            <v>0</v>
          </cell>
          <cell r="BE47">
            <v>17436.62</v>
          </cell>
          <cell r="BF47">
            <v>5895.37</v>
          </cell>
          <cell r="BG47">
            <v>730</v>
          </cell>
          <cell r="BH47">
            <v>64105.1</v>
          </cell>
          <cell r="BI47">
            <v>33299.42</v>
          </cell>
          <cell r="BJ47">
            <v>70940.289999999994</v>
          </cell>
          <cell r="BK47">
            <v>35616.36</v>
          </cell>
          <cell r="BL47">
            <v>0</v>
          </cell>
          <cell r="BM47">
            <v>10458.35</v>
          </cell>
          <cell r="BN47">
            <v>0</v>
          </cell>
          <cell r="BO47">
            <v>0</v>
          </cell>
        </row>
        <row r="48">
          <cell r="B48">
            <v>2073</v>
          </cell>
          <cell r="C48" t="str">
            <v>Danegrove School</v>
          </cell>
          <cell r="D48" t="str">
            <v>N</v>
          </cell>
          <cell r="E48" t="str">
            <v>Authorised</v>
          </cell>
          <cell r="F48">
            <v>0</v>
          </cell>
          <cell r="G48">
            <v>1</v>
          </cell>
          <cell r="H48" t="str">
            <v>20152016</v>
          </cell>
          <cell r="I48" t="str">
            <v>XG15</v>
          </cell>
          <cell r="J48" t="str">
            <v>Y</v>
          </cell>
          <cell r="K48" t="str">
            <v>Final</v>
          </cell>
          <cell r="L48" t="str">
            <v>Y</v>
          </cell>
          <cell r="M48" t="str">
            <v>Accruals</v>
          </cell>
          <cell r="N48" t="str">
            <v>Y</v>
          </cell>
          <cell r="O48" t="str">
            <v>Y</v>
          </cell>
          <cell r="P48">
            <v>322692</v>
          </cell>
          <cell r="Q48">
            <v>0</v>
          </cell>
          <cell r="R48">
            <v>838</v>
          </cell>
          <cell r="S48">
            <v>2618660</v>
          </cell>
          <cell r="T48">
            <v>0</v>
          </cell>
          <cell r="U48">
            <v>252735.91</v>
          </cell>
          <cell r="V48">
            <v>0</v>
          </cell>
          <cell r="W48">
            <v>239526.81</v>
          </cell>
          <cell r="X48">
            <v>0</v>
          </cell>
          <cell r="Y48">
            <v>4448.46</v>
          </cell>
          <cell r="Z48">
            <v>106264.58</v>
          </cell>
          <cell r="AA48">
            <v>79278</v>
          </cell>
          <cell r="AB48">
            <v>18468</v>
          </cell>
          <cell r="AC48">
            <v>20074.87</v>
          </cell>
          <cell r="AD48">
            <v>62093.279999999999</v>
          </cell>
          <cell r="AE48">
            <v>8450</v>
          </cell>
          <cell r="AF48">
            <v>0</v>
          </cell>
          <cell r="AG48">
            <v>0</v>
          </cell>
          <cell r="AH48">
            <v>0</v>
          </cell>
          <cell r="AI48">
            <v>113767</v>
          </cell>
          <cell r="AJ48">
            <v>1339686.6499999999</v>
          </cell>
          <cell r="AK48">
            <v>0</v>
          </cell>
          <cell r="AL48">
            <v>794808.98</v>
          </cell>
          <cell r="AM48">
            <v>85255.77</v>
          </cell>
          <cell r="AN48">
            <v>105420.04</v>
          </cell>
          <cell r="AO48">
            <v>119094.17</v>
          </cell>
          <cell r="AP48">
            <v>171388.58</v>
          </cell>
          <cell r="AQ48">
            <v>11954</v>
          </cell>
          <cell r="AR48">
            <v>9847.33</v>
          </cell>
          <cell r="AS48">
            <v>19581.97</v>
          </cell>
          <cell r="AT48">
            <v>6959.16</v>
          </cell>
          <cell r="AU48">
            <v>179140.85</v>
          </cell>
          <cell r="AV48">
            <v>11525.61</v>
          </cell>
          <cell r="AW48">
            <v>7583.95</v>
          </cell>
          <cell r="AX48">
            <v>4547.1000000000004</v>
          </cell>
          <cell r="AY48">
            <v>40005.61</v>
          </cell>
          <cell r="AZ48">
            <v>37704</v>
          </cell>
          <cell r="BA48">
            <v>16289.63</v>
          </cell>
          <cell r="BB48">
            <v>118006.38</v>
          </cell>
          <cell r="BC48">
            <v>30008.45</v>
          </cell>
          <cell r="BD48">
            <v>0</v>
          </cell>
          <cell r="BE48">
            <v>33097.79</v>
          </cell>
          <cell r="BF48">
            <v>14664.16</v>
          </cell>
          <cell r="BG48">
            <v>19171.93</v>
          </cell>
          <cell r="BH48">
            <v>131407.32999999999</v>
          </cell>
          <cell r="BI48">
            <v>66491.25</v>
          </cell>
          <cell r="BJ48">
            <v>14756.2</v>
          </cell>
          <cell r="BK48">
            <v>20498.79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</row>
        <row r="49">
          <cell r="B49">
            <v>2076</v>
          </cell>
          <cell r="C49" t="str">
            <v>Wessex Gardens School</v>
          </cell>
          <cell r="D49" t="str">
            <v>N</v>
          </cell>
          <cell r="E49" t="str">
            <v>Authorised</v>
          </cell>
          <cell r="F49">
            <v>0</v>
          </cell>
          <cell r="G49">
            <v>0</v>
          </cell>
          <cell r="H49" t="str">
            <v>20152016</v>
          </cell>
          <cell r="I49" t="str">
            <v>XG15</v>
          </cell>
          <cell r="J49" t="str">
            <v>Y</v>
          </cell>
          <cell r="K49" t="str">
            <v>Final</v>
          </cell>
          <cell r="L49" t="str">
            <v>Y</v>
          </cell>
          <cell r="M49" t="str">
            <v>Accruals</v>
          </cell>
          <cell r="N49" t="str">
            <v>Y</v>
          </cell>
          <cell r="O49" t="str">
            <v>Y</v>
          </cell>
          <cell r="P49">
            <v>392935</v>
          </cell>
          <cell r="Q49">
            <v>0</v>
          </cell>
          <cell r="R49">
            <v>36537</v>
          </cell>
          <cell r="S49">
            <v>2159414</v>
          </cell>
          <cell r="T49">
            <v>0</v>
          </cell>
          <cell r="U49">
            <v>43747</v>
          </cell>
          <cell r="V49">
            <v>0</v>
          </cell>
          <cell r="W49">
            <v>231090.01</v>
          </cell>
          <cell r="X49">
            <v>1685</v>
          </cell>
          <cell r="Y49">
            <v>6850</v>
          </cell>
          <cell r="Z49">
            <v>87120.45</v>
          </cell>
          <cell r="AA49">
            <v>46273.62</v>
          </cell>
          <cell r="AB49">
            <v>12170</v>
          </cell>
          <cell r="AC49">
            <v>0</v>
          </cell>
          <cell r="AD49">
            <v>17766.330000000002</v>
          </cell>
          <cell r="AE49">
            <v>1912.39</v>
          </cell>
          <cell r="AF49">
            <v>0</v>
          </cell>
          <cell r="AG49">
            <v>0</v>
          </cell>
          <cell r="AH49">
            <v>0</v>
          </cell>
          <cell r="AI49">
            <v>70141.98</v>
          </cell>
          <cell r="AJ49">
            <v>1147106.27</v>
          </cell>
          <cell r="AK49">
            <v>14217.09</v>
          </cell>
          <cell r="AL49">
            <v>446703.02</v>
          </cell>
          <cell r="AM49">
            <v>45820.56</v>
          </cell>
          <cell r="AN49">
            <v>159031.62</v>
          </cell>
          <cell r="AO49">
            <v>0</v>
          </cell>
          <cell r="AP49">
            <v>65140.27</v>
          </cell>
          <cell r="AQ49">
            <v>21742.48</v>
          </cell>
          <cell r="AR49">
            <v>11821.25</v>
          </cell>
          <cell r="AS49">
            <v>16691</v>
          </cell>
          <cell r="AT49">
            <v>7648.62</v>
          </cell>
          <cell r="AU49">
            <v>57490.22</v>
          </cell>
          <cell r="AV49">
            <v>4620</v>
          </cell>
          <cell r="AW49">
            <v>33867.25</v>
          </cell>
          <cell r="AX49">
            <v>5889.09</v>
          </cell>
          <cell r="AY49">
            <v>34178.78</v>
          </cell>
          <cell r="AZ49">
            <v>20134</v>
          </cell>
          <cell r="BA49">
            <v>11568.7</v>
          </cell>
          <cell r="BB49">
            <v>106275.88</v>
          </cell>
          <cell r="BC49">
            <v>19977.669999999998</v>
          </cell>
          <cell r="BD49">
            <v>0</v>
          </cell>
          <cell r="BE49">
            <v>20489.419999999998</v>
          </cell>
          <cell r="BF49">
            <v>9484.2199999999993</v>
          </cell>
          <cell r="BG49">
            <v>21177.1</v>
          </cell>
          <cell r="BH49">
            <v>126637.26</v>
          </cell>
          <cell r="BI49">
            <v>46808</v>
          </cell>
          <cell r="BJ49">
            <v>199636.39</v>
          </cell>
          <cell r="BK49">
            <v>24836.52</v>
          </cell>
          <cell r="BL49">
            <v>0</v>
          </cell>
          <cell r="BM49">
            <v>26271.1</v>
          </cell>
          <cell r="BN49">
            <v>0</v>
          </cell>
          <cell r="BO49">
            <v>0</v>
          </cell>
        </row>
        <row r="50">
          <cell r="B50">
            <v>2077</v>
          </cell>
          <cell r="C50" t="str">
            <v>The Orion School</v>
          </cell>
          <cell r="D50" t="str">
            <v>N</v>
          </cell>
          <cell r="E50" t="str">
            <v>Authorised</v>
          </cell>
          <cell r="F50">
            <v>0</v>
          </cell>
          <cell r="G50">
            <v>2</v>
          </cell>
          <cell r="H50" t="str">
            <v>20152016</v>
          </cell>
          <cell r="I50" t="str">
            <v>XG15</v>
          </cell>
          <cell r="J50" t="str">
            <v>Y</v>
          </cell>
          <cell r="K50" t="str">
            <v>Final</v>
          </cell>
          <cell r="L50" t="str">
            <v>Y</v>
          </cell>
          <cell r="M50" t="str">
            <v>Accruals</v>
          </cell>
          <cell r="N50" t="str">
            <v>Y</v>
          </cell>
          <cell r="O50" t="str">
            <v>Y</v>
          </cell>
          <cell r="P50">
            <v>40272</v>
          </cell>
          <cell r="Q50">
            <v>0</v>
          </cell>
          <cell r="R50">
            <v>1</v>
          </cell>
          <cell r="S50">
            <v>3699711</v>
          </cell>
          <cell r="T50">
            <v>0</v>
          </cell>
          <cell r="U50">
            <v>343234</v>
          </cell>
          <cell r="V50">
            <v>0</v>
          </cell>
          <cell r="W50">
            <v>494819.99</v>
          </cell>
          <cell r="X50">
            <v>12517.9</v>
          </cell>
          <cell r="Y50">
            <v>275</v>
          </cell>
          <cell r="Z50">
            <v>74982.92</v>
          </cell>
          <cell r="AA50">
            <v>40471.43</v>
          </cell>
          <cell r="AB50">
            <v>0</v>
          </cell>
          <cell r="AC50">
            <v>3420</v>
          </cell>
          <cell r="AD50">
            <v>20898.8</v>
          </cell>
          <cell r="AE50">
            <v>21164.34</v>
          </cell>
          <cell r="AF50">
            <v>0</v>
          </cell>
          <cell r="AG50">
            <v>0</v>
          </cell>
          <cell r="AH50">
            <v>0</v>
          </cell>
          <cell r="AI50">
            <v>81030.36</v>
          </cell>
          <cell r="AJ50">
            <v>1542524.95</v>
          </cell>
          <cell r="AK50">
            <v>0</v>
          </cell>
          <cell r="AL50">
            <v>1037155.04</v>
          </cell>
          <cell r="AM50">
            <v>150463.14000000001</v>
          </cell>
          <cell r="AN50">
            <v>210457.98</v>
          </cell>
          <cell r="AO50">
            <v>0</v>
          </cell>
          <cell r="AP50">
            <v>146221.88</v>
          </cell>
          <cell r="AQ50">
            <v>33318.129999999997</v>
          </cell>
          <cell r="AR50">
            <v>16921.849999999999</v>
          </cell>
          <cell r="AS50">
            <v>25107.75</v>
          </cell>
          <cell r="AT50">
            <v>2385.1999999999998</v>
          </cell>
          <cell r="AU50">
            <v>43464.05</v>
          </cell>
          <cell r="AV50">
            <v>20505.919999999998</v>
          </cell>
          <cell r="AW50">
            <v>8266.01</v>
          </cell>
          <cell r="AX50">
            <v>3951.28</v>
          </cell>
          <cell r="AY50">
            <v>47487.45</v>
          </cell>
          <cell r="AZ50">
            <v>7440</v>
          </cell>
          <cell r="BA50">
            <v>28275.39</v>
          </cell>
          <cell r="BB50">
            <v>228785.57</v>
          </cell>
          <cell r="BC50">
            <v>19134.310000000001</v>
          </cell>
          <cell r="BD50">
            <v>0</v>
          </cell>
          <cell r="BE50">
            <v>93987.92</v>
          </cell>
          <cell r="BF50">
            <v>19362.91</v>
          </cell>
          <cell r="BG50">
            <v>42539.28</v>
          </cell>
          <cell r="BH50">
            <v>195423.57</v>
          </cell>
          <cell r="BI50">
            <v>286640</v>
          </cell>
          <cell r="BJ50">
            <v>352910.7</v>
          </cell>
          <cell r="BK50">
            <v>80632.460000000006</v>
          </cell>
          <cell r="BL50">
            <v>0</v>
          </cell>
          <cell r="BM50">
            <v>45850</v>
          </cell>
          <cell r="BN50">
            <v>0</v>
          </cell>
          <cell r="BO50">
            <v>0</v>
          </cell>
        </row>
        <row r="51">
          <cell r="B51">
            <v>2078</v>
          </cell>
          <cell r="C51" t="str">
            <v xml:space="preserve">Pardes House </v>
          </cell>
          <cell r="D51" t="str">
            <v>N</v>
          </cell>
          <cell r="E51" t="str">
            <v>Authorised</v>
          </cell>
          <cell r="F51">
            <v>0</v>
          </cell>
          <cell r="G51">
            <v>1</v>
          </cell>
          <cell r="H51" t="str">
            <v>20152016</v>
          </cell>
          <cell r="I51" t="str">
            <v>XG15</v>
          </cell>
          <cell r="J51" t="str">
            <v>Y</v>
          </cell>
          <cell r="K51" t="str">
            <v>Final</v>
          </cell>
          <cell r="L51" t="str">
            <v>Y</v>
          </cell>
          <cell r="M51" t="str">
            <v>Accruals</v>
          </cell>
          <cell r="N51" t="str">
            <v>Y</v>
          </cell>
          <cell r="O51" t="str">
            <v>Y</v>
          </cell>
          <cell r="P51">
            <v>-45530</v>
          </cell>
          <cell r="Q51">
            <v>0</v>
          </cell>
          <cell r="R51">
            <v>0</v>
          </cell>
          <cell r="S51">
            <v>1058261</v>
          </cell>
          <cell r="T51">
            <v>0</v>
          </cell>
          <cell r="U51">
            <v>23064</v>
          </cell>
          <cell r="V51">
            <v>0</v>
          </cell>
          <cell r="W51">
            <v>31074.53</v>
          </cell>
          <cell r="X51">
            <v>0</v>
          </cell>
          <cell r="Y51">
            <v>1285</v>
          </cell>
          <cell r="Z51">
            <v>25288.7</v>
          </cell>
          <cell r="AA51">
            <v>21631.51</v>
          </cell>
          <cell r="AB51">
            <v>5642.55</v>
          </cell>
          <cell r="AC51">
            <v>1150.03</v>
          </cell>
          <cell r="AD51">
            <v>23519.85</v>
          </cell>
          <cell r="AE51">
            <v>117389.33</v>
          </cell>
          <cell r="AF51">
            <v>0</v>
          </cell>
          <cell r="AG51">
            <v>0</v>
          </cell>
          <cell r="AH51">
            <v>0</v>
          </cell>
          <cell r="AI51">
            <v>37322.5</v>
          </cell>
          <cell r="AJ51">
            <v>605597.55000000005</v>
          </cell>
          <cell r="AK51">
            <v>0</v>
          </cell>
          <cell r="AL51">
            <v>219761.42</v>
          </cell>
          <cell r="AM51">
            <v>25670.52</v>
          </cell>
          <cell r="AN51">
            <v>98599.02</v>
          </cell>
          <cell r="AO51">
            <v>0</v>
          </cell>
          <cell r="AP51">
            <v>18966.349999999999</v>
          </cell>
          <cell r="AQ51">
            <v>8615.77</v>
          </cell>
          <cell r="AR51">
            <v>4675.8100000000004</v>
          </cell>
          <cell r="AS51">
            <v>9781</v>
          </cell>
          <cell r="AT51">
            <v>0</v>
          </cell>
          <cell r="AU51">
            <v>12726.21</v>
          </cell>
          <cell r="AV51">
            <v>0</v>
          </cell>
          <cell r="AW51">
            <v>25958.86</v>
          </cell>
          <cell r="AX51">
            <v>5302.4</v>
          </cell>
          <cell r="AY51">
            <v>10263.42</v>
          </cell>
          <cell r="AZ51">
            <v>0</v>
          </cell>
          <cell r="BA51">
            <v>58847.25</v>
          </cell>
          <cell r="BB51">
            <v>79838.05</v>
          </cell>
          <cell r="BC51">
            <v>6261.96</v>
          </cell>
          <cell r="BD51">
            <v>0</v>
          </cell>
          <cell r="BE51">
            <v>8229.9500000000007</v>
          </cell>
          <cell r="BF51">
            <v>1063</v>
          </cell>
          <cell r="BG51">
            <v>7794</v>
          </cell>
          <cell r="BH51">
            <v>68594.75</v>
          </cell>
          <cell r="BI51">
            <v>22693.599999999999</v>
          </cell>
          <cell r="BJ51">
            <v>30562.01</v>
          </cell>
          <cell r="BK51">
            <v>21917.85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</row>
        <row r="52">
          <cell r="B52">
            <v>2079</v>
          </cell>
          <cell r="C52" t="str">
            <v>Beis Yaakov</v>
          </cell>
          <cell r="D52" t="str">
            <v>N</v>
          </cell>
          <cell r="E52" t="str">
            <v>Authorised</v>
          </cell>
          <cell r="F52">
            <v>0</v>
          </cell>
          <cell r="G52">
            <v>1</v>
          </cell>
          <cell r="H52" t="str">
            <v>20152016</v>
          </cell>
          <cell r="I52" t="str">
            <v>XG15</v>
          </cell>
          <cell r="J52" t="str">
            <v>Y</v>
          </cell>
          <cell r="K52" t="str">
            <v>Final</v>
          </cell>
          <cell r="L52" t="str">
            <v>Y</v>
          </cell>
          <cell r="M52" t="str">
            <v>Accruals</v>
          </cell>
          <cell r="N52" t="str">
            <v>Y</v>
          </cell>
          <cell r="O52" t="str">
            <v>Y</v>
          </cell>
          <cell r="P52">
            <v>-78302</v>
          </cell>
          <cell r="Q52">
            <v>0</v>
          </cell>
          <cell r="R52">
            <v>0</v>
          </cell>
          <cell r="S52">
            <v>1821692.92</v>
          </cell>
          <cell r="T52">
            <v>0</v>
          </cell>
          <cell r="U52">
            <v>11031</v>
          </cell>
          <cell r="V52">
            <v>0</v>
          </cell>
          <cell r="W52">
            <v>31680</v>
          </cell>
          <cell r="X52">
            <v>1889</v>
          </cell>
          <cell r="Y52">
            <v>283.5</v>
          </cell>
          <cell r="Z52">
            <v>0</v>
          </cell>
          <cell r="AA52">
            <v>24695.67</v>
          </cell>
          <cell r="AB52">
            <v>41591.86</v>
          </cell>
          <cell r="AC52">
            <v>534.47</v>
          </cell>
          <cell r="AD52">
            <v>5110.8999999999996</v>
          </cell>
          <cell r="AE52">
            <v>26264.51</v>
          </cell>
          <cell r="AF52">
            <v>0</v>
          </cell>
          <cell r="AG52">
            <v>0</v>
          </cell>
          <cell r="AH52">
            <v>0</v>
          </cell>
          <cell r="AI52">
            <v>112843.07</v>
          </cell>
          <cell r="AJ52">
            <v>1314456.25</v>
          </cell>
          <cell r="AK52">
            <v>0</v>
          </cell>
          <cell r="AL52">
            <v>110233.44</v>
          </cell>
          <cell r="AM52">
            <v>12614.36</v>
          </cell>
          <cell r="AN52">
            <v>97050.75</v>
          </cell>
          <cell r="AO52">
            <v>0</v>
          </cell>
          <cell r="AP52">
            <v>65568.88</v>
          </cell>
          <cell r="AQ52">
            <v>16542.8</v>
          </cell>
          <cell r="AR52">
            <v>1717</v>
          </cell>
          <cell r="AS52">
            <v>18853.27</v>
          </cell>
          <cell r="AT52">
            <v>0</v>
          </cell>
          <cell r="AU52">
            <v>8047.49</v>
          </cell>
          <cell r="AV52">
            <v>0</v>
          </cell>
          <cell r="AW52">
            <v>42744.34</v>
          </cell>
          <cell r="AX52">
            <v>10982.26</v>
          </cell>
          <cell r="AY52">
            <v>31228.43</v>
          </cell>
          <cell r="AZ52">
            <v>14261.4</v>
          </cell>
          <cell r="BA52">
            <v>17055.740000000002</v>
          </cell>
          <cell r="BB52">
            <v>53460.08</v>
          </cell>
          <cell r="BC52">
            <v>16893.939999999999</v>
          </cell>
          <cell r="BD52">
            <v>0</v>
          </cell>
          <cell r="BE52">
            <v>10980.03</v>
          </cell>
          <cell r="BF52">
            <v>0</v>
          </cell>
          <cell r="BG52">
            <v>9806.3799999999992</v>
          </cell>
          <cell r="BH52">
            <v>143257.29999999999</v>
          </cell>
          <cell r="BI52">
            <v>0</v>
          </cell>
          <cell r="BJ52">
            <v>38214.519999999997</v>
          </cell>
          <cell r="BK52">
            <v>48756.24</v>
          </cell>
          <cell r="BL52">
            <v>0</v>
          </cell>
          <cell r="BM52">
            <v>1122</v>
          </cell>
          <cell r="BN52">
            <v>0</v>
          </cell>
          <cell r="BO52">
            <v>0</v>
          </cell>
        </row>
        <row r="53">
          <cell r="B53">
            <v>3300</v>
          </cell>
          <cell r="C53" t="str">
            <v>All Saints' CE School (NW2)</v>
          </cell>
          <cell r="D53" t="str">
            <v>N</v>
          </cell>
          <cell r="E53" t="str">
            <v>Authorised</v>
          </cell>
          <cell r="F53">
            <v>0</v>
          </cell>
          <cell r="G53">
            <v>1</v>
          </cell>
          <cell r="H53" t="str">
            <v>20152016</v>
          </cell>
          <cell r="I53" t="str">
            <v>XG15</v>
          </cell>
          <cell r="J53" t="str">
            <v>Y</v>
          </cell>
          <cell r="K53" t="str">
            <v>Final</v>
          </cell>
          <cell r="L53" t="str">
            <v>Y</v>
          </cell>
          <cell r="M53" t="str">
            <v>Accruals</v>
          </cell>
          <cell r="N53" t="str">
            <v>N</v>
          </cell>
          <cell r="O53" t="str">
            <v>Y</v>
          </cell>
          <cell r="P53">
            <v>66479</v>
          </cell>
          <cell r="Q53">
            <v>0</v>
          </cell>
          <cell r="R53">
            <v>0</v>
          </cell>
          <cell r="S53">
            <v>987606</v>
          </cell>
          <cell r="T53">
            <v>0</v>
          </cell>
          <cell r="U53">
            <v>47170.17</v>
          </cell>
          <cell r="V53">
            <v>0</v>
          </cell>
          <cell r="W53">
            <v>121426.99</v>
          </cell>
          <cell r="X53">
            <v>1000</v>
          </cell>
          <cell r="Y53">
            <v>915</v>
          </cell>
          <cell r="Z53">
            <v>656.06</v>
          </cell>
          <cell r="AA53">
            <v>14907.34</v>
          </cell>
          <cell r="AB53">
            <v>12955.6</v>
          </cell>
          <cell r="AC53">
            <v>0</v>
          </cell>
          <cell r="AD53">
            <v>10957.68</v>
          </cell>
          <cell r="AE53">
            <v>10115.11</v>
          </cell>
          <cell r="AF53">
            <v>0</v>
          </cell>
          <cell r="AG53">
            <v>0</v>
          </cell>
          <cell r="AH53">
            <v>0</v>
          </cell>
          <cell r="AI53">
            <v>31704.68</v>
          </cell>
          <cell r="AJ53">
            <v>516869.86</v>
          </cell>
          <cell r="AK53">
            <v>8219.7000000000007</v>
          </cell>
          <cell r="AL53">
            <v>242707.5</v>
          </cell>
          <cell r="AM53">
            <v>28677.06</v>
          </cell>
          <cell r="AN53">
            <v>31641.45</v>
          </cell>
          <cell r="AO53">
            <v>0</v>
          </cell>
          <cell r="AP53">
            <v>10554.43</v>
          </cell>
          <cell r="AQ53">
            <v>8686.18</v>
          </cell>
          <cell r="AR53">
            <v>7468.95</v>
          </cell>
          <cell r="AS53">
            <v>10403.530000000001</v>
          </cell>
          <cell r="AT53">
            <v>0</v>
          </cell>
          <cell r="AU53">
            <v>8581.41</v>
          </cell>
          <cell r="AV53">
            <v>1032.57</v>
          </cell>
          <cell r="AW53">
            <v>15784.74</v>
          </cell>
          <cell r="AX53">
            <v>6843.36</v>
          </cell>
          <cell r="AY53">
            <v>11689.02</v>
          </cell>
          <cell r="AZ53">
            <v>0</v>
          </cell>
          <cell r="BA53">
            <v>5071.22</v>
          </cell>
          <cell r="BB53">
            <v>37085.760000000002</v>
          </cell>
          <cell r="BC53">
            <v>14766.29</v>
          </cell>
          <cell r="BD53">
            <v>0</v>
          </cell>
          <cell r="BE53">
            <v>10969.11</v>
          </cell>
          <cell r="BF53">
            <v>4976.91</v>
          </cell>
          <cell r="BG53">
            <v>2619.67</v>
          </cell>
          <cell r="BH53">
            <v>53723.57</v>
          </cell>
          <cell r="BI53">
            <v>42346</v>
          </cell>
          <cell r="BJ53">
            <v>41978.45</v>
          </cell>
          <cell r="BK53">
            <v>30418.89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</row>
        <row r="54">
          <cell r="B54">
            <v>3302</v>
          </cell>
          <cell r="C54" t="str">
            <v>Christ Church CE School</v>
          </cell>
          <cell r="D54" t="str">
            <v>N</v>
          </cell>
          <cell r="E54" t="str">
            <v>Authorised</v>
          </cell>
          <cell r="F54">
            <v>0</v>
          </cell>
          <cell r="G54">
            <v>1</v>
          </cell>
          <cell r="H54" t="str">
            <v>20152016</v>
          </cell>
          <cell r="I54" t="str">
            <v>XG15</v>
          </cell>
          <cell r="J54" t="str">
            <v>Y</v>
          </cell>
          <cell r="K54" t="str">
            <v>Final</v>
          </cell>
          <cell r="L54" t="str">
            <v>Y</v>
          </cell>
          <cell r="M54" t="str">
            <v>Accruals</v>
          </cell>
          <cell r="N54" t="str">
            <v>N</v>
          </cell>
          <cell r="O54" t="str">
            <v>Y</v>
          </cell>
          <cell r="P54">
            <v>96808</v>
          </cell>
          <cell r="Q54">
            <v>0</v>
          </cell>
          <cell r="R54">
            <v>0</v>
          </cell>
          <cell r="S54">
            <v>824412</v>
          </cell>
          <cell r="T54">
            <v>0</v>
          </cell>
          <cell r="U54">
            <v>29376</v>
          </cell>
          <cell r="V54">
            <v>0</v>
          </cell>
          <cell r="W54">
            <v>17536.009999999998</v>
          </cell>
          <cell r="X54">
            <v>1000</v>
          </cell>
          <cell r="Y54">
            <v>9970</v>
          </cell>
          <cell r="Z54">
            <v>15714.67</v>
          </cell>
          <cell r="AA54">
            <v>33385.42</v>
          </cell>
          <cell r="AB54">
            <v>0</v>
          </cell>
          <cell r="AC54">
            <v>0</v>
          </cell>
          <cell r="AD54">
            <v>38484.449999999997</v>
          </cell>
          <cell r="AE54">
            <v>18705.93</v>
          </cell>
          <cell r="AF54">
            <v>0</v>
          </cell>
          <cell r="AG54">
            <v>0</v>
          </cell>
          <cell r="AH54">
            <v>0</v>
          </cell>
          <cell r="AI54">
            <v>44916.57</v>
          </cell>
          <cell r="AJ54">
            <v>460910.13</v>
          </cell>
          <cell r="AK54">
            <v>5687.42</v>
          </cell>
          <cell r="AL54">
            <v>143638.88</v>
          </cell>
          <cell r="AM54">
            <v>31300.3</v>
          </cell>
          <cell r="AN54">
            <v>36455.980000000003</v>
          </cell>
          <cell r="AO54">
            <v>0</v>
          </cell>
          <cell r="AP54">
            <v>22277.279999999999</v>
          </cell>
          <cell r="AQ54">
            <v>6730.85</v>
          </cell>
          <cell r="AR54">
            <v>8356.16</v>
          </cell>
          <cell r="AS54">
            <v>0</v>
          </cell>
          <cell r="AT54">
            <v>957.6</v>
          </cell>
          <cell r="AU54">
            <v>28527.040000000001</v>
          </cell>
          <cell r="AV54">
            <v>281.68</v>
          </cell>
          <cell r="AW54">
            <v>12303.63</v>
          </cell>
          <cell r="AX54">
            <v>2069.58</v>
          </cell>
          <cell r="AY54">
            <v>17342.48</v>
          </cell>
          <cell r="AZ54">
            <v>0</v>
          </cell>
          <cell r="BA54">
            <v>2893.63</v>
          </cell>
          <cell r="BB54">
            <v>58179.21</v>
          </cell>
          <cell r="BC54">
            <v>18229.59</v>
          </cell>
          <cell r="BD54">
            <v>0</v>
          </cell>
          <cell r="BE54">
            <v>10895.49</v>
          </cell>
          <cell r="BF54">
            <v>2756.5</v>
          </cell>
          <cell r="BG54">
            <v>1295.07</v>
          </cell>
          <cell r="BH54">
            <v>64424</v>
          </cell>
          <cell r="BI54">
            <v>44299.47</v>
          </cell>
          <cell r="BJ54">
            <v>29248.94</v>
          </cell>
          <cell r="BK54">
            <v>29998.33</v>
          </cell>
          <cell r="BL54">
            <v>0</v>
          </cell>
          <cell r="BM54">
            <v>19930.810000000001</v>
          </cell>
          <cell r="BN54">
            <v>0</v>
          </cell>
          <cell r="BO54">
            <v>0</v>
          </cell>
        </row>
        <row r="55">
          <cell r="B55">
            <v>3304</v>
          </cell>
          <cell r="C55" t="str">
            <v>Holy Trinity CE School</v>
          </cell>
          <cell r="D55" t="str">
            <v>N</v>
          </cell>
          <cell r="E55" t="str">
            <v>Authorised</v>
          </cell>
          <cell r="F55">
            <v>0</v>
          </cell>
          <cell r="G55">
            <v>0</v>
          </cell>
          <cell r="H55" t="str">
            <v>20152016</v>
          </cell>
          <cell r="I55" t="str">
            <v>XG15</v>
          </cell>
          <cell r="J55" t="str">
            <v>Y</v>
          </cell>
          <cell r="K55" t="str">
            <v>Final</v>
          </cell>
          <cell r="L55" t="str">
            <v>Y</v>
          </cell>
          <cell r="M55" t="str">
            <v>Accruals</v>
          </cell>
          <cell r="N55" t="str">
            <v>N</v>
          </cell>
          <cell r="O55" t="str">
            <v>Y</v>
          </cell>
          <cell r="P55">
            <v>23352</v>
          </cell>
          <cell r="Q55">
            <v>0</v>
          </cell>
          <cell r="R55">
            <v>6853</v>
          </cell>
          <cell r="S55">
            <v>1090387</v>
          </cell>
          <cell r="T55">
            <v>0</v>
          </cell>
          <cell r="U55">
            <v>36017</v>
          </cell>
          <cell r="V55">
            <v>0</v>
          </cell>
          <cell r="W55">
            <v>84197.01</v>
          </cell>
          <cell r="X55">
            <v>6627.4</v>
          </cell>
          <cell r="Y55">
            <v>1110</v>
          </cell>
          <cell r="Z55">
            <v>57040.52</v>
          </cell>
          <cell r="AA55">
            <v>21247.52</v>
          </cell>
          <cell r="AB55">
            <v>0</v>
          </cell>
          <cell r="AC55">
            <v>0</v>
          </cell>
          <cell r="AD55">
            <v>20738.2</v>
          </cell>
          <cell r="AE55">
            <v>14088.23</v>
          </cell>
          <cell r="AF55">
            <v>0</v>
          </cell>
          <cell r="AG55">
            <v>0</v>
          </cell>
          <cell r="AH55">
            <v>0</v>
          </cell>
          <cell r="AI55">
            <v>43449.32</v>
          </cell>
          <cell r="AJ55">
            <v>567209.12</v>
          </cell>
          <cell r="AK55">
            <v>0</v>
          </cell>
          <cell r="AL55">
            <v>210747.09</v>
          </cell>
          <cell r="AM55">
            <v>33223.21</v>
          </cell>
          <cell r="AN55">
            <v>62858.5</v>
          </cell>
          <cell r="AO55">
            <v>0</v>
          </cell>
          <cell r="AP55">
            <v>55480.01</v>
          </cell>
          <cell r="AQ55">
            <v>6950.93</v>
          </cell>
          <cell r="AR55">
            <v>4988.96</v>
          </cell>
          <cell r="AS55">
            <v>11652.79</v>
          </cell>
          <cell r="AT55">
            <v>1204.6199999999999</v>
          </cell>
          <cell r="AU55">
            <v>19559.46</v>
          </cell>
          <cell r="AV55">
            <v>2341.79</v>
          </cell>
          <cell r="AW55">
            <v>23063.3</v>
          </cell>
          <cell r="AX55">
            <v>2834.39</v>
          </cell>
          <cell r="AY55">
            <v>13867.65</v>
          </cell>
          <cell r="AZ55">
            <v>0</v>
          </cell>
          <cell r="BA55">
            <v>8856.7999999999993</v>
          </cell>
          <cell r="BB55">
            <v>43167.39</v>
          </cell>
          <cell r="BC55">
            <v>10978.45</v>
          </cell>
          <cell r="BD55">
            <v>0</v>
          </cell>
          <cell r="BE55">
            <v>14223.38</v>
          </cell>
          <cell r="BF55">
            <v>2000.38</v>
          </cell>
          <cell r="BG55">
            <v>18019.13</v>
          </cell>
          <cell r="BH55">
            <v>62102.36</v>
          </cell>
          <cell r="BI55">
            <v>37670.6</v>
          </cell>
          <cell r="BJ55">
            <v>103324.82</v>
          </cell>
          <cell r="BK55">
            <v>41409.07</v>
          </cell>
          <cell r="BL55">
            <v>0</v>
          </cell>
          <cell r="BM55">
            <v>6230</v>
          </cell>
          <cell r="BN55">
            <v>0</v>
          </cell>
          <cell r="BO55">
            <v>0</v>
          </cell>
        </row>
        <row r="56">
          <cell r="B56">
            <v>3305</v>
          </cell>
          <cell r="C56" t="str">
            <v>Monken Hadley CE School</v>
          </cell>
          <cell r="D56" t="str">
            <v>N</v>
          </cell>
          <cell r="E56" t="str">
            <v>Authorised</v>
          </cell>
          <cell r="F56">
            <v>0</v>
          </cell>
          <cell r="G56">
            <v>0</v>
          </cell>
          <cell r="H56" t="str">
            <v>20152016</v>
          </cell>
          <cell r="I56" t="str">
            <v>XG15</v>
          </cell>
          <cell r="J56" t="str">
            <v>Y</v>
          </cell>
          <cell r="K56" t="str">
            <v>Final</v>
          </cell>
          <cell r="L56" t="str">
            <v>Y</v>
          </cell>
          <cell r="M56" t="str">
            <v>Accruals</v>
          </cell>
          <cell r="N56" t="str">
            <v>N</v>
          </cell>
          <cell r="O56" t="str">
            <v>Y</v>
          </cell>
          <cell r="P56">
            <v>29665</v>
          </cell>
          <cell r="Q56">
            <v>0</v>
          </cell>
          <cell r="R56">
            <v>0</v>
          </cell>
          <cell r="S56">
            <v>615843</v>
          </cell>
          <cell r="T56">
            <v>0</v>
          </cell>
          <cell r="U56">
            <v>24322</v>
          </cell>
          <cell r="V56">
            <v>0</v>
          </cell>
          <cell r="W56">
            <v>9808.5</v>
          </cell>
          <cell r="X56">
            <v>0</v>
          </cell>
          <cell r="Y56">
            <v>0</v>
          </cell>
          <cell r="Z56">
            <v>7178.08</v>
          </cell>
          <cell r="AA56">
            <v>12905.58</v>
          </cell>
          <cell r="AB56">
            <v>12778.87</v>
          </cell>
          <cell r="AC56">
            <v>0</v>
          </cell>
          <cell r="AD56">
            <v>15658.08</v>
          </cell>
          <cell r="AE56">
            <v>35687.89</v>
          </cell>
          <cell r="AF56">
            <v>0</v>
          </cell>
          <cell r="AG56">
            <v>0</v>
          </cell>
          <cell r="AH56">
            <v>0</v>
          </cell>
          <cell r="AI56">
            <v>29805.51</v>
          </cell>
          <cell r="AJ56">
            <v>366716.06</v>
          </cell>
          <cell r="AK56">
            <v>0</v>
          </cell>
          <cell r="AL56">
            <v>64521.24</v>
          </cell>
          <cell r="AM56">
            <v>30962.32</v>
          </cell>
          <cell r="AN56">
            <v>31119.13</v>
          </cell>
          <cell r="AO56">
            <v>0</v>
          </cell>
          <cell r="AP56">
            <v>20142.52</v>
          </cell>
          <cell r="AQ56">
            <v>2651.07</v>
          </cell>
          <cell r="AR56">
            <v>1923</v>
          </cell>
          <cell r="AS56">
            <v>6029.98</v>
          </cell>
          <cell r="AT56">
            <v>604.79999999999995</v>
          </cell>
          <cell r="AU56">
            <v>6257.51</v>
          </cell>
          <cell r="AV56">
            <v>15.93</v>
          </cell>
          <cell r="AW56">
            <v>768.96</v>
          </cell>
          <cell r="AX56">
            <v>1103.58</v>
          </cell>
          <cell r="AY56">
            <v>7133.77</v>
          </cell>
          <cell r="AZ56">
            <v>0</v>
          </cell>
          <cell r="BA56">
            <v>4824.99</v>
          </cell>
          <cell r="BB56">
            <v>64044.42</v>
          </cell>
          <cell r="BC56">
            <v>6847.35</v>
          </cell>
          <cell r="BD56">
            <v>0</v>
          </cell>
          <cell r="BE56">
            <v>6253.08</v>
          </cell>
          <cell r="BF56">
            <v>3037.53</v>
          </cell>
          <cell r="BG56">
            <v>6077.27</v>
          </cell>
          <cell r="BH56">
            <v>37746.18</v>
          </cell>
          <cell r="BI56">
            <v>17436.04</v>
          </cell>
          <cell r="BJ56">
            <v>24124.46</v>
          </cell>
          <cell r="BK56">
            <v>20108.32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</row>
        <row r="57">
          <cell r="B57">
            <v>3307</v>
          </cell>
          <cell r="C57" t="str">
            <v>St. John's CE School (N11)</v>
          </cell>
          <cell r="D57" t="str">
            <v>N</v>
          </cell>
          <cell r="E57" t="str">
            <v>Authorised</v>
          </cell>
          <cell r="F57">
            <v>0</v>
          </cell>
          <cell r="G57">
            <v>0</v>
          </cell>
          <cell r="H57" t="str">
            <v>20152016</v>
          </cell>
          <cell r="I57" t="str">
            <v>XG15</v>
          </cell>
          <cell r="J57" t="str">
            <v>Y</v>
          </cell>
          <cell r="K57" t="str">
            <v>Final</v>
          </cell>
          <cell r="L57" t="str">
            <v>Y</v>
          </cell>
          <cell r="M57" t="str">
            <v>Accruals</v>
          </cell>
          <cell r="N57" t="str">
            <v>N</v>
          </cell>
          <cell r="O57" t="str">
            <v>N</v>
          </cell>
          <cell r="P57">
            <v>124462</v>
          </cell>
          <cell r="Q57">
            <v>0</v>
          </cell>
          <cell r="R57">
            <v>0</v>
          </cell>
          <cell r="S57">
            <v>959900</v>
          </cell>
          <cell r="T57">
            <v>0</v>
          </cell>
          <cell r="U57">
            <v>24322</v>
          </cell>
          <cell r="V57">
            <v>0</v>
          </cell>
          <cell r="W57">
            <v>46776.01</v>
          </cell>
          <cell r="X57">
            <v>5831.76</v>
          </cell>
          <cell r="Y57">
            <v>0</v>
          </cell>
          <cell r="Z57">
            <v>109351.72</v>
          </cell>
          <cell r="AA57">
            <v>28461.16</v>
          </cell>
          <cell r="AB57">
            <v>12992</v>
          </cell>
          <cell r="AC57">
            <v>0</v>
          </cell>
          <cell r="AD57">
            <v>42803.8</v>
          </cell>
          <cell r="AE57">
            <v>11426.5</v>
          </cell>
          <cell r="AF57">
            <v>0</v>
          </cell>
          <cell r="AG57">
            <v>0</v>
          </cell>
          <cell r="AH57">
            <v>0</v>
          </cell>
          <cell r="AI57">
            <v>43796.91</v>
          </cell>
          <cell r="AJ57">
            <v>538075.97</v>
          </cell>
          <cell r="AK57">
            <v>0</v>
          </cell>
          <cell r="AL57">
            <v>211892.93</v>
          </cell>
          <cell r="AM57">
            <v>54603.4</v>
          </cell>
          <cell r="AN57">
            <v>31119.599999999999</v>
          </cell>
          <cell r="AO57">
            <v>0</v>
          </cell>
          <cell r="AP57">
            <v>12759.8</v>
          </cell>
          <cell r="AQ57">
            <v>1410.16</v>
          </cell>
          <cell r="AR57">
            <v>3400.07</v>
          </cell>
          <cell r="AS57">
            <v>9490.23</v>
          </cell>
          <cell r="AT57">
            <v>882</v>
          </cell>
          <cell r="AU57">
            <v>19162.849999999999</v>
          </cell>
          <cell r="AV57">
            <v>1164</v>
          </cell>
          <cell r="AW57">
            <v>3962.12</v>
          </cell>
          <cell r="AX57">
            <v>6758.69</v>
          </cell>
          <cell r="AY57">
            <v>22163.53</v>
          </cell>
          <cell r="AZ57">
            <v>0</v>
          </cell>
          <cell r="BA57">
            <v>9703.7000000000007</v>
          </cell>
          <cell r="BB57">
            <v>70587.600000000006</v>
          </cell>
          <cell r="BC57">
            <v>10647.9</v>
          </cell>
          <cell r="BD57">
            <v>0</v>
          </cell>
          <cell r="BE57">
            <v>9015.69</v>
          </cell>
          <cell r="BF57">
            <v>7384.41</v>
          </cell>
          <cell r="BG57">
            <v>934</v>
          </cell>
          <cell r="BH57">
            <v>65201.75</v>
          </cell>
          <cell r="BI57">
            <v>128881.77</v>
          </cell>
          <cell r="BJ57">
            <v>39258.85</v>
          </cell>
          <cell r="BK57">
            <v>35129.51</v>
          </cell>
          <cell r="BL57">
            <v>0</v>
          </cell>
          <cell r="BM57">
            <v>8471.33</v>
          </cell>
          <cell r="BN57">
            <v>0</v>
          </cell>
          <cell r="BO57">
            <v>0</v>
          </cell>
        </row>
        <row r="58">
          <cell r="B58">
            <v>3309</v>
          </cell>
          <cell r="C58" t="str">
            <v>St. John's CE School (N20)</v>
          </cell>
          <cell r="D58" t="str">
            <v>N</v>
          </cell>
          <cell r="E58" t="str">
            <v>Authorised</v>
          </cell>
          <cell r="F58">
            <v>0</v>
          </cell>
          <cell r="G58">
            <v>1</v>
          </cell>
          <cell r="H58" t="str">
            <v>20152016</v>
          </cell>
          <cell r="I58" t="str">
            <v>XG15</v>
          </cell>
          <cell r="J58" t="str">
            <v>Y</v>
          </cell>
          <cell r="K58" t="str">
            <v>Final</v>
          </cell>
          <cell r="L58" t="str">
            <v>Y</v>
          </cell>
          <cell r="M58" t="str">
            <v>Accruals</v>
          </cell>
          <cell r="N58" t="str">
            <v>N</v>
          </cell>
          <cell r="O58" t="str">
            <v>Y</v>
          </cell>
          <cell r="P58">
            <v>24750</v>
          </cell>
          <cell r="Q58">
            <v>0</v>
          </cell>
          <cell r="R58">
            <v>0</v>
          </cell>
          <cell r="S58">
            <v>964252</v>
          </cell>
          <cell r="T58">
            <v>0</v>
          </cell>
          <cell r="U58">
            <v>89016</v>
          </cell>
          <cell r="V58">
            <v>0</v>
          </cell>
          <cell r="W58">
            <v>46720.01</v>
          </cell>
          <cell r="X58">
            <v>2250</v>
          </cell>
          <cell r="Y58">
            <v>8685</v>
          </cell>
          <cell r="Z58">
            <v>38305.08</v>
          </cell>
          <cell r="AA58">
            <v>29122.68</v>
          </cell>
          <cell r="AB58">
            <v>7695</v>
          </cell>
          <cell r="AC58">
            <v>189.04</v>
          </cell>
          <cell r="AD58">
            <v>21214.76</v>
          </cell>
          <cell r="AE58">
            <v>8324.08</v>
          </cell>
          <cell r="AF58">
            <v>0</v>
          </cell>
          <cell r="AG58">
            <v>0</v>
          </cell>
          <cell r="AH58">
            <v>0</v>
          </cell>
          <cell r="AI58">
            <v>47974.58</v>
          </cell>
          <cell r="AJ58">
            <v>592256.05000000005</v>
          </cell>
          <cell r="AK58">
            <v>0</v>
          </cell>
          <cell r="AL58">
            <v>329132.34999999998</v>
          </cell>
          <cell r="AM58">
            <v>19021.150000000001</v>
          </cell>
          <cell r="AN58">
            <v>47239.74</v>
          </cell>
          <cell r="AO58">
            <v>33745.480000000003</v>
          </cell>
          <cell r="AP58">
            <v>722.47</v>
          </cell>
          <cell r="AQ58">
            <v>5085.67</v>
          </cell>
          <cell r="AR58">
            <v>6660.53</v>
          </cell>
          <cell r="AS58">
            <v>5661.75</v>
          </cell>
          <cell r="AT58">
            <v>7551.1</v>
          </cell>
          <cell r="AU58">
            <v>12568.49</v>
          </cell>
          <cell r="AV58">
            <v>3401.91</v>
          </cell>
          <cell r="AW58">
            <v>21299.86</v>
          </cell>
          <cell r="AX58">
            <v>2388.5300000000002</v>
          </cell>
          <cell r="AY58">
            <v>-188.68</v>
          </cell>
          <cell r="AZ58">
            <v>0</v>
          </cell>
          <cell r="BA58">
            <v>4538.7</v>
          </cell>
          <cell r="BB58">
            <v>41554.49</v>
          </cell>
          <cell r="BC58">
            <v>13585.95</v>
          </cell>
          <cell r="BD58">
            <v>0</v>
          </cell>
          <cell r="BE58">
            <v>10766.81</v>
          </cell>
          <cell r="BF58">
            <v>5932.72</v>
          </cell>
          <cell r="BG58">
            <v>3282.39</v>
          </cell>
          <cell r="BH58">
            <v>35640.29</v>
          </cell>
          <cell r="BI58">
            <v>365</v>
          </cell>
          <cell r="BJ58">
            <v>20385.12</v>
          </cell>
          <cell r="BK58">
            <v>36014.36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</row>
        <row r="59">
          <cell r="B59">
            <v>3311</v>
          </cell>
          <cell r="C59" t="str">
            <v>St. Mary's CE School (N3)</v>
          </cell>
          <cell r="D59" t="str">
            <v>N</v>
          </cell>
          <cell r="E59" t="str">
            <v>Authorised</v>
          </cell>
          <cell r="F59">
            <v>0</v>
          </cell>
          <cell r="G59">
            <v>0</v>
          </cell>
          <cell r="H59" t="str">
            <v>20152016</v>
          </cell>
          <cell r="I59" t="str">
            <v>XG15</v>
          </cell>
          <cell r="J59" t="str">
            <v>Y</v>
          </cell>
          <cell r="K59" t="str">
            <v>Final</v>
          </cell>
          <cell r="L59" t="str">
            <v>Y</v>
          </cell>
          <cell r="M59" t="str">
            <v>Accruals</v>
          </cell>
          <cell r="N59" t="str">
            <v>N</v>
          </cell>
          <cell r="O59" t="str">
            <v>N</v>
          </cell>
          <cell r="P59">
            <v>97706</v>
          </cell>
          <cell r="Q59">
            <v>0</v>
          </cell>
          <cell r="R59">
            <v>0</v>
          </cell>
          <cell r="S59">
            <v>1742184.55</v>
          </cell>
          <cell r="T59">
            <v>0</v>
          </cell>
          <cell r="U59">
            <v>37681</v>
          </cell>
          <cell r="V59">
            <v>0</v>
          </cell>
          <cell r="W59">
            <v>30310</v>
          </cell>
          <cell r="X59">
            <v>8994</v>
          </cell>
          <cell r="Y59">
            <v>585</v>
          </cell>
          <cell r="Z59">
            <v>38912.230000000003</v>
          </cell>
          <cell r="AA59">
            <v>58697.8</v>
          </cell>
          <cell r="AB59">
            <v>0</v>
          </cell>
          <cell r="AC59">
            <v>0</v>
          </cell>
          <cell r="AD59">
            <v>67572.98</v>
          </cell>
          <cell r="AE59">
            <v>15908.75</v>
          </cell>
          <cell r="AF59">
            <v>0</v>
          </cell>
          <cell r="AG59">
            <v>0</v>
          </cell>
          <cell r="AH59">
            <v>0</v>
          </cell>
          <cell r="AI59">
            <v>72136.22</v>
          </cell>
          <cell r="AJ59">
            <v>875732.75</v>
          </cell>
          <cell r="AK59">
            <v>0</v>
          </cell>
          <cell r="AL59">
            <v>474319.47</v>
          </cell>
          <cell r="AM59">
            <v>58671.46</v>
          </cell>
          <cell r="AN59">
            <v>34660.230000000003</v>
          </cell>
          <cell r="AO59">
            <v>0</v>
          </cell>
          <cell r="AP59">
            <v>75762.5</v>
          </cell>
          <cell r="AQ59">
            <v>8769.65</v>
          </cell>
          <cell r="AR59">
            <v>4029.38</v>
          </cell>
          <cell r="AS59">
            <v>693</v>
          </cell>
          <cell r="AT59">
            <v>1429.68</v>
          </cell>
          <cell r="AU59">
            <v>15262.17</v>
          </cell>
          <cell r="AV59">
            <v>6382.75</v>
          </cell>
          <cell r="AW59">
            <v>22756.27</v>
          </cell>
          <cell r="AX59">
            <v>6659.26</v>
          </cell>
          <cell r="AY59">
            <v>23582.78</v>
          </cell>
          <cell r="AZ59">
            <v>0</v>
          </cell>
          <cell r="BA59">
            <v>10296.06</v>
          </cell>
          <cell r="BB59">
            <v>92260.62</v>
          </cell>
          <cell r="BC59">
            <v>27331.11</v>
          </cell>
          <cell r="BD59">
            <v>0</v>
          </cell>
          <cell r="BE59">
            <v>13209.5</v>
          </cell>
          <cell r="BF59">
            <v>6503.35</v>
          </cell>
          <cell r="BG59">
            <v>5061.55</v>
          </cell>
          <cell r="BH59">
            <v>118374.83</v>
          </cell>
          <cell r="BI59">
            <v>56318.73</v>
          </cell>
          <cell r="BJ59">
            <v>78211.360000000001</v>
          </cell>
          <cell r="BK59">
            <v>53642.07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</row>
        <row r="60">
          <cell r="B60">
            <v>3312</v>
          </cell>
          <cell r="C60" t="str">
            <v>St. Mary's CE School (EN4)</v>
          </cell>
          <cell r="D60" t="str">
            <v>N</v>
          </cell>
          <cell r="E60" t="str">
            <v>Authorised</v>
          </cell>
          <cell r="F60">
            <v>0</v>
          </cell>
          <cell r="G60">
            <v>0</v>
          </cell>
          <cell r="H60" t="str">
            <v>20152016</v>
          </cell>
          <cell r="I60" t="str">
            <v>XG15</v>
          </cell>
          <cell r="J60" t="str">
            <v>Y</v>
          </cell>
          <cell r="K60" t="str">
            <v>Final</v>
          </cell>
          <cell r="L60" t="str">
            <v>Y</v>
          </cell>
          <cell r="M60" t="str">
            <v>Accruals</v>
          </cell>
          <cell r="N60" t="str">
            <v>N</v>
          </cell>
          <cell r="O60" t="str">
            <v>Y</v>
          </cell>
          <cell r="P60">
            <v>82061</v>
          </cell>
          <cell r="Q60">
            <v>0</v>
          </cell>
          <cell r="R60">
            <v>0</v>
          </cell>
          <cell r="S60">
            <v>875669</v>
          </cell>
          <cell r="T60">
            <v>0</v>
          </cell>
          <cell r="U60">
            <v>55648</v>
          </cell>
          <cell r="V60">
            <v>0</v>
          </cell>
          <cell r="W60">
            <v>33461.01</v>
          </cell>
          <cell r="X60">
            <v>6893.9</v>
          </cell>
          <cell r="Y60">
            <v>0</v>
          </cell>
          <cell r="Z60">
            <v>42199.46</v>
          </cell>
          <cell r="AA60">
            <v>28532.83</v>
          </cell>
          <cell r="AB60">
            <v>7040.19</v>
          </cell>
          <cell r="AC60">
            <v>0</v>
          </cell>
          <cell r="AD60">
            <v>49814.38</v>
          </cell>
          <cell r="AE60">
            <v>6172.73</v>
          </cell>
          <cell r="AF60">
            <v>0</v>
          </cell>
          <cell r="AG60">
            <v>0</v>
          </cell>
          <cell r="AH60">
            <v>0</v>
          </cell>
          <cell r="AI60">
            <v>49975.32</v>
          </cell>
          <cell r="AJ60">
            <v>573640.75</v>
          </cell>
          <cell r="AK60">
            <v>9405.64</v>
          </cell>
          <cell r="AL60">
            <v>190693.79</v>
          </cell>
          <cell r="AM60">
            <v>27644.57</v>
          </cell>
          <cell r="AN60">
            <v>44320.55</v>
          </cell>
          <cell r="AO60">
            <v>0</v>
          </cell>
          <cell r="AP60">
            <v>5613.88</v>
          </cell>
          <cell r="AQ60">
            <v>3829.62</v>
          </cell>
          <cell r="AR60">
            <v>3237.32</v>
          </cell>
          <cell r="AS60">
            <v>0</v>
          </cell>
          <cell r="AT60">
            <v>1375.07</v>
          </cell>
          <cell r="AU60">
            <v>26316.49</v>
          </cell>
          <cell r="AV60">
            <v>4972.22</v>
          </cell>
          <cell r="AW60">
            <v>16306.92</v>
          </cell>
          <cell r="AX60">
            <v>2478.1799999999998</v>
          </cell>
          <cell r="AY60">
            <v>10668.56</v>
          </cell>
          <cell r="AZ60">
            <v>0</v>
          </cell>
          <cell r="BA60">
            <v>7773.4</v>
          </cell>
          <cell r="BB60">
            <v>80570.22</v>
          </cell>
          <cell r="BC60">
            <v>14911.8</v>
          </cell>
          <cell r="BD60">
            <v>0</v>
          </cell>
          <cell r="BE60">
            <v>4084.85</v>
          </cell>
          <cell r="BF60">
            <v>9523.33</v>
          </cell>
          <cell r="BG60">
            <v>15352.54</v>
          </cell>
          <cell r="BH60">
            <v>63877.67</v>
          </cell>
          <cell r="BI60">
            <v>189</v>
          </cell>
          <cell r="BJ60">
            <v>32765.15</v>
          </cell>
          <cell r="BK60">
            <v>47495.040000000001</v>
          </cell>
          <cell r="BL60">
            <v>0</v>
          </cell>
          <cell r="BM60">
            <v>6593.26</v>
          </cell>
          <cell r="BN60">
            <v>0</v>
          </cell>
          <cell r="BO60">
            <v>0</v>
          </cell>
        </row>
        <row r="61">
          <cell r="B61">
            <v>3313</v>
          </cell>
          <cell r="C61" t="str">
            <v>St Paul's CE School (N11)</v>
          </cell>
          <cell r="D61" t="str">
            <v>N</v>
          </cell>
          <cell r="E61" t="str">
            <v>Authorised</v>
          </cell>
          <cell r="F61">
            <v>0</v>
          </cell>
          <cell r="G61">
            <v>0</v>
          </cell>
          <cell r="H61" t="str">
            <v>20152016</v>
          </cell>
          <cell r="I61" t="str">
            <v>XG15</v>
          </cell>
          <cell r="J61" t="str">
            <v>Y</v>
          </cell>
          <cell r="K61" t="str">
            <v>Final</v>
          </cell>
          <cell r="L61" t="str">
            <v>Y</v>
          </cell>
          <cell r="M61" t="str">
            <v>Accruals</v>
          </cell>
          <cell r="N61" t="str">
            <v>N</v>
          </cell>
          <cell r="O61" t="str">
            <v>N</v>
          </cell>
          <cell r="P61">
            <v>219470</v>
          </cell>
          <cell r="Q61">
            <v>0</v>
          </cell>
          <cell r="R61">
            <v>0</v>
          </cell>
          <cell r="S61">
            <v>1031261</v>
          </cell>
          <cell r="T61">
            <v>0</v>
          </cell>
          <cell r="U61">
            <v>46919</v>
          </cell>
          <cell r="V61">
            <v>0</v>
          </cell>
          <cell r="W61">
            <v>61879.99</v>
          </cell>
          <cell r="X61">
            <v>0</v>
          </cell>
          <cell r="Y61">
            <v>357</v>
          </cell>
          <cell r="Z61">
            <v>9447.2000000000007</v>
          </cell>
          <cell r="AA61">
            <v>21929.42</v>
          </cell>
          <cell r="AB61">
            <v>11501.36</v>
          </cell>
          <cell r="AC61">
            <v>0</v>
          </cell>
          <cell r="AD61">
            <v>19944.86</v>
          </cell>
          <cell r="AE61">
            <v>2074.77</v>
          </cell>
          <cell r="AF61">
            <v>0</v>
          </cell>
          <cell r="AG61">
            <v>0</v>
          </cell>
          <cell r="AH61">
            <v>0</v>
          </cell>
          <cell r="AI61">
            <v>36573.07</v>
          </cell>
          <cell r="AJ61">
            <v>520639.61</v>
          </cell>
          <cell r="AK61">
            <v>30647.47</v>
          </cell>
          <cell r="AL61">
            <v>222445.15</v>
          </cell>
          <cell r="AM61">
            <v>26127.37</v>
          </cell>
          <cell r="AN61">
            <v>36177.300000000003</v>
          </cell>
          <cell r="AO61">
            <v>0</v>
          </cell>
          <cell r="AP61">
            <v>22257.040000000001</v>
          </cell>
          <cell r="AQ61">
            <v>12417.31</v>
          </cell>
          <cell r="AR61">
            <v>4029.93</v>
          </cell>
          <cell r="AS61">
            <v>10614.37</v>
          </cell>
          <cell r="AT61">
            <v>6114.11</v>
          </cell>
          <cell r="AU61">
            <v>28406.45</v>
          </cell>
          <cell r="AV61">
            <v>1849.09</v>
          </cell>
          <cell r="AW61">
            <v>14557.24</v>
          </cell>
          <cell r="AX61">
            <v>1642.51</v>
          </cell>
          <cell r="AY61">
            <v>11136.42</v>
          </cell>
          <cell r="AZ61">
            <v>0</v>
          </cell>
          <cell r="BA61">
            <v>5017.07</v>
          </cell>
          <cell r="BB61">
            <v>62589.04</v>
          </cell>
          <cell r="BC61">
            <v>15824.44</v>
          </cell>
          <cell r="BD61">
            <v>0</v>
          </cell>
          <cell r="BE61">
            <v>6265.77</v>
          </cell>
          <cell r="BF61">
            <v>3268.99</v>
          </cell>
          <cell r="BG61">
            <v>11782.22</v>
          </cell>
          <cell r="BH61">
            <v>60452.36</v>
          </cell>
          <cell r="BI61">
            <v>40651.4</v>
          </cell>
          <cell r="BJ61">
            <v>24134.31</v>
          </cell>
          <cell r="BK61">
            <v>29153.7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</row>
        <row r="62">
          <cell r="B62">
            <v>3314</v>
          </cell>
          <cell r="C62" t="str">
            <v>St Paul's CE School (NW7)</v>
          </cell>
          <cell r="D62" t="str">
            <v>N</v>
          </cell>
          <cell r="E62" t="str">
            <v>Authorised</v>
          </cell>
          <cell r="F62">
            <v>0</v>
          </cell>
          <cell r="G62">
            <v>0</v>
          </cell>
          <cell r="H62" t="str">
            <v>20152016</v>
          </cell>
          <cell r="I62" t="str">
            <v>XG15</v>
          </cell>
          <cell r="J62" t="str">
            <v>Y</v>
          </cell>
          <cell r="K62" t="str">
            <v>Final</v>
          </cell>
          <cell r="L62" t="str">
            <v>Y</v>
          </cell>
          <cell r="M62" t="str">
            <v>Accruals</v>
          </cell>
          <cell r="N62" t="str">
            <v>N</v>
          </cell>
          <cell r="O62" t="str">
            <v>Y</v>
          </cell>
          <cell r="P62">
            <v>61296</v>
          </cell>
          <cell r="Q62">
            <v>0</v>
          </cell>
          <cell r="R62">
            <v>0</v>
          </cell>
          <cell r="S62">
            <v>868788</v>
          </cell>
          <cell r="T62">
            <v>0</v>
          </cell>
          <cell r="U62">
            <v>59408</v>
          </cell>
          <cell r="V62">
            <v>0</v>
          </cell>
          <cell r="W62">
            <v>24179.99</v>
          </cell>
          <cell r="X62">
            <v>1100</v>
          </cell>
          <cell r="Y62">
            <v>43382.19</v>
          </cell>
          <cell r="Z62">
            <v>43556.55</v>
          </cell>
          <cell r="AA62">
            <v>26050.12</v>
          </cell>
          <cell r="AB62">
            <v>5264.52</v>
          </cell>
          <cell r="AC62">
            <v>3417.32</v>
          </cell>
          <cell r="AD62">
            <v>40391.61</v>
          </cell>
          <cell r="AE62">
            <v>11070.1</v>
          </cell>
          <cell r="AF62">
            <v>0</v>
          </cell>
          <cell r="AG62">
            <v>0</v>
          </cell>
          <cell r="AH62">
            <v>0</v>
          </cell>
          <cell r="AI62">
            <v>48242.76</v>
          </cell>
          <cell r="AJ62">
            <v>547162.88</v>
          </cell>
          <cell r="AK62">
            <v>2836.26</v>
          </cell>
          <cell r="AL62">
            <v>182792.87</v>
          </cell>
          <cell r="AM62">
            <v>31533.95</v>
          </cell>
          <cell r="AN62">
            <v>51008.33</v>
          </cell>
          <cell r="AO62">
            <v>0</v>
          </cell>
          <cell r="AP62">
            <v>18793.61</v>
          </cell>
          <cell r="AQ62">
            <v>4900.6899999999996</v>
          </cell>
          <cell r="AR62">
            <v>5496.55</v>
          </cell>
          <cell r="AS62">
            <v>709</v>
          </cell>
          <cell r="AT62">
            <v>6673.52</v>
          </cell>
          <cell r="AU62">
            <v>39806.699999999997</v>
          </cell>
          <cell r="AV62">
            <v>7518.92</v>
          </cell>
          <cell r="AW62">
            <v>11231.84</v>
          </cell>
          <cell r="AX62">
            <v>2878.59</v>
          </cell>
          <cell r="AY62">
            <v>12299.87</v>
          </cell>
          <cell r="AZ62">
            <v>0</v>
          </cell>
          <cell r="BA62">
            <v>5001</v>
          </cell>
          <cell r="BB62">
            <v>76828.539999999994</v>
          </cell>
          <cell r="BC62">
            <v>19752.55</v>
          </cell>
          <cell r="BD62">
            <v>0</v>
          </cell>
          <cell r="BE62">
            <v>12151.03</v>
          </cell>
          <cell r="BF62">
            <v>4724.78</v>
          </cell>
          <cell r="BG62">
            <v>9235.56</v>
          </cell>
          <cell r="BH62">
            <v>61276.800000000003</v>
          </cell>
          <cell r="BI62">
            <v>16245</v>
          </cell>
          <cell r="BJ62">
            <v>25059.25</v>
          </cell>
          <cell r="BK62">
            <v>28228.799999999999</v>
          </cell>
          <cell r="BL62">
            <v>0</v>
          </cell>
          <cell r="BM62">
            <v>5489.27</v>
          </cell>
          <cell r="BN62">
            <v>0</v>
          </cell>
          <cell r="BO62">
            <v>0</v>
          </cell>
        </row>
        <row r="63">
          <cell r="B63">
            <v>3315</v>
          </cell>
          <cell r="C63" t="str">
            <v>St. Andrew's CE School</v>
          </cell>
          <cell r="D63" t="str">
            <v>N</v>
          </cell>
          <cell r="E63" t="str">
            <v>Authorised</v>
          </cell>
          <cell r="F63">
            <v>0</v>
          </cell>
          <cell r="G63">
            <v>0</v>
          </cell>
          <cell r="H63" t="str">
            <v>20152016</v>
          </cell>
          <cell r="I63" t="str">
            <v>XG15</v>
          </cell>
          <cell r="J63" t="str">
            <v>Y</v>
          </cell>
          <cell r="K63" t="str">
            <v>Final</v>
          </cell>
          <cell r="L63" t="str">
            <v>Y</v>
          </cell>
          <cell r="M63" t="str">
            <v>Accruals</v>
          </cell>
          <cell r="N63" t="str">
            <v>N</v>
          </cell>
          <cell r="O63" t="str">
            <v>Y</v>
          </cell>
          <cell r="P63">
            <v>109445</v>
          </cell>
          <cell r="Q63">
            <v>0</v>
          </cell>
          <cell r="R63">
            <v>0</v>
          </cell>
          <cell r="S63">
            <v>842567</v>
          </cell>
          <cell r="T63">
            <v>0</v>
          </cell>
          <cell r="U63">
            <v>40674</v>
          </cell>
          <cell r="V63">
            <v>0</v>
          </cell>
          <cell r="W63">
            <v>16184.97</v>
          </cell>
          <cell r="X63">
            <v>0</v>
          </cell>
          <cell r="Y63">
            <v>11459.95</v>
          </cell>
          <cell r="Z63">
            <v>52692.3</v>
          </cell>
          <cell r="AA63">
            <v>31981.97</v>
          </cell>
          <cell r="AB63">
            <v>1035.26</v>
          </cell>
          <cell r="AC63">
            <v>0</v>
          </cell>
          <cell r="AD63">
            <v>37896.449999999997</v>
          </cell>
          <cell r="AE63">
            <v>98385.62</v>
          </cell>
          <cell r="AF63">
            <v>0</v>
          </cell>
          <cell r="AG63">
            <v>0</v>
          </cell>
          <cell r="AH63">
            <v>0</v>
          </cell>
          <cell r="AI63">
            <v>49336.51</v>
          </cell>
          <cell r="AJ63">
            <v>454451.4</v>
          </cell>
          <cell r="AK63">
            <v>5307.71</v>
          </cell>
          <cell r="AL63">
            <v>199138.45</v>
          </cell>
          <cell r="AM63">
            <v>25036.080000000002</v>
          </cell>
          <cell r="AN63">
            <v>32089.87</v>
          </cell>
          <cell r="AO63">
            <v>0</v>
          </cell>
          <cell r="AP63">
            <v>36932.269999999997</v>
          </cell>
          <cell r="AQ63">
            <v>3537.46</v>
          </cell>
          <cell r="AR63">
            <v>4446</v>
          </cell>
          <cell r="AS63">
            <v>8950.52</v>
          </cell>
          <cell r="AT63">
            <v>2733.42</v>
          </cell>
          <cell r="AU63">
            <v>46784.58</v>
          </cell>
          <cell r="AV63">
            <v>8.32</v>
          </cell>
          <cell r="AW63">
            <v>10344.26</v>
          </cell>
          <cell r="AX63">
            <v>3900.23</v>
          </cell>
          <cell r="AY63">
            <v>7827.28</v>
          </cell>
          <cell r="AZ63">
            <v>0</v>
          </cell>
          <cell r="BA63">
            <v>7143.28</v>
          </cell>
          <cell r="BB63">
            <v>82720.38</v>
          </cell>
          <cell r="BC63">
            <v>12290.52</v>
          </cell>
          <cell r="BD63">
            <v>0</v>
          </cell>
          <cell r="BE63">
            <v>6435.76</v>
          </cell>
          <cell r="BF63">
            <v>834.58</v>
          </cell>
          <cell r="BG63">
            <v>13222.58</v>
          </cell>
          <cell r="BH63">
            <v>68481.33</v>
          </cell>
          <cell r="BI63">
            <v>26774.720000000001</v>
          </cell>
          <cell r="BJ63">
            <v>24400.86</v>
          </cell>
          <cell r="BK63">
            <v>35952.17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</row>
        <row r="64">
          <cell r="B64">
            <v>3316</v>
          </cell>
          <cell r="C64" t="str">
            <v>Trent CE School</v>
          </cell>
          <cell r="D64" t="str">
            <v>N</v>
          </cell>
          <cell r="E64" t="str">
            <v>Authorised</v>
          </cell>
          <cell r="F64">
            <v>0</v>
          </cell>
          <cell r="G64">
            <v>0</v>
          </cell>
          <cell r="H64" t="str">
            <v>20152016</v>
          </cell>
          <cell r="I64" t="str">
            <v>XG15</v>
          </cell>
          <cell r="J64" t="str">
            <v>Y</v>
          </cell>
          <cell r="K64" t="str">
            <v>Final</v>
          </cell>
          <cell r="L64" t="str">
            <v>Y</v>
          </cell>
          <cell r="M64" t="str">
            <v>Accruals</v>
          </cell>
          <cell r="N64" t="str">
            <v>N</v>
          </cell>
          <cell r="O64" t="str">
            <v>Y</v>
          </cell>
          <cell r="P64">
            <v>20665</v>
          </cell>
          <cell r="Q64">
            <v>0</v>
          </cell>
          <cell r="R64">
            <v>0</v>
          </cell>
          <cell r="S64">
            <v>849552.75</v>
          </cell>
          <cell r="T64">
            <v>0</v>
          </cell>
          <cell r="U64">
            <v>0</v>
          </cell>
          <cell r="V64">
            <v>0</v>
          </cell>
          <cell r="W64">
            <v>23600</v>
          </cell>
          <cell r="X64">
            <v>3168.8</v>
          </cell>
          <cell r="Y64">
            <v>0</v>
          </cell>
          <cell r="Z64">
            <v>28909.17</v>
          </cell>
          <cell r="AA64">
            <v>30164.37</v>
          </cell>
          <cell r="AB64">
            <v>26769.24</v>
          </cell>
          <cell r="AC64">
            <v>3969</v>
          </cell>
          <cell r="AD64">
            <v>30907.99</v>
          </cell>
          <cell r="AE64">
            <v>18048.490000000002</v>
          </cell>
          <cell r="AF64">
            <v>0</v>
          </cell>
          <cell r="AG64">
            <v>0</v>
          </cell>
          <cell r="AH64">
            <v>0</v>
          </cell>
          <cell r="AI64">
            <v>41015.760000000002</v>
          </cell>
          <cell r="AJ64">
            <v>489882.94</v>
          </cell>
          <cell r="AK64">
            <v>45.52</v>
          </cell>
          <cell r="AL64">
            <v>126677.91</v>
          </cell>
          <cell r="AM64">
            <v>26531.33</v>
          </cell>
          <cell r="AN64">
            <v>42902.01</v>
          </cell>
          <cell r="AO64">
            <v>0</v>
          </cell>
          <cell r="AP64">
            <v>30475.57</v>
          </cell>
          <cell r="AQ64">
            <v>11629.64</v>
          </cell>
          <cell r="AR64">
            <v>9695.2099999999991</v>
          </cell>
          <cell r="AS64">
            <v>8062.13</v>
          </cell>
          <cell r="AT64">
            <v>1726.2</v>
          </cell>
          <cell r="AU64">
            <v>10744.62</v>
          </cell>
          <cell r="AV64">
            <v>20.39</v>
          </cell>
          <cell r="AW64">
            <v>12239.79</v>
          </cell>
          <cell r="AX64">
            <v>942.52</v>
          </cell>
          <cell r="AY64">
            <v>10894.24</v>
          </cell>
          <cell r="AZ64">
            <v>0</v>
          </cell>
          <cell r="BA64">
            <v>5858.82</v>
          </cell>
          <cell r="BB64">
            <v>55694.34</v>
          </cell>
          <cell r="BC64">
            <v>9792.93</v>
          </cell>
          <cell r="BD64">
            <v>0</v>
          </cell>
          <cell r="BE64">
            <v>3515.08</v>
          </cell>
          <cell r="BF64">
            <v>3563.97</v>
          </cell>
          <cell r="BG64">
            <v>5741.29</v>
          </cell>
          <cell r="BH64">
            <v>65208.84</v>
          </cell>
          <cell r="BI64">
            <v>58183.839999999997</v>
          </cell>
          <cell r="BJ64">
            <v>62678.69</v>
          </cell>
          <cell r="BK64">
            <v>7804.75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</row>
        <row r="65">
          <cell r="B65">
            <v>3317</v>
          </cell>
          <cell r="C65" t="str">
            <v>All Saints' CE School (N20)</v>
          </cell>
          <cell r="D65" t="str">
            <v>N</v>
          </cell>
          <cell r="E65" t="str">
            <v>Authorised</v>
          </cell>
          <cell r="F65">
            <v>0</v>
          </cell>
          <cell r="G65">
            <v>0</v>
          </cell>
          <cell r="H65" t="str">
            <v>20152016</v>
          </cell>
          <cell r="I65" t="str">
            <v>XG15</v>
          </cell>
          <cell r="J65" t="str">
            <v>Y</v>
          </cell>
          <cell r="K65" t="str">
            <v>Final</v>
          </cell>
          <cell r="L65" t="str">
            <v>Y</v>
          </cell>
          <cell r="M65" t="str">
            <v>Accruals</v>
          </cell>
          <cell r="N65" t="str">
            <v>N</v>
          </cell>
          <cell r="O65" t="str">
            <v>Y</v>
          </cell>
          <cell r="P65">
            <v>105204</v>
          </cell>
          <cell r="Q65">
            <v>0</v>
          </cell>
          <cell r="R65">
            <v>0</v>
          </cell>
          <cell r="S65">
            <v>1102224</v>
          </cell>
          <cell r="T65">
            <v>0</v>
          </cell>
          <cell r="U65">
            <v>35025</v>
          </cell>
          <cell r="V65">
            <v>0</v>
          </cell>
          <cell r="W65">
            <v>89745.24</v>
          </cell>
          <cell r="X65">
            <v>3103.85</v>
          </cell>
          <cell r="Y65">
            <v>5336.5</v>
          </cell>
          <cell r="Z65">
            <v>26856</v>
          </cell>
          <cell r="AA65">
            <v>26034.61</v>
          </cell>
          <cell r="AB65">
            <v>0</v>
          </cell>
          <cell r="AC65">
            <v>5513.7</v>
          </cell>
          <cell r="AD65">
            <v>22211.75</v>
          </cell>
          <cell r="AE65">
            <v>62165.18</v>
          </cell>
          <cell r="AF65">
            <v>0</v>
          </cell>
          <cell r="AG65">
            <v>0</v>
          </cell>
          <cell r="AH65">
            <v>0</v>
          </cell>
          <cell r="AI65">
            <v>34696.76</v>
          </cell>
          <cell r="AJ65">
            <v>563434.34</v>
          </cell>
          <cell r="AK65">
            <v>0</v>
          </cell>
          <cell r="AL65">
            <v>254024.39</v>
          </cell>
          <cell r="AM65">
            <v>25284.18</v>
          </cell>
          <cell r="AN65">
            <v>51250.7</v>
          </cell>
          <cell r="AO65">
            <v>0</v>
          </cell>
          <cell r="AP65">
            <v>23338.87</v>
          </cell>
          <cell r="AQ65">
            <v>4418.59</v>
          </cell>
          <cell r="AR65">
            <v>4494.79</v>
          </cell>
          <cell r="AS65">
            <v>11075.44</v>
          </cell>
          <cell r="AT65">
            <v>1514.93</v>
          </cell>
          <cell r="AU65">
            <v>78676.639999999999</v>
          </cell>
          <cell r="AV65">
            <v>11846.59</v>
          </cell>
          <cell r="AW65">
            <v>30366.18</v>
          </cell>
          <cell r="AX65">
            <v>3420.95</v>
          </cell>
          <cell r="AY65">
            <v>16246.59</v>
          </cell>
          <cell r="AZ65">
            <v>0</v>
          </cell>
          <cell r="BA65">
            <v>5975.01</v>
          </cell>
          <cell r="BB65">
            <v>62296.92</v>
          </cell>
          <cell r="BC65">
            <v>22536.639999999999</v>
          </cell>
          <cell r="BD65">
            <v>0</v>
          </cell>
          <cell r="BE65">
            <v>5951.1</v>
          </cell>
          <cell r="BF65">
            <v>4147.4399999999996</v>
          </cell>
          <cell r="BG65">
            <v>6278.41</v>
          </cell>
          <cell r="BH65">
            <v>78881.350000000006</v>
          </cell>
          <cell r="BI65">
            <v>49973.8</v>
          </cell>
          <cell r="BJ65">
            <v>43893.15</v>
          </cell>
          <cell r="BK65">
            <v>23408.59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</row>
        <row r="66">
          <cell r="B66">
            <v>3500</v>
          </cell>
          <cell r="C66" t="str">
            <v>Annunciation RC Infant School</v>
          </cell>
          <cell r="D66" t="str">
            <v>N</v>
          </cell>
          <cell r="E66" t="str">
            <v>Authorised</v>
          </cell>
          <cell r="F66">
            <v>0</v>
          </cell>
          <cell r="G66">
            <v>0</v>
          </cell>
          <cell r="H66" t="str">
            <v>20152016</v>
          </cell>
          <cell r="I66" t="str">
            <v>XG15</v>
          </cell>
          <cell r="J66" t="str">
            <v>Y</v>
          </cell>
          <cell r="K66" t="str">
            <v>Final</v>
          </cell>
          <cell r="L66" t="str">
            <v>Y</v>
          </cell>
          <cell r="M66" t="str">
            <v>Accruals</v>
          </cell>
          <cell r="N66" t="str">
            <v>N</v>
          </cell>
          <cell r="O66" t="str">
            <v>N</v>
          </cell>
          <cell r="P66">
            <v>113933</v>
          </cell>
          <cell r="Q66">
            <v>0</v>
          </cell>
          <cell r="R66">
            <v>0</v>
          </cell>
          <cell r="S66">
            <v>890219</v>
          </cell>
          <cell r="T66">
            <v>0</v>
          </cell>
          <cell r="U66">
            <v>12024</v>
          </cell>
          <cell r="V66">
            <v>0</v>
          </cell>
          <cell r="W66">
            <v>22440.02</v>
          </cell>
          <cell r="X66">
            <v>750</v>
          </cell>
          <cell r="Y66">
            <v>900</v>
          </cell>
          <cell r="Z66">
            <v>4065.19</v>
          </cell>
          <cell r="AA66">
            <v>0</v>
          </cell>
          <cell r="AB66">
            <v>8000</v>
          </cell>
          <cell r="AC66">
            <v>11518.4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75787.75</v>
          </cell>
          <cell r="AJ66">
            <v>604626.48</v>
          </cell>
          <cell r="AK66">
            <v>0</v>
          </cell>
          <cell r="AL66">
            <v>156949.81</v>
          </cell>
          <cell r="AM66">
            <v>10573.23</v>
          </cell>
          <cell r="AN66">
            <v>35432.86</v>
          </cell>
          <cell r="AO66">
            <v>0</v>
          </cell>
          <cell r="AP66">
            <v>404.61</v>
          </cell>
          <cell r="AQ66">
            <v>2655.67</v>
          </cell>
          <cell r="AR66">
            <v>3134.21</v>
          </cell>
          <cell r="AS66">
            <v>9059.39</v>
          </cell>
          <cell r="AT66">
            <v>3090.37</v>
          </cell>
          <cell r="AU66">
            <v>17273.3</v>
          </cell>
          <cell r="AV66">
            <v>160.27000000000001</v>
          </cell>
          <cell r="AW66">
            <v>10461.44</v>
          </cell>
          <cell r="AX66">
            <v>1439.98</v>
          </cell>
          <cell r="AY66">
            <v>9024.0499999999993</v>
          </cell>
          <cell r="AZ66">
            <v>0</v>
          </cell>
          <cell r="BA66">
            <v>4480.84</v>
          </cell>
          <cell r="BB66">
            <v>13624.4</v>
          </cell>
          <cell r="BC66">
            <v>15907.75</v>
          </cell>
          <cell r="BD66">
            <v>0</v>
          </cell>
          <cell r="BE66">
            <v>5083.42</v>
          </cell>
          <cell r="BF66">
            <v>3375.92</v>
          </cell>
          <cell r="BG66">
            <v>3798.86</v>
          </cell>
          <cell r="BH66">
            <v>67383.05</v>
          </cell>
          <cell r="BI66">
            <v>0</v>
          </cell>
          <cell r="BJ66">
            <v>11972.65</v>
          </cell>
          <cell r="BK66">
            <v>23710.799999999999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</row>
        <row r="67">
          <cell r="B67">
            <v>3501</v>
          </cell>
          <cell r="C67" t="str">
            <v>Our Lady of Lourdes RC School</v>
          </cell>
          <cell r="D67" t="str">
            <v>N</v>
          </cell>
          <cell r="E67" t="str">
            <v>Authorised</v>
          </cell>
          <cell r="F67">
            <v>0</v>
          </cell>
          <cell r="G67">
            <v>1</v>
          </cell>
          <cell r="H67" t="str">
            <v>20152016</v>
          </cell>
          <cell r="I67" t="str">
            <v>XG15</v>
          </cell>
          <cell r="J67" t="str">
            <v>Y</v>
          </cell>
          <cell r="K67" t="str">
            <v>Final</v>
          </cell>
          <cell r="L67" t="str">
            <v>Y</v>
          </cell>
          <cell r="M67" t="str">
            <v>Accruals</v>
          </cell>
          <cell r="N67" t="str">
            <v>Y</v>
          </cell>
          <cell r="O67" t="str">
            <v>N</v>
          </cell>
          <cell r="P67">
            <v>71813</v>
          </cell>
          <cell r="Q67">
            <v>0</v>
          </cell>
          <cell r="R67">
            <v>1</v>
          </cell>
          <cell r="S67">
            <v>1021188</v>
          </cell>
          <cell r="T67">
            <v>0</v>
          </cell>
          <cell r="U67">
            <v>33559</v>
          </cell>
          <cell r="V67">
            <v>0</v>
          </cell>
          <cell r="W67">
            <v>40595</v>
          </cell>
          <cell r="X67">
            <v>13529.5</v>
          </cell>
          <cell r="Y67">
            <v>6201</v>
          </cell>
          <cell r="Z67">
            <v>31116.9</v>
          </cell>
          <cell r="AA67">
            <v>31656.29</v>
          </cell>
          <cell r="AB67">
            <v>878.13</v>
          </cell>
          <cell r="AC67">
            <v>8938.56</v>
          </cell>
          <cell r="AD67">
            <v>30500.19</v>
          </cell>
          <cell r="AE67">
            <v>33818.61</v>
          </cell>
          <cell r="AF67">
            <v>2004.68</v>
          </cell>
          <cell r="AG67">
            <v>0</v>
          </cell>
          <cell r="AH67">
            <v>0</v>
          </cell>
          <cell r="AI67">
            <v>40268.49</v>
          </cell>
          <cell r="AJ67">
            <v>536517.63</v>
          </cell>
          <cell r="AK67">
            <v>0</v>
          </cell>
          <cell r="AL67">
            <v>186722.96</v>
          </cell>
          <cell r="AM67">
            <v>50683.19</v>
          </cell>
          <cell r="AN67">
            <v>56892.19</v>
          </cell>
          <cell r="AO67">
            <v>0</v>
          </cell>
          <cell r="AP67">
            <v>25530.3</v>
          </cell>
          <cell r="AQ67">
            <v>8218.2000000000007</v>
          </cell>
          <cell r="AR67">
            <v>4907</v>
          </cell>
          <cell r="AS67">
            <v>10591.75</v>
          </cell>
          <cell r="AT67">
            <v>1029</v>
          </cell>
          <cell r="AU67">
            <v>32537.55</v>
          </cell>
          <cell r="AV67">
            <v>623.5</v>
          </cell>
          <cell r="AW67">
            <v>7421.63</v>
          </cell>
          <cell r="AX67">
            <v>1624.6</v>
          </cell>
          <cell r="AY67">
            <v>12213.45</v>
          </cell>
          <cell r="AZ67">
            <v>0</v>
          </cell>
          <cell r="BA67">
            <v>5984.96</v>
          </cell>
          <cell r="BB67">
            <v>63554.16</v>
          </cell>
          <cell r="BC67">
            <v>10255.23</v>
          </cell>
          <cell r="BD67">
            <v>0</v>
          </cell>
          <cell r="BE67">
            <v>21195.09</v>
          </cell>
          <cell r="BF67">
            <v>6241.05</v>
          </cell>
          <cell r="BG67">
            <v>6821.57</v>
          </cell>
          <cell r="BH67">
            <v>67997.350000000006</v>
          </cell>
          <cell r="BI67">
            <v>47899.47</v>
          </cell>
          <cell r="BJ67">
            <v>99350.29</v>
          </cell>
          <cell r="BK67">
            <v>28307.23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</row>
        <row r="68">
          <cell r="B68">
            <v>3502</v>
          </cell>
          <cell r="C68" t="str">
            <v>St. Agnes' RC School</v>
          </cell>
          <cell r="D68" t="str">
            <v>N</v>
          </cell>
          <cell r="E68" t="str">
            <v>Authorised</v>
          </cell>
          <cell r="F68">
            <v>0</v>
          </cell>
          <cell r="G68">
            <v>0</v>
          </cell>
          <cell r="H68" t="str">
            <v>20152016</v>
          </cell>
          <cell r="I68" t="str">
            <v>XG15</v>
          </cell>
          <cell r="J68" t="str">
            <v>Y</v>
          </cell>
          <cell r="K68" t="str">
            <v>Final</v>
          </cell>
          <cell r="L68" t="str">
            <v>Y</v>
          </cell>
          <cell r="M68" t="str">
            <v>Accruals</v>
          </cell>
          <cell r="N68" t="str">
            <v>N</v>
          </cell>
          <cell r="O68" t="str">
            <v>Y</v>
          </cell>
          <cell r="P68">
            <v>181796</v>
          </cell>
          <cell r="Q68">
            <v>0</v>
          </cell>
          <cell r="R68">
            <v>1</v>
          </cell>
          <cell r="S68">
            <v>1448198</v>
          </cell>
          <cell r="T68">
            <v>0</v>
          </cell>
          <cell r="U68">
            <v>28505</v>
          </cell>
          <cell r="V68">
            <v>0</v>
          </cell>
          <cell r="W68">
            <v>82273.990000000005</v>
          </cell>
          <cell r="X68">
            <v>1300</v>
          </cell>
          <cell r="Y68">
            <v>6864.42</v>
          </cell>
          <cell r="Z68">
            <v>58300.76</v>
          </cell>
          <cell r="AA68">
            <v>44069.59</v>
          </cell>
          <cell r="AB68">
            <v>2394</v>
          </cell>
          <cell r="AC68">
            <v>4620</v>
          </cell>
          <cell r="AD68">
            <v>35460.15</v>
          </cell>
          <cell r="AE68">
            <v>5823.79</v>
          </cell>
          <cell r="AF68">
            <v>0</v>
          </cell>
          <cell r="AG68">
            <v>0</v>
          </cell>
          <cell r="AH68">
            <v>0</v>
          </cell>
          <cell r="AI68">
            <v>62593.919999999998</v>
          </cell>
          <cell r="AJ68">
            <v>731130.58</v>
          </cell>
          <cell r="AK68">
            <v>0</v>
          </cell>
          <cell r="AL68">
            <v>326345.03000000003</v>
          </cell>
          <cell r="AM68">
            <v>43446.97</v>
          </cell>
          <cell r="AN68">
            <v>65101.68</v>
          </cell>
          <cell r="AO68">
            <v>0</v>
          </cell>
          <cell r="AP68">
            <v>31755.37</v>
          </cell>
          <cell r="AQ68">
            <v>6038.9</v>
          </cell>
          <cell r="AR68">
            <v>13331.23</v>
          </cell>
          <cell r="AS68">
            <v>15350.54</v>
          </cell>
          <cell r="AT68">
            <v>1457.4</v>
          </cell>
          <cell r="AU68">
            <v>19933.43</v>
          </cell>
          <cell r="AV68">
            <v>4339.0600000000004</v>
          </cell>
          <cell r="AW68">
            <v>2927.1</v>
          </cell>
          <cell r="AX68">
            <v>4259.79</v>
          </cell>
          <cell r="AY68">
            <v>16971.25</v>
          </cell>
          <cell r="AZ68">
            <v>0</v>
          </cell>
          <cell r="BA68">
            <v>8916.1</v>
          </cell>
          <cell r="BB68">
            <v>75521.69</v>
          </cell>
          <cell r="BC68">
            <v>23074.32</v>
          </cell>
          <cell r="BD68">
            <v>0</v>
          </cell>
          <cell r="BE68">
            <v>25884.84</v>
          </cell>
          <cell r="BF68">
            <v>8896.5300000000007</v>
          </cell>
          <cell r="BG68">
            <v>19753.900000000001</v>
          </cell>
          <cell r="BH68">
            <v>90957.1</v>
          </cell>
          <cell r="BI68">
            <v>25796.2</v>
          </cell>
          <cell r="BJ68">
            <v>53346.46</v>
          </cell>
          <cell r="BK68">
            <v>37483.25</v>
          </cell>
          <cell r="BL68">
            <v>0</v>
          </cell>
          <cell r="BM68">
            <v>44400.9</v>
          </cell>
          <cell r="BN68">
            <v>0</v>
          </cell>
          <cell r="BO68">
            <v>0</v>
          </cell>
        </row>
        <row r="69">
          <cell r="B69">
            <v>3504</v>
          </cell>
          <cell r="C69" t="str">
            <v>St. Catherine's RC School</v>
          </cell>
          <cell r="D69" t="str">
            <v>N</v>
          </cell>
          <cell r="E69" t="str">
            <v>Authorised</v>
          </cell>
          <cell r="F69">
            <v>0</v>
          </cell>
          <cell r="G69">
            <v>0</v>
          </cell>
          <cell r="H69" t="str">
            <v>20152016</v>
          </cell>
          <cell r="I69" t="str">
            <v>XG15</v>
          </cell>
          <cell r="J69" t="str">
            <v>Y</v>
          </cell>
          <cell r="K69" t="str">
            <v>Final</v>
          </cell>
          <cell r="L69" t="str">
            <v>Y</v>
          </cell>
          <cell r="M69" t="str">
            <v>Accruals</v>
          </cell>
          <cell r="N69" t="str">
            <v>N</v>
          </cell>
          <cell r="O69" t="str">
            <v>Y</v>
          </cell>
          <cell r="P69">
            <v>146984</v>
          </cell>
          <cell r="Q69">
            <v>0</v>
          </cell>
          <cell r="R69">
            <v>0</v>
          </cell>
          <cell r="S69">
            <v>1804279</v>
          </cell>
          <cell r="T69">
            <v>0</v>
          </cell>
          <cell r="U69">
            <v>115270</v>
          </cell>
          <cell r="V69">
            <v>0</v>
          </cell>
          <cell r="W69">
            <v>85480.01</v>
          </cell>
          <cell r="X69">
            <v>12299.62</v>
          </cell>
          <cell r="Y69">
            <v>36371.360000000001</v>
          </cell>
          <cell r="Z69">
            <v>103247.95</v>
          </cell>
          <cell r="AA69">
            <v>31713.38</v>
          </cell>
          <cell r="AB69">
            <v>7100</v>
          </cell>
          <cell r="AC69">
            <v>3557</v>
          </cell>
          <cell r="AD69">
            <v>45562.57</v>
          </cell>
          <cell r="AE69">
            <v>294.67</v>
          </cell>
          <cell r="AF69">
            <v>0</v>
          </cell>
          <cell r="AG69">
            <v>0</v>
          </cell>
          <cell r="AH69">
            <v>0</v>
          </cell>
          <cell r="AI69">
            <v>96380.71</v>
          </cell>
          <cell r="AJ69">
            <v>1063630.1599999999</v>
          </cell>
          <cell r="AK69">
            <v>1313.05</v>
          </cell>
          <cell r="AL69">
            <v>425933.16</v>
          </cell>
          <cell r="AM69">
            <v>31685.64</v>
          </cell>
          <cell r="AN69">
            <v>113043.01</v>
          </cell>
          <cell r="AO69">
            <v>0</v>
          </cell>
          <cell r="AP69">
            <v>56773.72</v>
          </cell>
          <cell r="AQ69">
            <v>28138.19</v>
          </cell>
          <cell r="AR69">
            <v>19014.28</v>
          </cell>
          <cell r="AS69">
            <v>13661.39</v>
          </cell>
          <cell r="AT69">
            <v>1969.8</v>
          </cell>
          <cell r="AU69">
            <v>54523.1</v>
          </cell>
          <cell r="AV69">
            <v>18779.46</v>
          </cell>
          <cell r="AW69">
            <v>33655.949999999997</v>
          </cell>
          <cell r="AX69">
            <v>6291.42</v>
          </cell>
          <cell r="AY69">
            <v>14024.96</v>
          </cell>
          <cell r="AZ69">
            <v>0</v>
          </cell>
          <cell r="BA69">
            <v>11338.33</v>
          </cell>
          <cell r="BB69">
            <v>126553.87</v>
          </cell>
          <cell r="BC69">
            <v>21588.11</v>
          </cell>
          <cell r="BD69">
            <v>0</v>
          </cell>
          <cell r="BE69">
            <v>8419.44</v>
          </cell>
          <cell r="BF69">
            <v>12029.94</v>
          </cell>
          <cell r="BG69">
            <v>20058.259999999998</v>
          </cell>
          <cell r="BH69">
            <v>129381.97</v>
          </cell>
          <cell r="BI69">
            <v>0</v>
          </cell>
          <cell r="BJ69">
            <v>68163.11</v>
          </cell>
          <cell r="BK69">
            <v>43387.95</v>
          </cell>
          <cell r="BL69">
            <v>0</v>
          </cell>
          <cell r="BM69">
            <v>6900</v>
          </cell>
          <cell r="BN69">
            <v>0</v>
          </cell>
          <cell r="BO69">
            <v>0</v>
          </cell>
        </row>
        <row r="70">
          <cell r="B70">
            <v>3506</v>
          </cell>
          <cell r="C70" t="str">
            <v>St. Vincent's RC School</v>
          </cell>
          <cell r="D70" t="str">
            <v>N</v>
          </cell>
          <cell r="E70" t="str">
            <v>Authorised</v>
          </cell>
          <cell r="F70">
            <v>0</v>
          </cell>
          <cell r="G70">
            <v>0</v>
          </cell>
          <cell r="H70" t="str">
            <v>20152016</v>
          </cell>
          <cell r="I70" t="str">
            <v>XG15</v>
          </cell>
          <cell r="J70" t="str">
            <v>Y</v>
          </cell>
          <cell r="K70" t="str">
            <v>Final</v>
          </cell>
          <cell r="L70" t="str">
            <v>Y</v>
          </cell>
          <cell r="M70" t="str">
            <v>Accruals</v>
          </cell>
          <cell r="N70" t="str">
            <v>N</v>
          </cell>
          <cell r="O70" t="str">
            <v>Y</v>
          </cell>
          <cell r="P70">
            <v>147632</v>
          </cell>
          <cell r="Q70">
            <v>0</v>
          </cell>
          <cell r="R70">
            <v>0</v>
          </cell>
          <cell r="S70">
            <v>1300931</v>
          </cell>
          <cell r="T70">
            <v>0</v>
          </cell>
          <cell r="U70">
            <v>54087</v>
          </cell>
          <cell r="V70">
            <v>0</v>
          </cell>
          <cell r="W70">
            <v>67899.95</v>
          </cell>
          <cell r="X70">
            <v>1000</v>
          </cell>
          <cell r="Y70">
            <v>1438</v>
          </cell>
          <cell r="Z70">
            <v>15066.77</v>
          </cell>
          <cell r="AA70">
            <v>21796.81</v>
          </cell>
          <cell r="AB70">
            <v>1872</v>
          </cell>
          <cell r="AC70">
            <v>0</v>
          </cell>
          <cell r="AD70">
            <v>48416.6</v>
          </cell>
          <cell r="AE70">
            <v>4281.8100000000004</v>
          </cell>
          <cell r="AF70">
            <v>0</v>
          </cell>
          <cell r="AG70">
            <v>0</v>
          </cell>
          <cell r="AH70">
            <v>0</v>
          </cell>
          <cell r="AI70">
            <v>64408.41</v>
          </cell>
          <cell r="AJ70">
            <v>648709.02</v>
          </cell>
          <cell r="AK70">
            <v>21014.6</v>
          </cell>
          <cell r="AL70">
            <v>304747.09999999998</v>
          </cell>
          <cell r="AM70">
            <v>48275.28</v>
          </cell>
          <cell r="AN70">
            <v>63726.89</v>
          </cell>
          <cell r="AO70">
            <v>0</v>
          </cell>
          <cell r="AP70">
            <v>0</v>
          </cell>
          <cell r="AQ70">
            <v>1964.66</v>
          </cell>
          <cell r="AR70">
            <v>15233.07</v>
          </cell>
          <cell r="AS70">
            <v>8344.86</v>
          </cell>
          <cell r="AT70">
            <v>1360.8</v>
          </cell>
          <cell r="AU70">
            <v>48335.51</v>
          </cell>
          <cell r="AV70">
            <v>10715.02</v>
          </cell>
          <cell r="AW70">
            <v>3771.96</v>
          </cell>
          <cell r="AX70">
            <v>2884.11</v>
          </cell>
          <cell r="AY70">
            <v>28879.89</v>
          </cell>
          <cell r="AZ70">
            <v>0</v>
          </cell>
          <cell r="BA70">
            <v>11783.97</v>
          </cell>
          <cell r="BB70">
            <v>74669.09</v>
          </cell>
          <cell r="BC70">
            <v>14137.69</v>
          </cell>
          <cell r="BD70">
            <v>0</v>
          </cell>
          <cell r="BE70">
            <v>12330.26</v>
          </cell>
          <cell r="BF70">
            <v>8497.5300000000007</v>
          </cell>
          <cell r="BG70">
            <v>1240</v>
          </cell>
          <cell r="BH70">
            <v>70265.399999999994</v>
          </cell>
          <cell r="BI70">
            <v>49287</v>
          </cell>
          <cell r="BJ70">
            <v>89275.73</v>
          </cell>
          <cell r="BK70">
            <v>37370.910000000003</v>
          </cell>
          <cell r="BL70">
            <v>0</v>
          </cell>
          <cell r="BM70">
            <v>19293</v>
          </cell>
          <cell r="BN70">
            <v>0</v>
          </cell>
          <cell r="BO70">
            <v>0</v>
          </cell>
        </row>
        <row r="71">
          <cell r="B71">
            <v>3507</v>
          </cell>
          <cell r="C71" t="str">
            <v>St. Theresa's RC School</v>
          </cell>
          <cell r="D71" t="str">
            <v>N</v>
          </cell>
          <cell r="E71" t="str">
            <v>Authorised</v>
          </cell>
          <cell r="F71">
            <v>0</v>
          </cell>
          <cell r="G71">
            <v>0</v>
          </cell>
          <cell r="H71" t="str">
            <v>20152016</v>
          </cell>
          <cell r="I71" t="str">
            <v>XG15</v>
          </cell>
          <cell r="J71" t="str">
            <v>Y</v>
          </cell>
          <cell r="K71" t="str">
            <v>Final</v>
          </cell>
          <cell r="L71" t="str">
            <v>Y</v>
          </cell>
          <cell r="M71" t="str">
            <v>Accruals</v>
          </cell>
          <cell r="N71" t="str">
            <v>N</v>
          </cell>
          <cell r="O71" t="str">
            <v>Y</v>
          </cell>
          <cell r="P71">
            <v>93665</v>
          </cell>
          <cell r="Q71">
            <v>0</v>
          </cell>
          <cell r="R71">
            <v>2</v>
          </cell>
          <cell r="S71">
            <v>986368</v>
          </cell>
          <cell r="T71">
            <v>0</v>
          </cell>
          <cell r="U71">
            <v>0</v>
          </cell>
          <cell r="V71">
            <v>0</v>
          </cell>
          <cell r="W71">
            <v>34036</v>
          </cell>
          <cell r="X71">
            <v>0</v>
          </cell>
          <cell r="Y71">
            <v>577</v>
          </cell>
          <cell r="Z71">
            <v>18829.759999999998</v>
          </cell>
          <cell r="AA71">
            <v>28662.76</v>
          </cell>
          <cell r="AB71">
            <v>0</v>
          </cell>
          <cell r="AC71">
            <v>0</v>
          </cell>
          <cell r="AD71">
            <v>29683.85</v>
          </cell>
          <cell r="AE71">
            <v>2083.23</v>
          </cell>
          <cell r="AF71">
            <v>0</v>
          </cell>
          <cell r="AG71">
            <v>0</v>
          </cell>
          <cell r="AH71">
            <v>0</v>
          </cell>
          <cell r="AI71">
            <v>43462.080000000002</v>
          </cell>
          <cell r="AJ71">
            <v>610534.16</v>
          </cell>
          <cell r="AK71">
            <v>0</v>
          </cell>
          <cell r="AL71">
            <v>128544.45</v>
          </cell>
          <cell r="AM71">
            <v>59282.02</v>
          </cell>
          <cell r="AN71">
            <v>39207.18</v>
          </cell>
          <cell r="AO71">
            <v>0</v>
          </cell>
          <cell r="AP71">
            <v>34065.769999999997</v>
          </cell>
          <cell r="AQ71">
            <v>12301.93</v>
          </cell>
          <cell r="AR71">
            <v>9630.51</v>
          </cell>
          <cell r="AS71">
            <v>8953.43</v>
          </cell>
          <cell r="AT71">
            <v>1003.8</v>
          </cell>
          <cell r="AU71">
            <v>15798.9</v>
          </cell>
          <cell r="AV71">
            <v>4901.8500000000004</v>
          </cell>
          <cell r="AW71">
            <v>103.92</v>
          </cell>
          <cell r="AX71">
            <v>2459.7199999999998</v>
          </cell>
          <cell r="AY71">
            <v>11423.8</v>
          </cell>
          <cell r="AZ71">
            <v>0</v>
          </cell>
          <cell r="BA71">
            <v>5064.95</v>
          </cell>
          <cell r="BB71">
            <v>61743.89</v>
          </cell>
          <cell r="BC71">
            <v>14039.55</v>
          </cell>
          <cell r="BD71">
            <v>0</v>
          </cell>
          <cell r="BE71">
            <v>11328.72</v>
          </cell>
          <cell r="BF71">
            <v>6276.22</v>
          </cell>
          <cell r="BG71">
            <v>8318.82</v>
          </cell>
          <cell r="BH71">
            <v>65280.4</v>
          </cell>
          <cell r="BI71">
            <v>10833.45</v>
          </cell>
          <cell r="BJ71">
            <v>50190.79</v>
          </cell>
          <cell r="BK71">
            <v>30899.05</v>
          </cell>
          <cell r="BL71">
            <v>0</v>
          </cell>
          <cell r="BM71">
            <v>15850.4</v>
          </cell>
          <cell r="BN71">
            <v>0</v>
          </cell>
          <cell r="BO71">
            <v>0</v>
          </cell>
        </row>
        <row r="72">
          <cell r="B72">
            <v>3509</v>
          </cell>
          <cell r="C72" t="str">
            <v>St. Joseph's Primary</v>
          </cell>
          <cell r="D72" t="str">
            <v>N</v>
          </cell>
          <cell r="E72" t="str">
            <v>Authorised</v>
          </cell>
          <cell r="F72">
            <v>0</v>
          </cell>
          <cell r="G72">
            <v>2</v>
          </cell>
          <cell r="H72" t="str">
            <v>20152016</v>
          </cell>
          <cell r="I72" t="str">
            <v>XG15</v>
          </cell>
          <cell r="J72" t="str">
            <v>Y</v>
          </cell>
          <cell r="K72" t="str">
            <v>Final</v>
          </cell>
          <cell r="L72" t="str">
            <v>Y</v>
          </cell>
          <cell r="M72" t="str">
            <v>Accruals</v>
          </cell>
          <cell r="N72" t="str">
            <v>N</v>
          </cell>
          <cell r="O72" t="str">
            <v>Y</v>
          </cell>
          <cell r="P72">
            <v>104677</v>
          </cell>
          <cell r="Q72">
            <v>0</v>
          </cell>
          <cell r="R72">
            <v>0</v>
          </cell>
          <cell r="S72">
            <v>1862955</v>
          </cell>
          <cell r="T72">
            <v>0</v>
          </cell>
          <cell r="U72">
            <v>76917</v>
          </cell>
          <cell r="V72">
            <v>0</v>
          </cell>
          <cell r="W72">
            <v>91072</v>
          </cell>
          <cell r="X72">
            <v>1700</v>
          </cell>
          <cell r="Y72">
            <v>5051</v>
          </cell>
          <cell r="Z72">
            <v>58914.84</v>
          </cell>
          <cell r="AA72">
            <v>68039.710000000006</v>
          </cell>
          <cell r="AB72">
            <v>10022.120000000001</v>
          </cell>
          <cell r="AC72">
            <v>1805.55</v>
          </cell>
          <cell r="AD72">
            <v>63973.15</v>
          </cell>
          <cell r="AE72">
            <v>834.5</v>
          </cell>
          <cell r="AF72">
            <v>0</v>
          </cell>
          <cell r="AG72">
            <v>0</v>
          </cell>
          <cell r="AH72">
            <v>0</v>
          </cell>
          <cell r="AI72">
            <v>79189.320000000007</v>
          </cell>
          <cell r="AJ72">
            <v>1031875.39</v>
          </cell>
          <cell r="AK72">
            <v>0</v>
          </cell>
          <cell r="AL72">
            <v>493413.24</v>
          </cell>
          <cell r="AM72">
            <v>89867.5</v>
          </cell>
          <cell r="AN72">
            <v>109703.48</v>
          </cell>
          <cell r="AO72">
            <v>0</v>
          </cell>
          <cell r="AP72">
            <v>55093.4</v>
          </cell>
          <cell r="AQ72">
            <v>10264.450000000001</v>
          </cell>
          <cell r="AR72">
            <v>9646.89</v>
          </cell>
          <cell r="AS72">
            <v>22143.29</v>
          </cell>
          <cell r="AT72">
            <v>3757.34</v>
          </cell>
          <cell r="AU72">
            <v>34374.019999999997</v>
          </cell>
          <cell r="AV72">
            <v>167.7</v>
          </cell>
          <cell r="AW72">
            <v>2412.3000000000002</v>
          </cell>
          <cell r="AX72">
            <v>2610.0700000000002</v>
          </cell>
          <cell r="AY72">
            <v>32017.1</v>
          </cell>
          <cell r="AZ72">
            <v>0</v>
          </cell>
          <cell r="BA72">
            <v>12954.16</v>
          </cell>
          <cell r="BB72">
            <v>113292.36</v>
          </cell>
          <cell r="BC72">
            <v>46735.15</v>
          </cell>
          <cell r="BD72">
            <v>0</v>
          </cell>
          <cell r="BE72">
            <v>9241.5400000000009</v>
          </cell>
          <cell r="BF72">
            <v>15816.77</v>
          </cell>
          <cell r="BG72">
            <v>29275.78</v>
          </cell>
          <cell r="BH72">
            <v>142433.42000000001</v>
          </cell>
          <cell r="BI72">
            <v>70980.55</v>
          </cell>
          <cell r="BJ72">
            <v>26532.95</v>
          </cell>
          <cell r="BK72">
            <v>30864</v>
          </cell>
          <cell r="BL72">
            <v>0</v>
          </cell>
          <cell r="BM72">
            <v>12818.34</v>
          </cell>
          <cell r="BN72">
            <v>0</v>
          </cell>
          <cell r="BO72">
            <v>0</v>
          </cell>
        </row>
        <row r="73">
          <cell r="B73">
            <v>3510</v>
          </cell>
          <cell r="C73" t="str">
            <v>Sacred Heart RC School</v>
          </cell>
          <cell r="D73" t="str">
            <v>N</v>
          </cell>
          <cell r="E73" t="str">
            <v>Authorised</v>
          </cell>
          <cell r="F73">
            <v>0</v>
          </cell>
          <cell r="G73">
            <v>0</v>
          </cell>
          <cell r="H73" t="str">
            <v>20152016</v>
          </cell>
          <cell r="I73" t="str">
            <v>XG15</v>
          </cell>
          <cell r="J73" t="str">
            <v>Y</v>
          </cell>
          <cell r="K73" t="str">
            <v>Final</v>
          </cell>
          <cell r="L73" t="str">
            <v>Y</v>
          </cell>
          <cell r="M73" t="str">
            <v>Accruals</v>
          </cell>
          <cell r="N73" t="str">
            <v>N</v>
          </cell>
          <cell r="O73" t="str">
            <v>Y</v>
          </cell>
          <cell r="P73">
            <v>119920</v>
          </cell>
          <cell r="Q73">
            <v>0</v>
          </cell>
          <cell r="R73">
            <v>0</v>
          </cell>
          <cell r="S73">
            <v>1594827</v>
          </cell>
          <cell r="T73">
            <v>0</v>
          </cell>
          <cell r="U73">
            <v>46323</v>
          </cell>
          <cell r="V73">
            <v>0</v>
          </cell>
          <cell r="W73">
            <v>59069</v>
          </cell>
          <cell r="X73">
            <v>1400.72</v>
          </cell>
          <cell r="Y73">
            <v>4945</v>
          </cell>
          <cell r="Z73">
            <v>44435.55</v>
          </cell>
          <cell r="AA73">
            <v>63335.55</v>
          </cell>
          <cell r="AB73">
            <v>17507</v>
          </cell>
          <cell r="AC73">
            <v>0</v>
          </cell>
          <cell r="AD73">
            <v>60335.43</v>
          </cell>
          <cell r="AE73">
            <v>837.75</v>
          </cell>
          <cell r="AF73">
            <v>0</v>
          </cell>
          <cell r="AG73">
            <v>0</v>
          </cell>
          <cell r="AH73">
            <v>0</v>
          </cell>
          <cell r="AI73">
            <v>78898.03</v>
          </cell>
          <cell r="AJ73">
            <v>942480.94</v>
          </cell>
          <cell r="AK73">
            <v>19416.990000000002</v>
          </cell>
          <cell r="AL73">
            <v>303188.90999999997</v>
          </cell>
          <cell r="AM73">
            <v>31935.02</v>
          </cell>
          <cell r="AN73">
            <v>81887.48</v>
          </cell>
          <cell r="AO73">
            <v>0</v>
          </cell>
          <cell r="AP73">
            <v>1393.89</v>
          </cell>
          <cell r="AQ73">
            <v>16358.37</v>
          </cell>
          <cell r="AR73">
            <v>6542.86</v>
          </cell>
          <cell r="AS73">
            <v>24467.64</v>
          </cell>
          <cell r="AT73">
            <v>0</v>
          </cell>
          <cell r="AU73">
            <v>21355.51</v>
          </cell>
          <cell r="AV73">
            <v>2819.96</v>
          </cell>
          <cell r="AW73">
            <v>31042.07</v>
          </cell>
          <cell r="AX73">
            <v>672.22</v>
          </cell>
          <cell r="AY73">
            <v>21428.35</v>
          </cell>
          <cell r="AZ73">
            <v>0</v>
          </cell>
          <cell r="BA73">
            <v>7899.3</v>
          </cell>
          <cell r="BB73">
            <v>98535</v>
          </cell>
          <cell r="BC73">
            <v>16876.75</v>
          </cell>
          <cell r="BD73">
            <v>0</v>
          </cell>
          <cell r="BE73">
            <v>16562.419999999998</v>
          </cell>
          <cell r="BF73">
            <v>12822.86</v>
          </cell>
          <cell r="BG73">
            <v>4570.53</v>
          </cell>
          <cell r="BH73">
            <v>125944.08</v>
          </cell>
          <cell r="BI73">
            <v>11720</v>
          </cell>
          <cell r="BJ73">
            <v>90341.55</v>
          </cell>
          <cell r="BK73">
            <v>36383.33</v>
          </cell>
          <cell r="BL73">
            <v>0</v>
          </cell>
          <cell r="BM73">
            <v>21636</v>
          </cell>
          <cell r="BN73">
            <v>0</v>
          </cell>
          <cell r="BO73">
            <v>0</v>
          </cell>
        </row>
        <row r="74">
          <cell r="B74">
            <v>3511</v>
          </cell>
          <cell r="C74" t="str">
            <v>Blessed Dominic RC School</v>
          </cell>
          <cell r="D74" t="str">
            <v>N</v>
          </cell>
          <cell r="E74" t="str">
            <v>Authorised</v>
          </cell>
          <cell r="F74">
            <v>0</v>
          </cell>
          <cell r="G74">
            <v>1</v>
          </cell>
          <cell r="H74" t="str">
            <v>20152016</v>
          </cell>
          <cell r="I74" t="str">
            <v>XG15</v>
          </cell>
          <cell r="J74" t="str">
            <v>Y</v>
          </cell>
          <cell r="K74" t="str">
            <v>Final</v>
          </cell>
          <cell r="L74" t="str">
            <v>Y</v>
          </cell>
          <cell r="M74" t="str">
            <v>Accruals</v>
          </cell>
          <cell r="N74" t="str">
            <v>Y</v>
          </cell>
          <cell r="O74" t="str">
            <v>N</v>
          </cell>
          <cell r="P74">
            <v>141909</v>
          </cell>
          <cell r="Q74">
            <v>0</v>
          </cell>
          <cell r="R74">
            <v>0</v>
          </cell>
          <cell r="S74">
            <v>1617404.01</v>
          </cell>
          <cell r="T74">
            <v>0</v>
          </cell>
          <cell r="U74">
            <v>125671</v>
          </cell>
          <cell r="V74">
            <v>0</v>
          </cell>
          <cell r="W74">
            <v>136220</v>
          </cell>
          <cell r="X74">
            <v>3900</v>
          </cell>
          <cell r="Y74">
            <v>800</v>
          </cell>
          <cell r="Z74">
            <v>43022.69</v>
          </cell>
          <cell r="AA74">
            <v>32165</v>
          </cell>
          <cell r="AB74">
            <v>1620</v>
          </cell>
          <cell r="AC74">
            <v>200</v>
          </cell>
          <cell r="AD74">
            <v>30301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53807.59</v>
          </cell>
          <cell r="AJ74">
            <v>791514.81</v>
          </cell>
          <cell r="AK74">
            <v>31859.98</v>
          </cell>
          <cell r="AL74">
            <v>345003.57</v>
          </cell>
          <cell r="AM74">
            <v>40270.089999999997</v>
          </cell>
          <cell r="AN74">
            <v>93774.3</v>
          </cell>
          <cell r="AO74">
            <v>0</v>
          </cell>
          <cell r="AP74">
            <v>41355.57</v>
          </cell>
          <cell r="AQ74">
            <v>9682.75</v>
          </cell>
          <cell r="AR74">
            <v>30256.7</v>
          </cell>
          <cell r="AS74">
            <v>10870.95</v>
          </cell>
          <cell r="AT74">
            <v>1411.2</v>
          </cell>
          <cell r="AU74">
            <v>15234.28</v>
          </cell>
          <cell r="AV74">
            <v>2959.62</v>
          </cell>
          <cell r="AW74">
            <v>24163.45</v>
          </cell>
          <cell r="AX74">
            <v>-1145.1400000000001</v>
          </cell>
          <cell r="AY74">
            <v>11753.1</v>
          </cell>
          <cell r="AZ74">
            <v>0</v>
          </cell>
          <cell r="BA74">
            <v>20847.150000000001</v>
          </cell>
          <cell r="BB74">
            <v>99790.74</v>
          </cell>
          <cell r="BC74">
            <v>38737.53</v>
          </cell>
          <cell r="BD74">
            <v>0</v>
          </cell>
          <cell r="BE74">
            <v>23679.14</v>
          </cell>
          <cell r="BF74">
            <v>8502.7800000000007</v>
          </cell>
          <cell r="BG74">
            <v>60256.05</v>
          </cell>
          <cell r="BH74">
            <v>104281.11</v>
          </cell>
          <cell r="BI74">
            <v>55996</v>
          </cell>
          <cell r="BJ74">
            <v>184821.98</v>
          </cell>
          <cell r="BK74">
            <v>24576.58</v>
          </cell>
          <cell r="BL74">
            <v>0</v>
          </cell>
          <cell r="BM74">
            <v>9585</v>
          </cell>
          <cell r="BN74">
            <v>0</v>
          </cell>
          <cell r="BO74">
            <v>0</v>
          </cell>
        </row>
        <row r="75">
          <cell r="B75">
            <v>3512</v>
          </cell>
          <cell r="C75" t="str">
            <v>Rosh Pinah School</v>
          </cell>
          <cell r="D75" t="str">
            <v>N</v>
          </cell>
          <cell r="E75" t="str">
            <v>Authorised</v>
          </cell>
          <cell r="F75">
            <v>0</v>
          </cell>
          <cell r="G75">
            <v>1</v>
          </cell>
          <cell r="H75" t="str">
            <v>20152016</v>
          </cell>
          <cell r="I75" t="str">
            <v>XG15</v>
          </cell>
          <cell r="J75" t="str">
            <v>Y</v>
          </cell>
          <cell r="K75" t="str">
            <v>Final</v>
          </cell>
          <cell r="L75" t="str">
            <v>Y</v>
          </cell>
          <cell r="M75" t="str">
            <v>Accruals</v>
          </cell>
          <cell r="N75" t="str">
            <v>N</v>
          </cell>
          <cell r="O75" t="str">
            <v>Y</v>
          </cell>
          <cell r="P75">
            <v>-7251</v>
          </cell>
          <cell r="Q75">
            <v>0</v>
          </cell>
          <cell r="R75">
            <v>0</v>
          </cell>
          <cell r="S75">
            <v>1681930</v>
          </cell>
          <cell r="T75">
            <v>0</v>
          </cell>
          <cell r="U75">
            <v>107483.67</v>
          </cell>
          <cell r="V75">
            <v>0</v>
          </cell>
          <cell r="W75">
            <v>26837</v>
          </cell>
          <cell r="X75">
            <v>0</v>
          </cell>
          <cell r="Y75">
            <v>356.8</v>
          </cell>
          <cell r="Z75">
            <v>17335.900000000001</v>
          </cell>
          <cell r="AA75">
            <v>150140.9</v>
          </cell>
          <cell r="AB75">
            <v>28396.38</v>
          </cell>
          <cell r="AC75">
            <v>1365</v>
          </cell>
          <cell r="AD75">
            <v>44700.94</v>
          </cell>
          <cell r="AE75">
            <v>163963.94</v>
          </cell>
          <cell r="AF75">
            <v>0</v>
          </cell>
          <cell r="AG75">
            <v>0</v>
          </cell>
          <cell r="AH75">
            <v>0</v>
          </cell>
          <cell r="AI75">
            <v>86279.57</v>
          </cell>
          <cell r="AJ75">
            <v>924724.57</v>
          </cell>
          <cell r="AK75">
            <v>34921.67</v>
          </cell>
          <cell r="AL75">
            <v>401021.32</v>
          </cell>
          <cell r="AM75">
            <v>56240.13</v>
          </cell>
          <cell r="AN75">
            <v>99250.559999999998</v>
          </cell>
          <cell r="AO75">
            <v>0</v>
          </cell>
          <cell r="AP75">
            <v>41214.239999999998</v>
          </cell>
          <cell r="AQ75">
            <v>4427.1899999999996</v>
          </cell>
          <cell r="AR75">
            <v>8289.0499999999993</v>
          </cell>
          <cell r="AS75">
            <v>22539.05</v>
          </cell>
          <cell r="AT75">
            <v>1071</v>
          </cell>
          <cell r="AU75">
            <v>23606.78</v>
          </cell>
          <cell r="AV75">
            <v>212.5</v>
          </cell>
          <cell r="AW75">
            <v>31017.599999999999</v>
          </cell>
          <cell r="AX75">
            <v>3453.44</v>
          </cell>
          <cell r="AY75">
            <v>24340.81</v>
          </cell>
          <cell r="AZ75">
            <v>0</v>
          </cell>
          <cell r="BA75">
            <v>13655.16</v>
          </cell>
          <cell r="BB75">
            <v>112591.19</v>
          </cell>
          <cell r="BC75">
            <v>7606.21</v>
          </cell>
          <cell r="BD75">
            <v>0</v>
          </cell>
          <cell r="BE75">
            <v>19125.25</v>
          </cell>
          <cell r="BF75">
            <v>11219.84</v>
          </cell>
          <cell r="BG75">
            <v>13055.7</v>
          </cell>
          <cell r="BH75">
            <v>185265.48</v>
          </cell>
          <cell r="BI75">
            <v>51102.47</v>
          </cell>
          <cell r="BJ75">
            <v>39167.199999999997</v>
          </cell>
          <cell r="BK75">
            <v>181017.69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</row>
        <row r="76">
          <cell r="B76">
            <v>3513</v>
          </cell>
          <cell r="C76" t="str">
            <v>Menorah Primary School</v>
          </cell>
          <cell r="D76" t="str">
            <v>N</v>
          </cell>
          <cell r="E76" t="str">
            <v>Authorised</v>
          </cell>
          <cell r="F76">
            <v>0</v>
          </cell>
          <cell r="G76">
            <v>1</v>
          </cell>
          <cell r="H76" t="str">
            <v>20152016</v>
          </cell>
          <cell r="I76" t="str">
            <v>XG15</v>
          </cell>
          <cell r="J76" t="str">
            <v>Y</v>
          </cell>
          <cell r="K76" t="str">
            <v>Final</v>
          </cell>
          <cell r="L76" t="str">
            <v>Y</v>
          </cell>
          <cell r="M76" t="str">
            <v>Accruals</v>
          </cell>
          <cell r="N76" t="str">
            <v>N</v>
          </cell>
          <cell r="O76" t="str">
            <v>Y</v>
          </cell>
          <cell r="P76">
            <v>30932</v>
          </cell>
          <cell r="Q76">
            <v>0</v>
          </cell>
          <cell r="R76">
            <v>0</v>
          </cell>
          <cell r="S76">
            <v>1596129</v>
          </cell>
          <cell r="T76">
            <v>0</v>
          </cell>
          <cell r="U76">
            <v>129355</v>
          </cell>
          <cell r="V76">
            <v>0</v>
          </cell>
          <cell r="W76">
            <v>23760</v>
          </cell>
          <cell r="X76">
            <v>0</v>
          </cell>
          <cell r="Y76">
            <v>3350.01</v>
          </cell>
          <cell r="Z76">
            <v>0</v>
          </cell>
          <cell r="AA76">
            <v>39074.239999999998</v>
          </cell>
          <cell r="AB76">
            <v>22468.73</v>
          </cell>
          <cell r="AC76">
            <v>0</v>
          </cell>
          <cell r="AD76">
            <v>36805.86</v>
          </cell>
          <cell r="AE76">
            <v>59118.52</v>
          </cell>
          <cell r="AF76">
            <v>0</v>
          </cell>
          <cell r="AG76">
            <v>0</v>
          </cell>
          <cell r="AH76">
            <v>0</v>
          </cell>
          <cell r="AI76">
            <v>60459.040000000001</v>
          </cell>
          <cell r="AJ76">
            <v>1162814.2</v>
          </cell>
          <cell r="AK76">
            <v>0</v>
          </cell>
          <cell r="AL76">
            <v>206483.75</v>
          </cell>
          <cell r="AM76">
            <v>34935.03</v>
          </cell>
          <cell r="AN76">
            <v>84368.25</v>
          </cell>
          <cell r="AO76">
            <v>3467.05</v>
          </cell>
          <cell r="AP76">
            <v>11392.4</v>
          </cell>
          <cell r="AQ76">
            <v>8427.2000000000007</v>
          </cell>
          <cell r="AR76">
            <v>1306.8800000000001</v>
          </cell>
          <cell r="AS76">
            <v>13536.32</v>
          </cell>
          <cell r="AT76">
            <v>0</v>
          </cell>
          <cell r="AU76">
            <v>43050.65</v>
          </cell>
          <cell r="AV76">
            <v>100</v>
          </cell>
          <cell r="AW76">
            <v>87468.35</v>
          </cell>
          <cell r="AX76">
            <v>2690.83</v>
          </cell>
          <cell r="AY76">
            <v>28840.63</v>
          </cell>
          <cell r="AZ76">
            <v>0</v>
          </cell>
          <cell r="BA76">
            <v>8503.57</v>
          </cell>
          <cell r="BB76">
            <v>76472.2</v>
          </cell>
          <cell r="BC76">
            <v>10244.379999999999</v>
          </cell>
          <cell r="BD76">
            <v>0</v>
          </cell>
          <cell r="BE76">
            <v>11745.94</v>
          </cell>
          <cell r="BF76">
            <v>0</v>
          </cell>
          <cell r="BG76">
            <v>0</v>
          </cell>
          <cell r="BH76">
            <v>88542.88</v>
          </cell>
          <cell r="BI76">
            <v>0</v>
          </cell>
          <cell r="BJ76">
            <v>127739.89</v>
          </cell>
          <cell r="BK76">
            <v>14710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</row>
        <row r="77">
          <cell r="B77">
            <v>3514</v>
          </cell>
          <cell r="C77" t="str">
            <v>Annunciation RC Junior School</v>
          </cell>
          <cell r="D77" t="str">
            <v>N</v>
          </cell>
          <cell r="E77" t="str">
            <v>Authorised</v>
          </cell>
          <cell r="F77">
            <v>0</v>
          </cell>
          <cell r="G77">
            <v>0</v>
          </cell>
          <cell r="H77" t="str">
            <v>20152016</v>
          </cell>
          <cell r="I77" t="str">
            <v>XG15</v>
          </cell>
          <cell r="J77" t="str">
            <v>Y</v>
          </cell>
          <cell r="K77" t="str">
            <v>Final</v>
          </cell>
          <cell r="L77" t="str">
            <v>Y</v>
          </cell>
          <cell r="M77" t="str">
            <v>Accruals</v>
          </cell>
          <cell r="N77" t="str">
            <v>N</v>
          </cell>
          <cell r="O77" t="str">
            <v>N</v>
          </cell>
          <cell r="P77">
            <v>76029</v>
          </cell>
          <cell r="Q77">
            <v>0</v>
          </cell>
          <cell r="R77">
            <v>0</v>
          </cell>
          <cell r="S77">
            <v>965820</v>
          </cell>
          <cell r="T77">
            <v>0</v>
          </cell>
          <cell r="U77">
            <v>43056</v>
          </cell>
          <cell r="V77">
            <v>0</v>
          </cell>
          <cell r="W77">
            <v>72476.009999999995</v>
          </cell>
          <cell r="X77">
            <v>11391.91</v>
          </cell>
          <cell r="Y77">
            <v>722.15</v>
          </cell>
          <cell r="Z77">
            <v>6628.12</v>
          </cell>
          <cell r="AA77">
            <v>43186.64</v>
          </cell>
          <cell r="AB77">
            <v>8037</v>
          </cell>
          <cell r="AC77">
            <v>0</v>
          </cell>
          <cell r="AD77">
            <v>15859.42</v>
          </cell>
          <cell r="AE77">
            <v>790.15</v>
          </cell>
          <cell r="AF77">
            <v>0</v>
          </cell>
          <cell r="AG77">
            <v>0</v>
          </cell>
          <cell r="AH77">
            <v>0</v>
          </cell>
          <cell r="AI77">
            <v>9124.75</v>
          </cell>
          <cell r="AJ77">
            <v>533498.93999999994</v>
          </cell>
          <cell r="AK77">
            <v>40703.25</v>
          </cell>
          <cell r="AL77">
            <v>133074.14000000001</v>
          </cell>
          <cell r="AM77">
            <v>40853.31</v>
          </cell>
          <cell r="AN77">
            <v>23689.32</v>
          </cell>
          <cell r="AO77">
            <v>0</v>
          </cell>
          <cell r="AP77">
            <v>2705.04</v>
          </cell>
          <cell r="AQ77">
            <v>9500.07</v>
          </cell>
          <cell r="AR77">
            <v>19376.990000000002</v>
          </cell>
          <cell r="AS77">
            <v>9275.5499999999993</v>
          </cell>
          <cell r="AT77">
            <v>0</v>
          </cell>
          <cell r="AU77">
            <v>10716.47</v>
          </cell>
          <cell r="AV77">
            <v>2653.83</v>
          </cell>
          <cell r="AW77">
            <v>1334.75</v>
          </cell>
          <cell r="AX77">
            <v>2494.9899999999998</v>
          </cell>
          <cell r="AY77">
            <v>9891.15</v>
          </cell>
          <cell r="AZ77">
            <v>0</v>
          </cell>
          <cell r="BA77">
            <v>5732.07</v>
          </cell>
          <cell r="BB77">
            <v>40870.36</v>
          </cell>
          <cell r="BC77">
            <v>30399.64</v>
          </cell>
          <cell r="BD77">
            <v>0</v>
          </cell>
          <cell r="BE77">
            <v>5232.49</v>
          </cell>
          <cell r="BF77">
            <v>6805.27</v>
          </cell>
          <cell r="BG77">
            <v>15518.03</v>
          </cell>
          <cell r="BH77">
            <v>48291.7</v>
          </cell>
          <cell r="BI77">
            <v>124057.1</v>
          </cell>
          <cell r="BJ77">
            <v>60605.5</v>
          </cell>
          <cell r="BK77">
            <v>35861.19</v>
          </cell>
          <cell r="BL77">
            <v>0</v>
          </cell>
          <cell r="BM77">
            <v>10000</v>
          </cell>
          <cell r="BN77">
            <v>0</v>
          </cell>
          <cell r="BO77">
            <v>0</v>
          </cell>
        </row>
        <row r="78">
          <cell r="B78">
            <v>3516</v>
          </cell>
          <cell r="C78" t="str">
            <v>Hasmonean Primary School</v>
          </cell>
          <cell r="D78" t="str">
            <v>N</v>
          </cell>
          <cell r="E78" t="str">
            <v>Authorised</v>
          </cell>
          <cell r="F78">
            <v>0</v>
          </cell>
          <cell r="G78">
            <v>1</v>
          </cell>
          <cell r="H78" t="str">
            <v>20152016</v>
          </cell>
          <cell r="I78" t="str">
            <v>XG15</v>
          </cell>
          <cell r="J78" t="str">
            <v>Y</v>
          </cell>
          <cell r="K78" t="str">
            <v>Final</v>
          </cell>
          <cell r="L78" t="str">
            <v>Y</v>
          </cell>
          <cell r="M78" t="str">
            <v>Accruals</v>
          </cell>
          <cell r="N78" t="str">
            <v>N</v>
          </cell>
          <cell r="O78" t="str">
            <v>Y</v>
          </cell>
          <cell r="P78">
            <v>3924</v>
          </cell>
          <cell r="Q78">
            <v>0</v>
          </cell>
          <cell r="R78">
            <v>0</v>
          </cell>
          <cell r="S78">
            <v>922708</v>
          </cell>
          <cell r="T78">
            <v>0</v>
          </cell>
          <cell r="U78">
            <v>61336</v>
          </cell>
          <cell r="V78">
            <v>0</v>
          </cell>
          <cell r="W78">
            <v>23120</v>
          </cell>
          <cell r="X78">
            <v>11175</v>
          </cell>
          <cell r="Y78">
            <v>1884.4</v>
          </cell>
          <cell r="Z78">
            <v>2971.68</v>
          </cell>
          <cell r="AA78">
            <v>33947.65</v>
          </cell>
          <cell r="AB78">
            <v>0</v>
          </cell>
          <cell r="AC78">
            <v>0</v>
          </cell>
          <cell r="AD78">
            <v>13006.95</v>
          </cell>
          <cell r="AE78">
            <v>62642.42</v>
          </cell>
          <cell r="AF78">
            <v>0</v>
          </cell>
          <cell r="AG78">
            <v>0</v>
          </cell>
          <cell r="AH78">
            <v>0</v>
          </cell>
          <cell r="AI78">
            <v>19628.580000000002</v>
          </cell>
          <cell r="AJ78">
            <v>574430.92000000004</v>
          </cell>
          <cell r="AK78">
            <v>11254.47</v>
          </cell>
          <cell r="AL78">
            <v>232160.96</v>
          </cell>
          <cell r="AM78">
            <v>24199.56</v>
          </cell>
          <cell r="AN78">
            <v>72378.679999999993</v>
          </cell>
          <cell r="AO78">
            <v>0</v>
          </cell>
          <cell r="AP78">
            <v>17090.310000000001</v>
          </cell>
          <cell r="AQ78">
            <v>3290</v>
          </cell>
          <cell r="AR78">
            <v>798.37</v>
          </cell>
          <cell r="AS78">
            <v>348</v>
          </cell>
          <cell r="AT78">
            <v>5411.22</v>
          </cell>
          <cell r="AU78">
            <v>3240.68</v>
          </cell>
          <cell r="AV78">
            <v>1875</v>
          </cell>
          <cell r="AW78">
            <v>29314.82</v>
          </cell>
          <cell r="AX78">
            <v>5221.0200000000004</v>
          </cell>
          <cell r="AY78">
            <v>14709.8</v>
          </cell>
          <cell r="AZ78">
            <v>0</v>
          </cell>
          <cell r="BA78">
            <v>8464.1</v>
          </cell>
          <cell r="BB78">
            <v>50424.87</v>
          </cell>
          <cell r="BC78">
            <v>7737.83</v>
          </cell>
          <cell r="BD78">
            <v>0</v>
          </cell>
          <cell r="BE78">
            <v>2050.9499999999998</v>
          </cell>
          <cell r="BF78">
            <v>9149.7800000000007</v>
          </cell>
          <cell r="BG78">
            <v>1067.68</v>
          </cell>
          <cell r="BH78">
            <v>89104.05</v>
          </cell>
          <cell r="BI78">
            <v>0</v>
          </cell>
          <cell r="BJ78">
            <v>21315</v>
          </cell>
          <cell r="BK78">
            <v>34315.61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</row>
        <row r="79">
          <cell r="B79">
            <v>3518</v>
          </cell>
          <cell r="C79" t="str">
            <v>Woodcroft Primary School</v>
          </cell>
          <cell r="D79" t="str">
            <v>N</v>
          </cell>
          <cell r="E79" t="str">
            <v>Authorised</v>
          </cell>
          <cell r="F79">
            <v>0</v>
          </cell>
          <cell r="G79">
            <v>0</v>
          </cell>
          <cell r="H79" t="str">
            <v>20152016</v>
          </cell>
          <cell r="I79" t="str">
            <v>XG15</v>
          </cell>
          <cell r="J79" t="str">
            <v>Y</v>
          </cell>
          <cell r="K79" t="str">
            <v>Final</v>
          </cell>
          <cell r="L79" t="str">
            <v>Y</v>
          </cell>
          <cell r="M79" t="str">
            <v>Accruals</v>
          </cell>
          <cell r="N79" t="str">
            <v>Y</v>
          </cell>
          <cell r="O79" t="str">
            <v>Y</v>
          </cell>
          <cell r="P79">
            <v>187819</v>
          </cell>
          <cell r="Q79">
            <v>0</v>
          </cell>
          <cell r="R79">
            <v>34542</v>
          </cell>
          <cell r="S79">
            <v>2284964</v>
          </cell>
          <cell r="T79">
            <v>0</v>
          </cell>
          <cell r="U79">
            <v>115919</v>
          </cell>
          <cell r="V79">
            <v>0</v>
          </cell>
          <cell r="W79">
            <v>293912.75</v>
          </cell>
          <cell r="X79">
            <v>8517.7999999999993</v>
          </cell>
          <cell r="Y79">
            <v>825</v>
          </cell>
          <cell r="Z79">
            <v>29449.8</v>
          </cell>
          <cell r="AA79">
            <v>25419.13</v>
          </cell>
          <cell r="AB79">
            <v>9576</v>
          </cell>
          <cell r="AC79">
            <v>21693.73</v>
          </cell>
          <cell r="AD79">
            <v>16685.88</v>
          </cell>
          <cell r="AE79">
            <v>2755.8</v>
          </cell>
          <cell r="AF79">
            <v>0</v>
          </cell>
          <cell r="AG79">
            <v>0</v>
          </cell>
          <cell r="AH79">
            <v>0</v>
          </cell>
          <cell r="AI79">
            <v>39323.79</v>
          </cell>
          <cell r="AJ79">
            <v>1052409.28</v>
          </cell>
          <cell r="AK79">
            <v>8178.71</v>
          </cell>
          <cell r="AL79">
            <v>735192.43</v>
          </cell>
          <cell r="AM79">
            <v>29467.68</v>
          </cell>
          <cell r="AN79">
            <v>57904.24</v>
          </cell>
          <cell r="AO79">
            <v>0</v>
          </cell>
          <cell r="AP79">
            <v>96518.3</v>
          </cell>
          <cell r="AQ79">
            <v>13155.1</v>
          </cell>
          <cell r="AR79">
            <v>13772.17</v>
          </cell>
          <cell r="AS79">
            <v>24214.65</v>
          </cell>
          <cell r="AT79">
            <v>1940.4</v>
          </cell>
          <cell r="AU79">
            <v>57438.45</v>
          </cell>
          <cell r="AV79">
            <v>1977.86</v>
          </cell>
          <cell r="AW79">
            <v>68732.800000000003</v>
          </cell>
          <cell r="AX79">
            <v>4089.19</v>
          </cell>
          <cell r="AY79">
            <v>33663.46</v>
          </cell>
          <cell r="AZ79">
            <v>16165.04</v>
          </cell>
          <cell r="BA79">
            <v>9896.52</v>
          </cell>
          <cell r="BB79">
            <v>87643.520000000004</v>
          </cell>
          <cell r="BC79">
            <v>20038.740000000002</v>
          </cell>
          <cell r="BD79">
            <v>0</v>
          </cell>
          <cell r="BE79">
            <v>19844.669999999998</v>
          </cell>
          <cell r="BF79">
            <v>11047.99</v>
          </cell>
          <cell r="BG79">
            <v>34302.629999999997</v>
          </cell>
          <cell r="BH79">
            <v>125745.3</v>
          </cell>
          <cell r="BI79">
            <v>173887.05</v>
          </cell>
          <cell r="BJ79">
            <v>157118.1</v>
          </cell>
          <cell r="BK79">
            <v>52538.400000000001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</row>
        <row r="80">
          <cell r="B80">
            <v>3520</v>
          </cell>
          <cell r="C80" t="str">
            <v>Akiva</v>
          </cell>
          <cell r="D80" t="str">
            <v>N</v>
          </cell>
          <cell r="E80" t="str">
            <v>Authorised</v>
          </cell>
          <cell r="F80">
            <v>0</v>
          </cell>
          <cell r="G80">
            <v>2</v>
          </cell>
          <cell r="H80" t="str">
            <v>20152016</v>
          </cell>
          <cell r="I80" t="str">
            <v>XG15</v>
          </cell>
          <cell r="J80" t="str">
            <v>Y</v>
          </cell>
          <cell r="K80" t="str">
            <v>Final</v>
          </cell>
          <cell r="L80" t="str">
            <v>Y</v>
          </cell>
          <cell r="M80" t="str">
            <v>Accruals</v>
          </cell>
          <cell r="N80" t="str">
            <v>N</v>
          </cell>
          <cell r="O80" t="str">
            <v>Y</v>
          </cell>
          <cell r="P80">
            <v>39457</v>
          </cell>
          <cell r="Q80">
            <v>0</v>
          </cell>
          <cell r="R80">
            <v>0</v>
          </cell>
          <cell r="S80">
            <v>1506197</v>
          </cell>
          <cell r="T80">
            <v>0</v>
          </cell>
          <cell r="U80">
            <v>53572</v>
          </cell>
          <cell r="V80">
            <v>0</v>
          </cell>
          <cell r="W80">
            <v>3928.99</v>
          </cell>
          <cell r="X80">
            <v>4960</v>
          </cell>
          <cell r="Y80">
            <v>15050</v>
          </cell>
          <cell r="Z80">
            <v>14685.84</v>
          </cell>
          <cell r="AA80">
            <v>86102.52</v>
          </cell>
          <cell r="AB80">
            <v>14261.4</v>
          </cell>
          <cell r="AC80">
            <v>0</v>
          </cell>
          <cell r="AD80">
            <v>22001.51</v>
          </cell>
          <cell r="AE80">
            <v>506807.41</v>
          </cell>
          <cell r="AF80">
            <v>0</v>
          </cell>
          <cell r="AG80">
            <v>0</v>
          </cell>
          <cell r="AH80">
            <v>0</v>
          </cell>
          <cell r="AI80">
            <v>88471.58</v>
          </cell>
          <cell r="AJ80">
            <v>1015080.7</v>
          </cell>
          <cell r="AK80">
            <v>14193.68</v>
          </cell>
          <cell r="AL80">
            <v>369291.51</v>
          </cell>
          <cell r="AM80">
            <v>36294.699999999997</v>
          </cell>
          <cell r="AN80">
            <v>125110.29</v>
          </cell>
          <cell r="AO80">
            <v>0</v>
          </cell>
          <cell r="AP80">
            <v>17396.099999999999</v>
          </cell>
          <cell r="AQ80">
            <v>33505.15</v>
          </cell>
          <cell r="AR80">
            <v>11295.59</v>
          </cell>
          <cell r="AS80">
            <v>18290.57</v>
          </cell>
          <cell r="AT80">
            <v>0</v>
          </cell>
          <cell r="AU80">
            <v>36328.5</v>
          </cell>
          <cell r="AV80">
            <v>12354.76</v>
          </cell>
          <cell r="AW80">
            <v>32035.32</v>
          </cell>
          <cell r="AX80">
            <v>5456.39</v>
          </cell>
          <cell r="AY80">
            <v>29079.35</v>
          </cell>
          <cell r="AZ80">
            <v>0</v>
          </cell>
          <cell r="BA80">
            <v>152587.64000000001</v>
          </cell>
          <cell r="BB80">
            <v>93532.28</v>
          </cell>
          <cell r="BC80">
            <v>21486.55</v>
          </cell>
          <cell r="BD80">
            <v>0</v>
          </cell>
          <cell r="BE80">
            <v>13135.62</v>
          </cell>
          <cell r="BF80">
            <v>27772.720000000001</v>
          </cell>
          <cell r="BG80">
            <v>2298.12</v>
          </cell>
          <cell r="BH80">
            <v>162116.76</v>
          </cell>
          <cell r="BI80">
            <v>32000</v>
          </cell>
          <cell r="BJ80">
            <v>57080.07</v>
          </cell>
          <cell r="BK80">
            <v>41850.879999999997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</row>
        <row r="81">
          <cell r="B81">
            <v>3521</v>
          </cell>
          <cell r="C81" t="str">
            <v>St Marys &amp; St Johns Primary (NW4)</v>
          </cell>
          <cell r="D81" t="str">
            <v>N</v>
          </cell>
          <cell r="E81" t="str">
            <v>Authorised</v>
          </cell>
          <cell r="F81">
            <v>0</v>
          </cell>
          <cell r="G81">
            <v>0</v>
          </cell>
          <cell r="H81" t="str">
            <v>20152016</v>
          </cell>
          <cell r="I81" t="str">
            <v>XG15</v>
          </cell>
          <cell r="J81" t="str">
            <v>Y</v>
          </cell>
          <cell r="K81" t="str">
            <v>Final</v>
          </cell>
          <cell r="L81" t="str">
            <v>Y</v>
          </cell>
          <cell r="M81" t="str">
            <v>Accruals</v>
          </cell>
          <cell r="N81" t="str">
            <v>Y</v>
          </cell>
          <cell r="O81" t="str">
            <v>N</v>
          </cell>
          <cell r="P81">
            <v>149572</v>
          </cell>
          <cell r="Q81">
            <v>0</v>
          </cell>
          <cell r="R81">
            <v>0</v>
          </cell>
          <cell r="S81">
            <v>3370179</v>
          </cell>
          <cell r="T81">
            <v>0</v>
          </cell>
          <cell r="U81">
            <v>114693.34</v>
          </cell>
          <cell r="V81">
            <v>0</v>
          </cell>
          <cell r="W81">
            <v>196596</v>
          </cell>
          <cell r="X81">
            <v>3500</v>
          </cell>
          <cell r="Y81">
            <v>12295.97</v>
          </cell>
          <cell r="Z81">
            <v>16593.5</v>
          </cell>
          <cell r="AA81">
            <v>4357.46</v>
          </cell>
          <cell r="AB81">
            <v>340</v>
          </cell>
          <cell r="AC81">
            <v>3000</v>
          </cell>
          <cell r="AD81">
            <v>68928.37</v>
          </cell>
          <cell r="AE81">
            <v>2285.75</v>
          </cell>
          <cell r="AF81">
            <v>0</v>
          </cell>
          <cell r="AG81">
            <v>0</v>
          </cell>
          <cell r="AH81">
            <v>0</v>
          </cell>
          <cell r="AI81">
            <v>115406.16</v>
          </cell>
          <cell r="AJ81">
            <v>1760945.81</v>
          </cell>
          <cell r="AK81">
            <v>0</v>
          </cell>
          <cell r="AL81">
            <v>629266.15</v>
          </cell>
          <cell r="AM81">
            <v>74537.55</v>
          </cell>
          <cell r="AN81">
            <v>184351.96</v>
          </cell>
          <cell r="AO81">
            <v>0</v>
          </cell>
          <cell r="AP81">
            <v>92759.87</v>
          </cell>
          <cell r="AQ81">
            <v>21053.33</v>
          </cell>
          <cell r="AR81">
            <v>34787.57</v>
          </cell>
          <cell r="AS81">
            <v>26942.44</v>
          </cell>
          <cell r="AT81">
            <v>4895.9399999999996</v>
          </cell>
          <cell r="AU81">
            <v>33623.870000000003</v>
          </cell>
          <cell r="AV81">
            <v>13337.14</v>
          </cell>
          <cell r="AW81">
            <v>72127.710000000006</v>
          </cell>
          <cell r="AX81">
            <v>9709.0499999999993</v>
          </cell>
          <cell r="AY81">
            <v>52327.94</v>
          </cell>
          <cell r="AZ81">
            <v>0</v>
          </cell>
          <cell r="BA81">
            <v>27627.75</v>
          </cell>
          <cell r="BB81">
            <v>169868.44</v>
          </cell>
          <cell r="BC81">
            <v>51967.49</v>
          </cell>
          <cell r="BD81">
            <v>0</v>
          </cell>
          <cell r="BE81">
            <v>43631.72</v>
          </cell>
          <cell r="BF81">
            <v>17294.46</v>
          </cell>
          <cell r="BG81">
            <v>13047.13</v>
          </cell>
          <cell r="BH81">
            <v>110290.16</v>
          </cell>
          <cell r="BI81">
            <v>120334.82</v>
          </cell>
          <cell r="BJ81">
            <v>200979.77</v>
          </cell>
          <cell r="BK81">
            <v>37259.480000000003</v>
          </cell>
          <cell r="BL81">
            <v>0</v>
          </cell>
          <cell r="BM81">
            <v>77361</v>
          </cell>
          <cell r="BN81">
            <v>0</v>
          </cell>
          <cell r="BO81">
            <v>0</v>
          </cell>
        </row>
        <row r="82">
          <cell r="B82">
            <v>3522</v>
          </cell>
          <cell r="C82" t="str">
            <v>Claremont Primary</v>
          </cell>
          <cell r="D82" t="str">
            <v>N</v>
          </cell>
          <cell r="E82" t="str">
            <v>Authorised</v>
          </cell>
          <cell r="F82">
            <v>0</v>
          </cell>
          <cell r="G82">
            <v>1</v>
          </cell>
          <cell r="H82" t="str">
            <v>20152016</v>
          </cell>
          <cell r="I82" t="str">
            <v>XG15</v>
          </cell>
          <cell r="J82" t="str">
            <v>Y</v>
          </cell>
          <cell r="K82" t="str">
            <v>Final</v>
          </cell>
          <cell r="L82" t="str">
            <v>N</v>
          </cell>
          <cell r="M82" t="str">
            <v>Accruals</v>
          </cell>
          <cell r="N82" t="str">
            <v>N</v>
          </cell>
          <cell r="O82" t="str">
            <v>Y</v>
          </cell>
          <cell r="P82">
            <v>229933</v>
          </cell>
          <cell r="Q82">
            <v>0</v>
          </cell>
          <cell r="R82">
            <v>1</v>
          </cell>
          <cell r="S82">
            <v>1920747</v>
          </cell>
          <cell r="T82">
            <v>0</v>
          </cell>
          <cell r="U82">
            <v>22822</v>
          </cell>
          <cell r="V82">
            <v>0</v>
          </cell>
          <cell r="W82">
            <v>325805</v>
          </cell>
          <cell r="X82">
            <v>4000</v>
          </cell>
          <cell r="Y82">
            <v>1612</v>
          </cell>
          <cell r="Z82">
            <v>6493</v>
          </cell>
          <cell r="AA82">
            <v>13601</v>
          </cell>
          <cell r="AB82">
            <v>18642</v>
          </cell>
          <cell r="AC82">
            <v>1826</v>
          </cell>
          <cell r="AD82">
            <v>2841</v>
          </cell>
          <cell r="AE82">
            <v>3200</v>
          </cell>
          <cell r="AF82">
            <v>0</v>
          </cell>
          <cell r="AG82">
            <v>0</v>
          </cell>
          <cell r="AH82">
            <v>0</v>
          </cell>
          <cell r="AI82">
            <v>26222</v>
          </cell>
          <cell r="AJ82">
            <v>938216</v>
          </cell>
          <cell r="AK82">
            <v>22300</v>
          </cell>
          <cell r="AL82">
            <v>433867</v>
          </cell>
          <cell r="AM82">
            <v>31529</v>
          </cell>
          <cell r="AN82">
            <v>67641</v>
          </cell>
          <cell r="AO82">
            <v>0</v>
          </cell>
          <cell r="AP82">
            <v>2749</v>
          </cell>
          <cell r="AQ82">
            <v>47625</v>
          </cell>
          <cell r="AR82">
            <v>13243</v>
          </cell>
          <cell r="AS82">
            <v>4921</v>
          </cell>
          <cell r="AT82">
            <v>15825</v>
          </cell>
          <cell r="AU82">
            <v>31962</v>
          </cell>
          <cell r="AV82">
            <v>6874</v>
          </cell>
          <cell r="AW82">
            <v>44342</v>
          </cell>
          <cell r="AX82">
            <v>4263</v>
          </cell>
          <cell r="AY82">
            <v>25443</v>
          </cell>
          <cell r="AZ82">
            <v>12084</v>
          </cell>
          <cell r="BA82">
            <v>12092</v>
          </cell>
          <cell r="BB82">
            <v>64424</v>
          </cell>
          <cell r="BC82">
            <v>32042</v>
          </cell>
          <cell r="BD82">
            <v>0</v>
          </cell>
          <cell r="BE82">
            <v>12647</v>
          </cell>
          <cell r="BF82">
            <v>9768</v>
          </cell>
          <cell r="BG82">
            <v>16768</v>
          </cell>
          <cell r="BH82">
            <v>94348</v>
          </cell>
          <cell r="BI82">
            <v>104195</v>
          </cell>
          <cell r="BJ82">
            <v>297645</v>
          </cell>
          <cell r="BK82">
            <v>57740</v>
          </cell>
          <cell r="BL82">
            <v>0</v>
          </cell>
          <cell r="BM82">
            <v>67560</v>
          </cell>
          <cell r="BN82">
            <v>0</v>
          </cell>
          <cell r="BO82">
            <v>0</v>
          </cell>
        </row>
        <row r="83">
          <cell r="B83">
            <v>3523</v>
          </cell>
          <cell r="C83" t="str">
            <v>Martin Primary</v>
          </cell>
          <cell r="D83" t="str">
            <v>N</v>
          </cell>
          <cell r="E83" t="str">
            <v>Authorised</v>
          </cell>
          <cell r="F83">
            <v>0</v>
          </cell>
          <cell r="G83">
            <v>0</v>
          </cell>
          <cell r="H83" t="str">
            <v>20152016</v>
          </cell>
          <cell r="I83" t="str">
            <v>XG15</v>
          </cell>
          <cell r="J83" t="str">
            <v>Y</v>
          </cell>
          <cell r="K83" t="str">
            <v>Final</v>
          </cell>
          <cell r="L83" t="str">
            <v>Y</v>
          </cell>
          <cell r="M83" t="str">
            <v>Accruals</v>
          </cell>
          <cell r="N83" t="str">
            <v>N</v>
          </cell>
          <cell r="O83" t="str">
            <v>Y</v>
          </cell>
          <cell r="P83">
            <v>185005</v>
          </cell>
          <cell r="Q83">
            <v>0</v>
          </cell>
          <cell r="R83">
            <v>0</v>
          </cell>
          <cell r="S83">
            <v>2570397</v>
          </cell>
          <cell r="T83">
            <v>0</v>
          </cell>
          <cell r="U83">
            <v>141740.96</v>
          </cell>
          <cell r="V83">
            <v>0</v>
          </cell>
          <cell r="W83">
            <v>178045</v>
          </cell>
          <cell r="X83">
            <v>3868</v>
          </cell>
          <cell r="Y83">
            <v>8789.75</v>
          </cell>
          <cell r="Z83">
            <v>90759.3</v>
          </cell>
          <cell r="AA83">
            <v>41301.85</v>
          </cell>
          <cell r="AB83">
            <v>15172.55</v>
          </cell>
          <cell r="AC83">
            <v>2997.3</v>
          </cell>
          <cell r="AD83">
            <v>66959.92</v>
          </cell>
          <cell r="AE83">
            <v>14553.83</v>
          </cell>
          <cell r="AF83">
            <v>0</v>
          </cell>
          <cell r="AG83">
            <v>0</v>
          </cell>
          <cell r="AH83">
            <v>0</v>
          </cell>
          <cell r="AI83">
            <v>109400.41</v>
          </cell>
          <cell r="AJ83">
            <v>1286540.74</v>
          </cell>
          <cell r="AK83">
            <v>0</v>
          </cell>
          <cell r="AL83">
            <v>806048.86</v>
          </cell>
          <cell r="AM83">
            <v>129615.92</v>
          </cell>
          <cell r="AN83">
            <v>190622.07</v>
          </cell>
          <cell r="AO83">
            <v>0</v>
          </cell>
          <cell r="AP83">
            <v>92130.53</v>
          </cell>
          <cell r="AQ83">
            <v>40162.31</v>
          </cell>
          <cell r="AR83">
            <v>30731.66</v>
          </cell>
          <cell r="AS83">
            <v>30951.3</v>
          </cell>
          <cell r="AT83">
            <v>2356.1999999999998</v>
          </cell>
          <cell r="AU83">
            <v>42686.05</v>
          </cell>
          <cell r="AV83">
            <v>1224.3800000000001</v>
          </cell>
          <cell r="AW83">
            <v>7264.94</v>
          </cell>
          <cell r="AX83">
            <v>7547.34</v>
          </cell>
          <cell r="AY83">
            <v>31862.57</v>
          </cell>
          <cell r="AZ83">
            <v>13606.49</v>
          </cell>
          <cell r="BA83">
            <v>8857.14</v>
          </cell>
          <cell r="BB83">
            <v>125117.55</v>
          </cell>
          <cell r="BC83">
            <v>22623.17</v>
          </cell>
          <cell r="BD83">
            <v>0</v>
          </cell>
          <cell r="BE83">
            <v>11917.97</v>
          </cell>
          <cell r="BF83">
            <v>12033.23</v>
          </cell>
          <cell r="BG83">
            <v>1744.55</v>
          </cell>
          <cell r="BH83">
            <v>170244.48000000001</v>
          </cell>
          <cell r="BI83">
            <v>27387.8</v>
          </cell>
          <cell r="BJ83">
            <v>124297.64</v>
          </cell>
          <cell r="BK83">
            <v>45827.98</v>
          </cell>
          <cell r="BL83">
            <v>0</v>
          </cell>
          <cell r="BM83">
            <v>25676</v>
          </cell>
          <cell r="BN83">
            <v>0</v>
          </cell>
          <cell r="BO83">
            <v>0</v>
          </cell>
        </row>
        <row r="84">
          <cell r="B84">
            <v>3524</v>
          </cell>
          <cell r="C84" t="str">
            <v>Beit Shvidler</v>
          </cell>
          <cell r="D84" t="str">
            <v>N</v>
          </cell>
          <cell r="E84" t="str">
            <v>Authorised</v>
          </cell>
          <cell r="F84">
            <v>0</v>
          </cell>
          <cell r="G84">
            <v>0</v>
          </cell>
          <cell r="H84" t="str">
            <v>20152016</v>
          </cell>
          <cell r="I84" t="str">
            <v>XG15</v>
          </cell>
          <cell r="J84" t="str">
            <v>Y</v>
          </cell>
          <cell r="K84" t="str">
            <v>Final</v>
          </cell>
          <cell r="L84" t="str">
            <v>Y</v>
          </cell>
          <cell r="M84" t="str">
            <v>Accruals</v>
          </cell>
          <cell r="N84" t="str">
            <v>N</v>
          </cell>
          <cell r="O84" t="str">
            <v>Y</v>
          </cell>
          <cell r="P84">
            <v>26670</v>
          </cell>
          <cell r="Q84">
            <v>0</v>
          </cell>
          <cell r="R84">
            <v>0</v>
          </cell>
          <cell r="S84">
            <v>941679</v>
          </cell>
          <cell r="T84">
            <v>0</v>
          </cell>
          <cell r="U84">
            <v>86297</v>
          </cell>
          <cell r="V84">
            <v>0</v>
          </cell>
          <cell r="W84">
            <v>22854</v>
          </cell>
          <cell r="X84">
            <v>0</v>
          </cell>
          <cell r="Y84">
            <v>585</v>
          </cell>
          <cell r="Z84">
            <v>0</v>
          </cell>
          <cell r="AA84">
            <v>25998.02</v>
          </cell>
          <cell r="AB84">
            <v>0</v>
          </cell>
          <cell r="AC84">
            <v>0</v>
          </cell>
          <cell r="AD84">
            <v>26500.5</v>
          </cell>
          <cell r="AE84">
            <v>165134</v>
          </cell>
          <cell r="AF84">
            <v>12000</v>
          </cell>
          <cell r="AG84">
            <v>0</v>
          </cell>
          <cell r="AH84">
            <v>0</v>
          </cell>
          <cell r="AI84">
            <v>48564.62</v>
          </cell>
          <cell r="AJ84">
            <v>488312.6</v>
          </cell>
          <cell r="AK84">
            <v>0</v>
          </cell>
          <cell r="AL84">
            <v>236098.03</v>
          </cell>
          <cell r="AM84">
            <v>0</v>
          </cell>
          <cell r="AN84">
            <v>69827.89</v>
          </cell>
          <cell r="AO84">
            <v>0</v>
          </cell>
          <cell r="AP84">
            <v>0</v>
          </cell>
          <cell r="AQ84">
            <v>24510.36</v>
          </cell>
          <cell r="AR84">
            <v>9924.2999999999993</v>
          </cell>
          <cell r="AS84">
            <v>346</v>
          </cell>
          <cell r="AT84">
            <v>4946.3100000000004</v>
          </cell>
          <cell r="AU84">
            <v>38138.120000000003</v>
          </cell>
          <cell r="AV84">
            <v>1587</v>
          </cell>
          <cell r="AW84">
            <v>56325.67</v>
          </cell>
          <cell r="AX84">
            <v>3303.59</v>
          </cell>
          <cell r="AY84">
            <v>19474.04</v>
          </cell>
          <cell r="AZ84">
            <v>0</v>
          </cell>
          <cell r="BA84">
            <v>9208.75</v>
          </cell>
          <cell r="BB84">
            <v>79149.33</v>
          </cell>
          <cell r="BC84">
            <v>18458.38</v>
          </cell>
          <cell r="BD84">
            <v>0</v>
          </cell>
          <cell r="BE84">
            <v>13280.26</v>
          </cell>
          <cell r="BF84">
            <v>10355.31</v>
          </cell>
          <cell r="BG84">
            <v>0</v>
          </cell>
          <cell r="BH84">
            <v>63358.49</v>
          </cell>
          <cell r="BI84">
            <v>47542.53</v>
          </cell>
          <cell r="BJ84">
            <v>26751.56</v>
          </cell>
          <cell r="BK84">
            <v>34791.620000000003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</row>
        <row r="85">
          <cell r="B85">
            <v>4003</v>
          </cell>
          <cell r="C85" t="str">
            <v>Friern Barnet School</v>
          </cell>
          <cell r="D85" t="str">
            <v>N</v>
          </cell>
          <cell r="E85" t="str">
            <v>Authorised</v>
          </cell>
          <cell r="F85">
            <v>0</v>
          </cell>
          <cell r="G85">
            <v>0</v>
          </cell>
          <cell r="H85" t="str">
            <v>20152016</v>
          </cell>
          <cell r="I85" t="str">
            <v>XG15</v>
          </cell>
          <cell r="J85" t="str">
            <v>Y</v>
          </cell>
          <cell r="K85" t="str">
            <v>Final</v>
          </cell>
          <cell r="L85" t="str">
            <v>Y</v>
          </cell>
          <cell r="M85" t="str">
            <v>Accruals</v>
          </cell>
          <cell r="N85" t="str">
            <v>N</v>
          </cell>
          <cell r="O85" t="str">
            <v>Y</v>
          </cell>
          <cell r="P85">
            <v>347542</v>
          </cell>
          <cell r="Q85">
            <v>0</v>
          </cell>
          <cell r="R85">
            <v>2459</v>
          </cell>
          <cell r="S85">
            <v>4786701</v>
          </cell>
          <cell r="T85">
            <v>0</v>
          </cell>
          <cell r="U85">
            <v>165138.75</v>
          </cell>
          <cell r="V85">
            <v>0</v>
          </cell>
          <cell r="W85">
            <v>394830</v>
          </cell>
          <cell r="X85">
            <v>27931.15</v>
          </cell>
          <cell r="Y85">
            <v>0</v>
          </cell>
          <cell r="Z85">
            <v>20674.3</v>
          </cell>
          <cell r="AA85">
            <v>0</v>
          </cell>
          <cell r="AB85">
            <v>0</v>
          </cell>
          <cell r="AC85">
            <v>0</v>
          </cell>
          <cell r="AD85">
            <v>11253.7</v>
          </cell>
          <cell r="AE85">
            <v>12.5</v>
          </cell>
          <cell r="AF85">
            <v>0</v>
          </cell>
          <cell r="AG85">
            <v>0</v>
          </cell>
          <cell r="AH85">
            <v>0</v>
          </cell>
          <cell r="AI85">
            <v>63559.360000000001</v>
          </cell>
          <cell r="AJ85">
            <v>2841733.53</v>
          </cell>
          <cell r="AK85">
            <v>0</v>
          </cell>
          <cell r="AL85">
            <v>790012.77</v>
          </cell>
          <cell r="AM85">
            <v>91216.23</v>
          </cell>
          <cell r="AN85">
            <v>415645.92</v>
          </cell>
          <cell r="AO85">
            <v>0</v>
          </cell>
          <cell r="AP85">
            <v>55804.72</v>
          </cell>
          <cell r="AQ85">
            <v>58921.27</v>
          </cell>
          <cell r="AR85">
            <v>27606.34</v>
          </cell>
          <cell r="AS85">
            <v>813</v>
          </cell>
          <cell r="AT85">
            <v>3347.4</v>
          </cell>
          <cell r="AU85">
            <v>80755.44</v>
          </cell>
          <cell r="AV85">
            <v>7051.81</v>
          </cell>
          <cell r="AW85">
            <v>55951.93</v>
          </cell>
          <cell r="AX85">
            <v>5974.55</v>
          </cell>
          <cell r="AY85">
            <v>68886.87</v>
          </cell>
          <cell r="AZ85">
            <v>54891</v>
          </cell>
          <cell r="BA85">
            <v>37885</v>
          </cell>
          <cell r="BB85">
            <v>130813.7</v>
          </cell>
          <cell r="BC85">
            <v>86863.4</v>
          </cell>
          <cell r="BD85">
            <v>87729.14</v>
          </cell>
          <cell r="BE85">
            <v>36209.99</v>
          </cell>
          <cell r="BF85">
            <v>24088.09</v>
          </cell>
          <cell r="BG85">
            <v>0</v>
          </cell>
          <cell r="BH85">
            <v>66118.7</v>
          </cell>
          <cell r="BI85">
            <v>134372.29</v>
          </cell>
          <cell r="BJ85">
            <v>60902.57</v>
          </cell>
          <cell r="BK85">
            <v>21503.1</v>
          </cell>
          <cell r="BL85">
            <v>0</v>
          </cell>
          <cell r="BM85">
            <v>272034</v>
          </cell>
          <cell r="BN85">
            <v>0</v>
          </cell>
          <cell r="BO85">
            <v>0</v>
          </cell>
        </row>
        <row r="86">
          <cell r="B86">
            <v>5200</v>
          </cell>
          <cell r="C86" t="str">
            <v>Dollis Junior School</v>
          </cell>
          <cell r="D86" t="str">
            <v>N</v>
          </cell>
          <cell r="E86" t="str">
            <v>Authorised</v>
          </cell>
          <cell r="F86">
            <v>0</v>
          </cell>
          <cell r="G86">
            <v>0</v>
          </cell>
          <cell r="H86" t="str">
            <v>20152016</v>
          </cell>
          <cell r="I86" t="str">
            <v>XG15</v>
          </cell>
          <cell r="J86" t="str">
            <v>Y</v>
          </cell>
          <cell r="K86" t="str">
            <v>Final</v>
          </cell>
          <cell r="L86" t="str">
            <v>Y</v>
          </cell>
          <cell r="M86" t="str">
            <v>Accruals</v>
          </cell>
          <cell r="N86" t="str">
            <v>Y</v>
          </cell>
          <cell r="O86" t="str">
            <v>Y</v>
          </cell>
          <cell r="P86">
            <v>60708</v>
          </cell>
          <cell r="Q86">
            <v>0</v>
          </cell>
          <cell r="R86">
            <v>-2</v>
          </cell>
          <cell r="S86">
            <v>1596120</v>
          </cell>
          <cell r="T86">
            <v>0</v>
          </cell>
          <cell r="U86">
            <v>116774</v>
          </cell>
          <cell r="V86">
            <v>0</v>
          </cell>
          <cell r="W86">
            <v>251986.53</v>
          </cell>
          <cell r="X86">
            <v>0</v>
          </cell>
          <cell r="Y86">
            <v>3037.49</v>
          </cell>
          <cell r="Z86">
            <v>26225.7</v>
          </cell>
          <cell r="AA86">
            <v>57881.3</v>
          </cell>
          <cell r="AB86">
            <v>0</v>
          </cell>
          <cell r="AC86">
            <v>1184</v>
          </cell>
          <cell r="AD86">
            <v>28159.64</v>
          </cell>
          <cell r="AE86">
            <v>58908.32</v>
          </cell>
          <cell r="AF86">
            <v>0</v>
          </cell>
          <cell r="AG86">
            <v>0</v>
          </cell>
          <cell r="AH86">
            <v>0</v>
          </cell>
          <cell r="AI86">
            <v>9716</v>
          </cell>
          <cell r="AJ86">
            <v>881872.4</v>
          </cell>
          <cell r="AK86">
            <v>0</v>
          </cell>
          <cell r="AL86">
            <v>397915.11</v>
          </cell>
          <cell r="AM86">
            <v>65337.02</v>
          </cell>
          <cell r="AN86">
            <v>112392.98</v>
          </cell>
          <cell r="AO86">
            <v>0</v>
          </cell>
          <cell r="AP86">
            <v>23344.17</v>
          </cell>
          <cell r="AQ86">
            <v>11899.03</v>
          </cell>
          <cell r="AR86">
            <v>4618.22</v>
          </cell>
          <cell r="AS86">
            <v>559</v>
          </cell>
          <cell r="AT86">
            <v>997.2</v>
          </cell>
          <cell r="AU86">
            <v>20818.009999999998</v>
          </cell>
          <cell r="AV86">
            <v>3107</v>
          </cell>
          <cell r="AW86">
            <v>1837.1</v>
          </cell>
          <cell r="AX86">
            <v>6085.65</v>
          </cell>
          <cell r="AY86">
            <v>29339.9</v>
          </cell>
          <cell r="AZ86">
            <v>0</v>
          </cell>
          <cell r="BA86">
            <v>9353.83</v>
          </cell>
          <cell r="BB86">
            <v>96407.39</v>
          </cell>
          <cell r="BC86">
            <v>15487.71</v>
          </cell>
          <cell r="BD86">
            <v>0</v>
          </cell>
          <cell r="BE86">
            <v>9842.65</v>
          </cell>
          <cell r="BF86">
            <v>3765.07</v>
          </cell>
          <cell r="BG86">
            <v>0</v>
          </cell>
          <cell r="BH86">
            <v>48551.05</v>
          </cell>
          <cell r="BI86">
            <v>114929.27</v>
          </cell>
          <cell r="BJ86">
            <v>285115.59000000003</v>
          </cell>
          <cell r="BK86">
            <v>23965.63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</row>
        <row r="87">
          <cell r="B87">
            <v>5201</v>
          </cell>
          <cell r="C87" t="str">
            <v>Osidge School</v>
          </cell>
          <cell r="D87" t="str">
            <v>N</v>
          </cell>
          <cell r="E87" t="str">
            <v>Authorised</v>
          </cell>
          <cell r="F87">
            <v>0</v>
          </cell>
          <cell r="G87">
            <v>0</v>
          </cell>
          <cell r="H87" t="str">
            <v>20152016</v>
          </cell>
          <cell r="I87" t="str">
            <v>XG15</v>
          </cell>
          <cell r="J87" t="str">
            <v>Y</v>
          </cell>
          <cell r="K87" t="str">
            <v>Final</v>
          </cell>
          <cell r="L87" t="str">
            <v>Y</v>
          </cell>
          <cell r="M87" t="str">
            <v>Accruals</v>
          </cell>
          <cell r="N87" t="str">
            <v>Y</v>
          </cell>
          <cell r="O87" t="str">
            <v>Y</v>
          </cell>
          <cell r="P87">
            <v>253451</v>
          </cell>
          <cell r="Q87">
            <v>0</v>
          </cell>
          <cell r="R87">
            <v>10000</v>
          </cell>
          <cell r="S87">
            <v>1717539</v>
          </cell>
          <cell r="T87">
            <v>0</v>
          </cell>
          <cell r="U87">
            <v>72052.070000000007</v>
          </cell>
          <cell r="V87">
            <v>0</v>
          </cell>
          <cell r="W87">
            <v>105273.01</v>
          </cell>
          <cell r="X87">
            <v>2000</v>
          </cell>
          <cell r="Y87">
            <v>11225</v>
          </cell>
          <cell r="Z87">
            <v>120117.68</v>
          </cell>
          <cell r="AA87">
            <v>51293.91</v>
          </cell>
          <cell r="AB87">
            <v>19724.3</v>
          </cell>
          <cell r="AC87">
            <v>14436.05</v>
          </cell>
          <cell r="AD87">
            <v>56564.33</v>
          </cell>
          <cell r="AE87">
            <v>9485.31</v>
          </cell>
          <cell r="AF87">
            <v>0</v>
          </cell>
          <cell r="AG87">
            <v>0</v>
          </cell>
          <cell r="AH87">
            <v>0</v>
          </cell>
          <cell r="AI87">
            <v>72703.570000000007</v>
          </cell>
          <cell r="AJ87">
            <v>940238.35</v>
          </cell>
          <cell r="AK87">
            <v>1000</v>
          </cell>
          <cell r="AL87">
            <v>309809</v>
          </cell>
          <cell r="AM87">
            <v>75874</v>
          </cell>
          <cell r="AN87">
            <v>162296.47</v>
          </cell>
          <cell r="AO87">
            <v>85899.44</v>
          </cell>
          <cell r="AP87">
            <v>108578.62</v>
          </cell>
          <cell r="AQ87">
            <v>13960.81</v>
          </cell>
          <cell r="AR87">
            <v>8581</v>
          </cell>
          <cell r="AS87">
            <v>12596.23</v>
          </cell>
          <cell r="AT87">
            <v>10112.25</v>
          </cell>
          <cell r="AU87">
            <v>24240.51</v>
          </cell>
          <cell r="AV87">
            <v>38610.449999999997</v>
          </cell>
          <cell r="AW87">
            <v>4034</v>
          </cell>
          <cell r="AX87">
            <v>9347.2000000000007</v>
          </cell>
          <cell r="AY87">
            <v>21851.58</v>
          </cell>
          <cell r="AZ87">
            <v>0</v>
          </cell>
          <cell r="BA87">
            <v>10261.049999999999</v>
          </cell>
          <cell r="BB87">
            <v>143774.74</v>
          </cell>
          <cell r="BC87">
            <v>15352.67</v>
          </cell>
          <cell r="BD87">
            <v>0</v>
          </cell>
          <cell r="BE87">
            <v>13338.49</v>
          </cell>
          <cell r="BF87">
            <v>10586.16</v>
          </cell>
          <cell r="BG87">
            <v>14585.05</v>
          </cell>
          <cell r="BH87">
            <v>67685.75</v>
          </cell>
          <cell r="BI87">
            <v>95922.51</v>
          </cell>
          <cell r="BJ87">
            <v>90062.82</v>
          </cell>
          <cell r="BK87">
            <v>30893.63</v>
          </cell>
          <cell r="BL87">
            <v>0</v>
          </cell>
          <cell r="BM87">
            <v>5527.45</v>
          </cell>
          <cell r="BN87">
            <v>0</v>
          </cell>
          <cell r="BO87">
            <v>0</v>
          </cell>
        </row>
        <row r="88">
          <cell r="B88">
            <v>5403</v>
          </cell>
          <cell r="C88" t="str">
            <v>St Mary's CE High School</v>
          </cell>
          <cell r="D88" t="str">
            <v>N</v>
          </cell>
          <cell r="E88" t="str">
            <v>Authorised</v>
          </cell>
          <cell r="F88">
            <v>0</v>
          </cell>
          <cell r="G88">
            <v>2</v>
          </cell>
          <cell r="H88" t="str">
            <v>20152016</v>
          </cell>
          <cell r="I88" t="str">
            <v>XG15</v>
          </cell>
          <cell r="J88" t="str">
            <v>Y</v>
          </cell>
          <cell r="K88" t="str">
            <v>Final</v>
          </cell>
          <cell r="L88" t="str">
            <v>Y</v>
          </cell>
          <cell r="M88" t="str">
            <v>Accruals</v>
          </cell>
          <cell r="N88" t="str">
            <v>N</v>
          </cell>
          <cell r="O88" t="str">
            <v>N</v>
          </cell>
          <cell r="P88">
            <v>413440</v>
          </cell>
          <cell r="Q88">
            <v>0</v>
          </cell>
          <cell r="R88">
            <v>0</v>
          </cell>
          <cell r="S88">
            <v>1063986</v>
          </cell>
          <cell r="T88">
            <v>92487</v>
          </cell>
          <cell r="U88">
            <v>32353</v>
          </cell>
          <cell r="V88">
            <v>0</v>
          </cell>
          <cell r="W88">
            <v>70287.02</v>
          </cell>
          <cell r="X88">
            <v>0</v>
          </cell>
          <cell r="Y88">
            <v>0</v>
          </cell>
          <cell r="Z88">
            <v>66468.34</v>
          </cell>
          <cell r="AA88">
            <v>0</v>
          </cell>
          <cell r="AB88">
            <v>0</v>
          </cell>
          <cell r="AC88">
            <v>0</v>
          </cell>
          <cell r="AD88">
            <v>3473.43</v>
          </cell>
          <cell r="AE88">
            <v>17618.599999999999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785928.7</v>
          </cell>
          <cell r="AK88">
            <v>0</v>
          </cell>
          <cell r="AL88">
            <v>92414.33</v>
          </cell>
          <cell r="AM88">
            <v>63880.31</v>
          </cell>
          <cell r="AN88">
            <v>107214.11</v>
          </cell>
          <cell r="AO88">
            <v>0</v>
          </cell>
          <cell r="AP88">
            <v>18166.07</v>
          </cell>
          <cell r="AQ88">
            <v>2865.59</v>
          </cell>
          <cell r="AR88">
            <v>13702.53</v>
          </cell>
          <cell r="AS88">
            <v>157</v>
          </cell>
          <cell r="AT88">
            <v>1106.69</v>
          </cell>
          <cell r="AU88">
            <v>63563.27</v>
          </cell>
          <cell r="AV88">
            <v>5435.17</v>
          </cell>
          <cell r="AW88">
            <v>61771.62</v>
          </cell>
          <cell r="AX88">
            <v>9848.42</v>
          </cell>
          <cell r="AY88">
            <v>29691.95</v>
          </cell>
          <cell r="AZ88">
            <v>0</v>
          </cell>
          <cell r="BA88">
            <v>15297.49</v>
          </cell>
          <cell r="BB88">
            <v>40066.81</v>
          </cell>
          <cell r="BC88">
            <v>49647.05</v>
          </cell>
          <cell r="BD88">
            <v>32001.57</v>
          </cell>
          <cell r="BE88">
            <v>11811.42</v>
          </cell>
          <cell r="BF88">
            <v>20150.830000000002</v>
          </cell>
          <cell r="BG88">
            <v>95</v>
          </cell>
          <cell r="BH88">
            <v>9697.7900000000009</v>
          </cell>
          <cell r="BI88">
            <v>30044.43</v>
          </cell>
          <cell r="BJ88">
            <v>43069.39</v>
          </cell>
          <cell r="BK88">
            <v>26659.85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</row>
        <row r="89">
          <cell r="B89">
            <v>5404</v>
          </cell>
          <cell r="C89" t="str">
            <v>St. Michael's Catholic Grammar School</v>
          </cell>
          <cell r="D89" t="str">
            <v>N</v>
          </cell>
          <cell r="E89" t="str">
            <v>Authorised</v>
          </cell>
          <cell r="F89">
            <v>0</v>
          </cell>
          <cell r="G89">
            <v>0</v>
          </cell>
          <cell r="H89" t="str">
            <v>20152016</v>
          </cell>
          <cell r="I89" t="str">
            <v>XG15</v>
          </cell>
          <cell r="J89" t="str">
            <v>Y</v>
          </cell>
          <cell r="K89" t="str">
            <v>Final</v>
          </cell>
          <cell r="L89" t="str">
            <v>Y</v>
          </cell>
          <cell r="M89" t="str">
            <v>Accruals</v>
          </cell>
          <cell r="N89" t="str">
            <v>Y</v>
          </cell>
          <cell r="O89" t="str">
            <v>N</v>
          </cell>
          <cell r="P89">
            <v>52524</v>
          </cell>
          <cell r="Q89">
            <v>0</v>
          </cell>
          <cell r="R89">
            <v>0</v>
          </cell>
          <cell r="S89">
            <v>2572337</v>
          </cell>
          <cell r="T89">
            <v>1332763</v>
          </cell>
          <cell r="U89">
            <v>0</v>
          </cell>
          <cell r="V89">
            <v>0</v>
          </cell>
          <cell r="W89">
            <v>44430</v>
          </cell>
          <cell r="X89">
            <v>2980</v>
          </cell>
          <cell r="Y89">
            <v>8352.69</v>
          </cell>
          <cell r="Z89">
            <v>42305.96</v>
          </cell>
          <cell r="AA89">
            <v>109273.18</v>
          </cell>
          <cell r="AB89">
            <v>0</v>
          </cell>
          <cell r="AC89">
            <v>0</v>
          </cell>
          <cell r="AD89">
            <v>24193.88</v>
          </cell>
          <cell r="AE89">
            <v>269121.56</v>
          </cell>
          <cell r="AF89">
            <v>0</v>
          </cell>
          <cell r="AG89">
            <v>0</v>
          </cell>
          <cell r="AH89">
            <v>0</v>
          </cell>
          <cell r="AI89">
            <v>45200.01</v>
          </cell>
          <cell r="AJ89">
            <v>2829074.86</v>
          </cell>
          <cell r="AK89">
            <v>32464.66</v>
          </cell>
          <cell r="AL89">
            <v>145727.26</v>
          </cell>
          <cell r="AM89">
            <v>122588.86</v>
          </cell>
          <cell r="AN89">
            <v>458714.42</v>
          </cell>
          <cell r="AO89">
            <v>68133.84</v>
          </cell>
          <cell r="AP89">
            <v>4974.0200000000004</v>
          </cell>
          <cell r="AQ89">
            <v>27201.16</v>
          </cell>
          <cell r="AR89">
            <v>11402.66</v>
          </cell>
          <cell r="AS89">
            <v>135</v>
          </cell>
          <cell r="AT89">
            <v>5252.61</v>
          </cell>
          <cell r="AU89">
            <v>54425.59</v>
          </cell>
          <cell r="AV89">
            <v>11782.48</v>
          </cell>
          <cell r="AW89">
            <v>12524.12</v>
          </cell>
          <cell r="AX89">
            <v>5533.53</v>
          </cell>
          <cell r="AY89">
            <v>56584.12</v>
          </cell>
          <cell r="AZ89">
            <v>0</v>
          </cell>
          <cell r="BA89">
            <v>42733</v>
          </cell>
          <cell r="BB89">
            <v>141072.37</v>
          </cell>
          <cell r="BC89">
            <v>41343.300000000003</v>
          </cell>
          <cell r="BD89">
            <v>101596.2</v>
          </cell>
          <cell r="BE89">
            <v>20219.650000000001</v>
          </cell>
          <cell r="BF89">
            <v>31681.71</v>
          </cell>
          <cell r="BG89">
            <v>2479.0300000000002</v>
          </cell>
          <cell r="BH89">
            <v>45995.16</v>
          </cell>
          <cell r="BI89">
            <v>31874.6</v>
          </cell>
          <cell r="BJ89">
            <v>51009.94</v>
          </cell>
          <cell r="BK89">
            <v>130725.13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</row>
        <row r="90">
          <cell r="B90">
            <v>5405</v>
          </cell>
          <cell r="C90" t="str">
            <v>Finchley Catholic High School</v>
          </cell>
          <cell r="D90" t="str">
            <v>N</v>
          </cell>
          <cell r="E90" t="str">
            <v>Authorised</v>
          </cell>
          <cell r="F90">
            <v>0</v>
          </cell>
          <cell r="G90">
            <v>2</v>
          </cell>
          <cell r="H90" t="str">
            <v>20152016</v>
          </cell>
          <cell r="I90" t="str">
            <v>XG15</v>
          </cell>
          <cell r="J90" t="str">
            <v>Y</v>
          </cell>
          <cell r="K90" t="str">
            <v>Final</v>
          </cell>
          <cell r="L90" t="str">
            <v>Y</v>
          </cell>
          <cell r="M90" t="str">
            <v>Accruals</v>
          </cell>
          <cell r="N90" t="str">
            <v>Y</v>
          </cell>
          <cell r="O90" t="str">
            <v>Y</v>
          </cell>
          <cell r="P90">
            <v>714866</v>
          </cell>
          <cell r="Q90">
            <v>0</v>
          </cell>
          <cell r="R90">
            <v>58667</v>
          </cell>
          <cell r="S90">
            <v>4453130</v>
          </cell>
          <cell r="T90">
            <v>1449949</v>
          </cell>
          <cell r="U90">
            <v>311904.32</v>
          </cell>
          <cell r="V90">
            <v>0</v>
          </cell>
          <cell r="W90">
            <v>121633.25</v>
          </cell>
          <cell r="X90">
            <v>109968.38</v>
          </cell>
          <cell r="Y90">
            <v>11397.24</v>
          </cell>
          <cell r="Z90">
            <v>123023.25</v>
          </cell>
          <cell r="AA90">
            <v>307827.78000000003</v>
          </cell>
          <cell r="AB90">
            <v>0</v>
          </cell>
          <cell r="AC90">
            <v>4077.64</v>
          </cell>
          <cell r="AD90">
            <v>112496.39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10250</v>
          </cell>
          <cell r="AJ90">
            <v>4078597.79</v>
          </cell>
          <cell r="AK90">
            <v>49256.78</v>
          </cell>
          <cell r="AL90">
            <v>516252.04</v>
          </cell>
          <cell r="AM90">
            <v>99011.49</v>
          </cell>
          <cell r="AN90">
            <v>519280.41</v>
          </cell>
          <cell r="AO90">
            <v>0</v>
          </cell>
          <cell r="AP90">
            <v>6635.03</v>
          </cell>
          <cell r="AQ90">
            <v>59055.32</v>
          </cell>
          <cell r="AR90">
            <v>36240.51</v>
          </cell>
          <cell r="AS90">
            <v>0</v>
          </cell>
          <cell r="AT90">
            <v>7210.4</v>
          </cell>
          <cell r="AU90">
            <v>167020.57999999999</v>
          </cell>
          <cell r="AV90">
            <v>43411.18</v>
          </cell>
          <cell r="AW90">
            <v>90780.9</v>
          </cell>
          <cell r="AX90">
            <v>7428.6</v>
          </cell>
          <cell r="AY90">
            <v>138717.03</v>
          </cell>
          <cell r="AZ90">
            <v>0</v>
          </cell>
          <cell r="BA90">
            <v>35187.879999999997</v>
          </cell>
          <cell r="BB90">
            <v>300314.27</v>
          </cell>
          <cell r="BC90">
            <v>77575.72</v>
          </cell>
          <cell r="BD90">
            <v>125937.56</v>
          </cell>
          <cell r="BE90">
            <v>61059.37</v>
          </cell>
          <cell r="BF90">
            <v>56096.57</v>
          </cell>
          <cell r="BG90">
            <v>2840</v>
          </cell>
          <cell r="BH90">
            <v>330974.59000000003</v>
          </cell>
          <cell r="BI90">
            <v>43453.03</v>
          </cell>
          <cell r="BJ90">
            <v>49250.94</v>
          </cell>
          <cell r="BK90">
            <v>62337.52</v>
          </cell>
          <cell r="BL90">
            <v>0</v>
          </cell>
          <cell r="BM90">
            <v>249513.74</v>
          </cell>
          <cell r="BN90">
            <v>0</v>
          </cell>
          <cell r="BO90">
            <v>0</v>
          </cell>
        </row>
        <row r="91">
          <cell r="B91">
            <v>5407</v>
          </cell>
          <cell r="C91" t="str">
            <v>St James' Catholic High School</v>
          </cell>
          <cell r="D91" t="str">
            <v>N</v>
          </cell>
          <cell r="E91" t="str">
            <v>Authorised</v>
          </cell>
          <cell r="F91">
            <v>0</v>
          </cell>
          <cell r="G91">
            <v>0</v>
          </cell>
          <cell r="H91" t="str">
            <v>20152016</v>
          </cell>
          <cell r="I91" t="str">
            <v>XG15</v>
          </cell>
          <cell r="J91" t="str">
            <v>Y</v>
          </cell>
          <cell r="K91" t="str">
            <v>Final</v>
          </cell>
          <cell r="L91" t="str">
            <v>Y</v>
          </cell>
          <cell r="M91" t="str">
            <v>Accruals</v>
          </cell>
          <cell r="N91" t="str">
            <v>N</v>
          </cell>
          <cell r="O91" t="str">
            <v>N</v>
          </cell>
          <cell r="P91">
            <v>-450</v>
          </cell>
          <cell r="Q91">
            <v>0</v>
          </cell>
          <cell r="R91">
            <v>0</v>
          </cell>
          <cell r="S91">
            <v>5094061</v>
          </cell>
          <cell r="T91">
            <v>1045081</v>
          </cell>
          <cell r="U91">
            <v>219418.64</v>
          </cell>
          <cell r="V91">
            <v>0</v>
          </cell>
          <cell r="W91">
            <v>229125</v>
          </cell>
          <cell r="X91">
            <v>0</v>
          </cell>
          <cell r="Y91">
            <v>0</v>
          </cell>
          <cell r="Z91">
            <v>2008.01</v>
          </cell>
          <cell r="AA91">
            <v>0</v>
          </cell>
          <cell r="AB91">
            <v>0</v>
          </cell>
          <cell r="AC91">
            <v>0</v>
          </cell>
          <cell r="AD91">
            <v>89825.8</v>
          </cell>
          <cell r="AE91">
            <v>159035.81</v>
          </cell>
          <cell r="AF91">
            <v>0</v>
          </cell>
          <cell r="AG91">
            <v>0</v>
          </cell>
          <cell r="AH91">
            <v>0</v>
          </cell>
          <cell r="AI91">
            <v>18000</v>
          </cell>
          <cell r="AJ91">
            <v>3970041.76</v>
          </cell>
          <cell r="AK91">
            <v>0</v>
          </cell>
          <cell r="AL91">
            <v>735089.16</v>
          </cell>
          <cell r="AM91">
            <v>107504.68</v>
          </cell>
          <cell r="AN91">
            <v>379174.34</v>
          </cell>
          <cell r="AO91">
            <v>0</v>
          </cell>
          <cell r="AP91">
            <v>15648.39</v>
          </cell>
          <cell r="AQ91">
            <v>39137.69</v>
          </cell>
          <cell r="AR91">
            <v>8080.96</v>
          </cell>
          <cell r="AS91">
            <v>910</v>
          </cell>
          <cell r="AT91">
            <v>4007.51</v>
          </cell>
          <cell r="AU91">
            <v>72572.02</v>
          </cell>
          <cell r="AV91">
            <v>11589</v>
          </cell>
          <cell r="AW91">
            <v>124926.93</v>
          </cell>
          <cell r="AX91">
            <v>10200</v>
          </cell>
          <cell r="AY91">
            <v>155094.37</v>
          </cell>
          <cell r="AZ91">
            <v>0</v>
          </cell>
          <cell r="BA91">
            <v>28201.52</v>
          </cell>
          <cell r="BB91">
            <v>166917.65</v>
          </cell>
          <cell r="BC91">
            <v>86155.97</v>
          </cell>
          <cell r="BD91">
            <v>117679.47</v>
          </cell>
          <cell r="BE91">
            <v>217823.01</v>
          </cell>
          <cell r="BF91">
            <v>34200.379999999997</v>
          </cell>
          <cell r="BG91">
            <v>0</v>
          </cell>
          <cell r="BH91">
            <v>43130.3</v>
          </cell>
          <cell r="BI91">
            <v>138101.45000000001</v>
          </cell>
          <cell r="BJ91">
            <v>211502.28</v>
          </cell>
          <cell r="BK91">
            <v>70229.42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</row>
        <row r="92">
          <cell r="B92">
            <v>5408</v>
          </cell>
          <cell r="C92" t="str">
            <v>Bishop Douglass RC High</v>
          </cell>
          <cell r="D92" t="str">
            <v>N</v>
          </cell>
          <cell r="E92" t="str">
            <v>Authorised</v>
          </cell>
          <cell r="F92">
            <v>0</v>
          </cell>
          <cell r="G92">
            <v>0</v>
          </cell>
          <cell r="H92" t="str">
            <v>20152016</v>
          </cell>
          <cell r="I92" t="str">
            <v>XG15</v>
          </cell>
          <cell r="J92" t="str">
            <v>Y</v>
          </cell>
          <cell r="K92" t="str">
            <v>Final</v>
          </cell>
          <cell r="L92" t="str">
            <v>Y</v>
          </cell>
          <cell r="M92" t="str">
            <v>Accruals</v>
          </cell>
          <cell r="N92" t="str">
            <v>N</v>
          </cell>
          <cell r="O92" t="str">
            <v>N</v>
          </cell>
          <cell r="P92">
            <v>49806</v>
          </cell>
          <cell r="Q92">
            <v>0</v>
          </cell>
          <cell r="R92">
            <v>0</v>
          </cell>
          <cell r="S92">
            <v>3519328</v>
          </cell>
          <cell r="T92">
            <v>1222794</v>
          </cell>
          <cell r="U92">
            <v>108413.84</v>
          </cell>
          <cell r="V92">
            <v>0</v>
          </cell>
          <cell r="W92">
            <v>221390</v>
          </cell>
          <cell r="X92">
            <v>259361.63</v>
          </cell>
          <cell r="Y92">
            <v>17406.3</v>
          </cell>
          <cell r="Z92">
            <v>33167.449999999997</v>
          </cell>
          <cell r="AA92">
            <v>43086.51</v>
          </cell>
          <cell r="AB92">
            <v>0</v>
          </cell>
          <cell r="AC92">
            <v>0</v>
          </cell>
          <cell r="AD92">
            <v>35244.44</v>
          </cell>
          <cell r="AE92">
            <v>101.83</v>
          </cell>
          <cell r="AF92">
            <v>0</v>
          </cell>
          <cell r="AG92">
            <v>0</v>
          </cell>
          <cell r="AH92">
            <v>0</v>
          </cell>
          <cell r="AI92">
            <v>29500</v>
          </cell>
          <cell r="AJ92">
            <v>2832572.31</v>
          </cell>
          <cell r="AK92">
            <v>7501.05</v>
          </cell>
          <cell r="AL92">
            <v>683322.22</v>
          </cell>
          <cell r="AM92">
            <v>145642.35</v>
          </cell>
          <cell r="AN92">
            <v>336554.85</v>
          </cell>
          <cell r="AO92">
            <v>0</v>
          </cell>
          <cell r="AP92">
            <v>14466.86</v>
          </cell>
          <cell r="AQ92">
            <v>69094.679999999993</v>
          </cell>
          <cell r="AR92">
            <v>75287.87</v>
          </cell>
          <cell r="AS92">
            <v>540</v>
          </cell>
          <cell r="AT92">
            <v>11209</v>
          </cell>
          <cell r="AU92">
            <v>134643.64000000001</v>
          </cell>
          <cell r="AV92">
            <v>4960.32</v>
          </cell>
          <cell r="AW92">
            <v>106374.32</v>
          </cell>
          <cell r="AX92">
            <v>10115.92</v>
          </cell>
          <cell r="AY92">
            <v>89015.49</v>
          </cell>
          <cell r="AZ92">
            <v>0</v>
          </cell>
          <cell r="BA92">
            <v>51275.53</v>
          </cell>
          <cell r="BB92">
            <v>187985.88</v>
          </cell>
          <cell r="BC92">
            <v>96655.16</v>
          </cell>
          <cell r="BD92">
            <v>133172.70000000001</v>
          </cell>
          <cell r="BE92">
            <v>94473.35</v>
          </cell>
          <cell r="BF92">
            <v>48619.62</v>
          </cell>
          <cell r="BG92">
            <v>0</v>
          </cell>
          <cell r="BH92">
            <v>96164.68</v>
          </cell>
          <cell r="BI92">
            <v>64480.53</v>
          </cell>
          <cell r="BJ92">
            <v>76688.17</v>
          </cell>
          <cell r="BK92">
            <v>47081.5</v>
          </cell>
          <cell r="BL92">
            <v>0</v>
          </cell>
          <cell r="BM92">
            <v>38215</v>
          </cell>
          <cell r="BN92">
            <v>0</v>
          </cell>
          <cell r="BO92">
            <v>0</v>
          </cell>
        </row>
        <row r="93">
          <cell r="B93">
            <v>5427</v>
          </cell>
          <cell r="C93" t="str">
            <v>JCoSS</v>
          </cell>
          <cell r="D93" t="str">
            <v>N</v>
          </cell>
          <cell r="E93" t="str">
            <v>Authorised</v>
          </cell>
          <cell r="F93">
            <v>0</v>
          </cell>
          <cell r="G93">
            <v>0</v>
          </cell>
          <cell r="H93" t="str">
            <v>20152016</v>
          </cell>
          <cell r="I93" t="str">
            <v>XG15</v>
          </cell>
          <cell r="J93" t="str">
            <v>Y</v>
          </cell>
          <cell r="K93" t="str">
            <v>Final</v>
          </cell>
          <cell r="L93" t="str">
            <v>Y</v>
          </cell>
          <cell r="M93" t="str">
            <v>Accruals</v>
          </cell>
          <cell r="N93" t="str">
            <v>Y</v>
          </cell>
          <cell r="O93" t="str">
            <v>Y</v>
          </cell>
          <cell r="P93">
            <v>195146</v>
          </cell>
          <cell r="Q93">
            <v>0</v>
          </cell>
          <cell r="R93">
            <v>0</v>
          </cell>
          <cell r="S93">
            <v>5758784.0599999996</v>
          </cell>
          <cell r="T93">
            <v>668188</v>
          </cell>
          <cell r="U93">
            <v>1013124.92</v>
          </cell>
          <cell r="V93">
            <v>0</v>
          </cell>
          <cell r="W93">
            <v>95911.75</v>
          </cell>
          <cell r="X93">
            <v>152227.32</v>
          </cell>
          <cell r="Y93">
            <v>0</v>
          </cell>
          <cell r="Z93">
            <v>29788.44</v>
          </cell>
          <cell r="AA93">
            <v>15080</v>
          </cell>
          <cell r="AB93">
            <v>25137</v>
          </cell>
          <cell r="AC93">
            <v>2502.39</v>
          </cell>
          <cell r="AD93">
            <v>912879.66</v>
          </cell>
          <cell r="AE93">
            <v>758310.01</v>
          </cell>
          <cell r="AF93">
            <v>0</v>
          </cell>
          <cell r="AG93">
            <v>0</v>
          </cell>
          <cell r="AH93">
            <v>0</v>
          </cell>
          <cell r="AI93">
            <v>6500</v>
          </cell>
          <cell r="AJ93">
            <v>4347337.74</v>
          </cell>
          <cell r="AK93">
            <v>14003.19</v>
          </cell>
          <cell r="AL93">
            <v>1408977.78</v>
          </cell>
          <cell r="AM93">
            <v>128066.92</v>
          </cell>
          <cell r="AN93">
            <v>507474.11</v>
          </cell>
          <cell r="AO93">
            <v>0</v>
          </cell>
          <cell r="AP93">
            <v>91504.24</v>
          </cell>
          <cell r="AQ93">
            <v>83821.77</v>
          </cell>
          <cell r="AR93">
            <v>65464.82</v>
          </cell>
          <cell r="AS93">
            <v>52978.6</v>
          </cell>
          <cell r="AT93">
            <v>0</v>
          </cell>
          <cell r="AU93">
            <v>166134.26999999999</v>
          </cell>
          <cell r="AV93">
            <v>23443.46</v>
          </cell>
          <cell r="AW93">
            <v>114405.56</v>
          </cell>
          <cell r="AX93">
            <v>653.48</v>
          </cell>
          <cell r="AY93">
            <v>126759.5</v>
          </cell>
          <cell r="AZ93">
            <v>0</v>
          </cell>
          <cell r="BA93">
            <v>143443.25</v>
          </cell>
          <cell r="BB93">
            <v>739120.43</v>
          </cell>
          <cell r="BC93">
            <v>134187.57999999999</v>
          </cell>
          <cell r="BD93">
            <v>137749.38</v>
          </cell>
          <cell r="BE93">
            <v>57039.66</v>
          </cell>
          <cell r="BF93">
            <v>50373.51</v>
          </cell>
          <cell r="BG93">
            <v>0</v>
          </cell>
          <cell r="BH93">
            <v>33086.14</v>
          </cell>
          <cell r="BI93">
            <v>178962.51</v>
          </cell>
          <cell r="BJ93">
            <v>318327.15999999997</v>
          </cell>
          <cell r="BK93">
            <v>586292.49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</row>
        <row r="94">
          <cell r="B94">
            <v>5948</v>
          </cell>
          <cell r="C94" t="str">
            <v>Mathilda Marks Kennedy School</v>
          </cell>
          <cell r="D94" t="str">
            <v>N</v>
          </cell>
          <cell r="E94" t="str">
            <v>Authorised</v>
          </cell>
          <cell r="F94">
            <v>0</v>
          </cell>
          <cell r="G94">
            <v>0</v>
          </cell>
          <cell r="H94" t="str">
            <v>20152016</v>
          </cell>
          <cell r="I94" t="str">
            <v>XG15</v>
          </cell>
          <cell r="J94" t="str">
            <v>Y</v>
          </cell>
          <cell r="K94" t="str">
            <v>Final</v>
          </cell>
          <cell r="L94" t="str">
            <v>Y</v>
          </cell>
          <cell r="M94" t="str">
            <v>Accruals</v>
          </cell>
          <cell r="N94" t="str">
            <v>N</v>
          </cell>
          <cell r="O94" t="str">
            <v>Y</v>
          </cell>
          <cell r="P94">
            <v>474</v>
          </cell>
          <cell r="Q94">
            <v>0</v>
          </cell>
          <cell r="R94">
            <v>0</v>
          </cell>
          <cell r="S94">
            <v>881873</v>
          </cell>
          <cell r="T94">
            <v>0</v>
          </cell>
          <cell r="U94">
            <v>83093</v>
          </cell>
          <cell r="V94">
            <v>0</v>
          </cell>
          <cell r="W94">
            <v>20702</v>
          </cell>
          <cell r="X94">
            <v>46832.15</v>
          </cell>
          <cell r="Y94">
            <v>5735.45</v>
          </cell>
          <cell r="Z94">
            <v>48178.47</v>
          </cell>
          <cell r="AA94">
            <v>22929.32</v>
          </cell>
          <cell r="AB94">
            <v>12075.68</v>
          </cell>
          <cell r="AC94">
            <v>3547.75</v>
          </cell>
          <cell r="AD94">
            <v>33485.53</v>
          </cell>
          <cell r="AE94">
            <v>261512.78</v>
          </cell>
          <cell r="AF94">
            <v>0</v>
          </cell>
          <cell r="AG94">
            <v>0</v>
          </cell>
          <cell r="AH94">
            <v>0</v>
          </cell>
          <cell r="AI94">
            <v>41569.83</v>
          </cell>
          <cell r="AJ94">
            <v>658650.85</v>
          </cell>
          <cell r="AK94">
            <v>4628.63</v>
          </cell>
          <cell r="AL94">
            <v>379745.01</v>
          </cell>
          <cell r="AM94">
            <v>40868.03</v>
          </cell>
          <cell r="AN94">
            <v>64934.64</v>
          </cell>
          <cell r="AO94">
            <v>0</v>
          </cell>
          <cell r="AP94">
            <v>3651.41</v>
          </cell>
          <cell r="AQ94">
            <v>2110.5500000000002</v>
          </cell>
          <cell r="AR94">
            <v>4106.5</v>
          </cell>
          <cell r="AS94">
            <v>7114.98</v>
          </cell>
          <cell r="AT94">
            <v>7228.95</v>
          </cell>
          <cell r="AU94">
            <v>8491.75</v>
          </cell>
          <cell r="AV94">
            <v>394.96</v>
          </cell>
          <cell r="AW94">
            <v>16756.41</v>
          </cell>
          <cell r="AX94">
            <v>2345.5100000000002</v>
          </cell>
          <cell r="AY94">
            <v>15491.82</v>
          </cell>
          <cell r="AZ94">
            <v>0</v>
          </cell>
          <cell r="BA94">
            <v>58977.4</v>
          </cell>
          <cell r="BB94">
            <v>32072.080000000002</v>
          </cell>
          <cell r="BC94">
            <v>15831.8</v>
          </cell>
          <cell r="BD94">
            <v>0</v>
          </cell>
          <cell r="BE94">
            <v>7888.87</v>
          </cell>
          <cell r="BF94">
            <v>9927.68</v>
          </cell>
          <cell r="BG94">
            <v>5866.86</v>
          </cell>
          <cell r="BH94">
            <v>58528.959999999999</v>
          </cell>
          <cell r="BI94">
            <v>0</v>
          </cell>
          <cell r="BJ94">
            <v>14940</v>
          </cell>
          <cell r="BK94">
            <v>24985.89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</row>
        <row r="95">
          <cell r="B95">
            <v>5949</v>
          </cell>
          <cell r="C95" t="str">
            <v>Menorah Foundation School</v>
          </cell>
          <cell r="D95" t="str">
            <v>N</v>
          </cell>
          <cell r="E95" t="str">
            <v>Authorised</v>
          </cell>
          <cell r="F95">
            <v>0</v>
          </cell>
          <cell r="G95">
            <v>0</v>
          </cell>
          <cell r="H95" t="str">
            <v>20152016</v>
          </cell>
          <cell r="I95" t="str">
            <v>XG15</v>
          </cell>
          <cell r="J95" t="str">
            <v>Y</v>
          </cell>
          <cell r="K95" t="str">
            <v>Final</v>
          </cell>
          <cell r="L95" t="str">
            <v>Y</v>
          </cell>
          <cell r="M95" t="str">
            <v>Accruals</v>
          </cell>
          <cell r="N95" t="str">
            <v>N</v>
          </cell>
          <cell r="O95" t="str">
            <v>Y</v>
          </cell>
          <cell r="P95">
            <v>-60298</v>
          </cell>
          <cell r="Q95">
            <v>0</v>
          </cell>
          <cell r="R95">
            <v>0</v>
          </cell>
          <cell r="S95">
            <v>1304155.23</v>
          </cell>
          <cell r="T95">
            <v>0</v>
          </cell>
          <cell r="U95">
            <v>41953</v>
          </cell>
          <cell r="V95">
            <v>0</v>
          </cell>
          <cell r="W95">
            <v>25992</v>
          </cell>
          <cell r="X95">
            <v>0</v>
          </cell>
          <cell r="Y95">
            <v>0</v>
          </cell>
          <cell r="Z95">
            <v>2935.74</v>
          </cell>
          <cell r="AA95">
            <v>14759.88</v>
          </cell>
          <cell r="AB95">
            <v>24897.599999999999</v>
          </cell>
          <cell r="AC95">
            <v>13893.91</v>
          </cell>
          <cell r="AD95">
            <v>20752.400000000001</v>
          </cell>
          <cell r="AE95">
            <v>197008.79</v>
          </cell>
          <cell r="AF95">
            <v>0</v>
          </cell>
          <cell r="AG95">
            <v>0</v>
          </cell>
          <cell r="AH95">
            <v>0</v>
          </cell>
          <cell r="AI95">
            <v>79513.81</v>
          </cell>
          <cell r="AJ95">
            <v>604462.65</v>
          </cell>
          <cell r="AK95">
            <v>27902.45</v>
          </cell>
          <cell r="AL95">
            <v>307087.65999999997</v>
          </cell>
          <cell r="AM95">
            <v>38949.65</v>
          </cell>
          <cell r="AN95">
            <v>122796.8</v>
          </cell>
          <cell r="AO95">
            <v>0</v>
          </cell>
          <cell r="AP95">
            <v>28183.119999999999</v>
          </cell>
          <cell r="AQ95">
            <v>38638.800000000003</v>
          </cell>
          <cell r="AR95">
            <v>14327.99</v>
          </cell>
          <cell r="AS95">
            <v>13227.53</v>
          </cell>
          <cell r="AT95">
            <v>0</v>
          </cell>
          <cell r="AU95">
            <v>20276.88</v>
          </cell>
          <cell r="AV95">
            <v>0</v>
          </cell>
          <cell r="AW95">
            <v>31710.45</v>
          </cell>
          <cell r="AX95">
            <v>3097.72</v>
          </cell>
          <cell r="AY95">
            <v>20719.32</v>
          </cell>
          <cell r="AZ95">
            <v>0</v>
          </cell>
          <cell r="BA95">
            <v>8444.52</v>
          </cell>
          <cell r="BB95">
            <v>55532.82</v>
          </cell>
          <cell r="BC95">
            <v>11796.73</v>
          </cell>
          <cell r="BD95">
            <v>0</v>
          </cell>
          <cell r="BE95">
            <v>11931</v>
          </cell>
          <cell r="BF95">
            <v>12845.44</v>
          </cell>
          <cell r="BG95">
            <v>2264.75</v>
          </cell>
          <cell r="BH95">
            <v>93937.78</v>
          </cell>
          <cell r="BI95">
            <v>74000.160000000003</v>
          </cell>
          <cell r="BJ95">
            <v>23826.09</v>
          </cell>
          <cell r="BK95">
            <v>76128.05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</row>
        <row r="96">
          <cell r="B96">
            <v>7000</v>
          </cell>
          <cell r="C96" t="str">
            <v>Oak Lodge School</v>
          </cell>
          <cell r="D96" t="str">
            <v>N</v>
          </cell>
          <cell r="E96" t="str">
            <v>Authorised</v>
          </cell>
          <cell r="F96">
            <v>0</v>
          </cell>
          <cell r="G96">
            <v>0</v>
          </cell>
          <cell r="H96" t="str">
            <v>20152016</v>
          </cell>
          <cell r="I96" t="str">
            <v>XG15</v>
          </cell>
          <cell r="J96" t="str">
            <v>Y</v>
          </cell>
          <cell r="K96" t="str">
            <v>Final</v>
          </cell>
          <cell r="L96" t="str">
            <v>Y</v>
          </cell>
          <cell r="M96" t="str">
            <v>Accruals</v>
          </cell>
          <cell r="N96" t="str">
            <v>N</v>
          </cell>
          <cell r="O96" t="str">
            <v>Y</v>
          </cell>
          <cell r="P96">
            <v>159859</v>
          </cell>
          <cell r="Q96">
            <v>0</v>
          </cell>
          <cell r="R96">
            <v>1</v>
          </cell>
          <cell r="S96">
            <v>1150000</v>
          </cell>
          <cell r="T96">
            <v>505328</v>
          </cell>
          <cell r="U96">
            <v>1722727.83</v>
          </cell>
          <cell r="V96">
            <v>0</v>
          </cell>
          <cell r="W96">
            <v>52390</v>
          </cell>
          <cell r="X96">
            <v>32661.72</v>
          </cell>
          <cell r="Y96">
            <v>338422</v>
          </cell>
          <cell r="Z96">
            <v>65686.37</v>
          </cell>
          <cell r="AA96">
            <v>23208.799999999999</v>
          </cell>
          <cell r="AB96">
            <v>0</v>
          </cell>
          <cell r="AC96">
            <v>706.17</v>
          </cell>
          <cell r="AD96">
            <v>18290.349999999999</v>
          </cell>
          <cell r="AE96">
            <v>49736.42</v>
          </cell>
          <cell r="AF96">
            <v>0</v>
          </cell>
          <cell r="AG96">
            <v>0</v>
          </cell>
          <cell r="AH96">
            <v>0</v>
          </cell>
          <cell r="AI96">
            <v>10000</v>
          </cell>
          <cell r="AJ96">
            <v>1877392.81</v>
          </cell>
          <cell r="AK96">
            <v>0</v>
          </cell>
          <cell r="AL96">
            <v>789759.85</v>
          </cell>
          <cell r="AM96">
            <v>71727.83</v>
          </cell>
          <cell r="AN96">
            <v>153970.15</v>
          </cell>
          <cell r="AO96">
            <v>7876.01</v>
          </cell>
          <cell r="AP96">
            <v>94500.11</v>
          </cell>
          <cell r="AQ96">
            <v>27767.07</v>
          </cell>
          <cell r="AR96">
            <v>26914.400000000001</v>
          </cell>
          <cell r="AS96">
            <v>0</v>
          </cell>
          <cell r="AT96">
            <v>1041.05</v>
          </cell>
          <cell r="AU96">
            <v>28907.68</v>
          </cell>
          <cell r="AV96">
            <v>3970.83</v>
          </cell>
          <cell r="AW96">
            <v>25728.27</v>
          </cell>
          <cell r="AX96">
            <v>7294.46</v>
          </cell>
          <cell r="AY96">
            <v>28315.1</v>
          </cell>
          <cell r="AZ96">
            <v>0</v>
          </cell>
          <cell r="BA96">
            <v>10195.959999999999</v>
          </cell>
          <cell r="BB96">
            <v>121644.25</v>
          </cell>
          <cell r="BC96">
            <v>22516.94</v>
          </cell>
          <cell r="BD96">
            <v>6193.71</v>
          </cell>
          <cell r="BE96">
            <v>17293.45</v>
          </cell>
          <cell r="BF96">
            <v>10900</v>
          </cell>
          <cell r="BG96">
            <v>13625.54</v>
          </cell>
          <cell r="BH96">
            <v>43403.42</v>
          </cell>
          <cell r="BI96">
            <v>41337</v>
          </cell>
          <cell r="BJ96">
            <v>520548.45</v>
          </cell>
          <cell r="BK96">
            <v>31690.32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</row>
        <row r="97">
          <cell r="B97">
            <v>7005</v>
          </cell>
          <cell r="C97" t="str">
            <v>Northway School</v>
          </cell>
          <cell r="D97" t="str">
            <v>N</v>
          </cell>
          <cell r="E97" t="str">
            <v>Authorised</v>
          </cell>
          <cell r="F97">
            <v>0</v>
          </cell>
          <cell r="G97">
            <v>1</v>
          </cell>
          <cell r="H97" t="str">
            <v>20152016</v>
          </cell>
          <cell r="I97" t="str">
            <v>XG15</v>
          </cell>
          <cell r="J97" t="str">
            <v>Y</v>
          </cell>
          <cell r="K97" t="str">
            <v>Final</v>
          </cell>
          <cell r="L97" t="str">
            <v>Y</v>
          </cell>
          <cell r="M97" t="str">
            <v>Accruals</v>
          </cell>
          <cell r="N97" t="str">
            <v>N</v>
          </cell>
          <cell r="O97" t="str">
            <v>N</v>
          </cell>
          <cell r="P97">
            <v>87672</v>
          </cell>
          <cell r="Q97">
            <v>0</v>
          </cell>
          <cell r="R97">
            <v>14268</v>
          </cell>
          <cell r="S97">
            <v>968451.69</v>
          </cell>
          <cell r="T97">
            <v>0</v>
          </cell>
          <cell r="U97">
            <v>1038517.17</v>
          </cell>
          <cell r="V97">
            <v>0</v>
          </cell>
          <cell r="W97">
            <v>66000.52</v>
          </cell>
          <cell r="X97">
            <v>23164.91</v>
          </cell>
          <cell r="Y97">
            <v>138</v>
          </cell>
          <cell r="Z97">
            <v>53964.23</v>
          </cell>
          <cell r="AA97">
            <v>9066.8799999999992</v>
          </cell>
          <cell r="AB97">
            <v>3933</v>
          </cell>
          <cell r="AC97">
            <v>11406.28</v>
          </cell>
          <cell r="AD97">
            <v>0</v>
          </cell>
          <cell r="AE97">
            <v>283.60000000000002</v>
          </cell>
          <cell r="AF97">
            <v>0</v>
          </cell>
          <cell r="AG97">
            <v>0</v>
          </cell>
          <cell r="AH97">
            <v>0</v>
          </cell>
          <cell r="AI97">
            <v>14813.58</v>
          </cell>
          <cell r="AJ97">
            <v>821131.15</v>
          </cell>
          <cell r="AK97">
            <v>0</v>
          </cell>
          <cell r="AL97">
            <v>750180.74</v>
          </cell>
          <cell r="AM97">
            <v>27729.82</v>
          </cell>
          <cell r="AN97">
            <v>57208.23</v>
          </cell>
          <cell r="AO97">
            <v>0</v>
          </cell>
          <cell r="AP97">
            <v>4083.43</v>
          </cell>
          <cell r="AQ97">
            <v>15189.66</v>
          </cell>
          <cell r="AR97">
            <v>19519.88</v>
          </cell>
          <cell r="AS97">
            <v>20054.810000000001</v>
          </cell>
          <cell r="AT97">
            <v>0</v>
          </cell>
          <cell r="AU97">
            <v>59661.47</v>
          </cell>
          <cell r="AV97">
            <v>2491.9899999999998</v>
          </cell>
          <cell r="AW97">
            <v>18478.71</v>
          </cell>
          <cell r="AX97">
            <v>4643.74</v>
          </cell>
          <cell r="AY97">
            <v>48007.08</v>
          </cell>
          <cell r="AZ97">
            <v>0</v>
          </cell>
          <cell r="BA97">
            <v>5851.72</v>
          </cell>
          <cell r="BB97">
            <v>30827.64</v>
          </cell>
          <cell r="BC97">
            <v>10562.98</v>
          </cell>
          <cell r="BD97">
            <v>0</v>
          </cell>
          <cell r="BE97">
            <v>7856.8</v>
          </cell>
          <cell r="BF97">
            <v>12402.93</v>
          </cell>
          <cell r="BG97">
            <v>0</v>
          </cell>
          <cell r="BH97">
            <v>29042.959999999999</v>
          </cell>
          <cell r="BI97">
            <v>0</v>
          </cell>
          <cell r="BJ97">
            <v>181755.2</v>
          </cell>
          <cell r="BK97">
            <v>42964.92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</row>
        <row r="98">
          <cell r="B98">
            <v>7009</v>
          </cell>
          <cell r="C98" t="str">
            <v>Oakleigh School</v>
          </cell>
          <cell r="D98" t="str">
            <v>N</v>
          </cell>
          <cell r="E98" t="str">
            <v>Authorised</v>
          </cell>
          <cell r="F98">
            <v>0</v>
          </cell>
          <cell r="G98">
            <v>0</v>
          </cell>
          <cell r="H98" t="str">
            <v>20152016</v>
          </cell>
          <cell r="I98" t="str">
            <v>XG15</v>
          </cell>
          <cell r="J98" t="str">
            <v>Y</v>
          </cell>
          <cell r="K98" t="str">
            <v>Final</v>
          </cell>
          <cell r="L98" t="str">
            <v>Y</v>
          </cell>
          <cell r="M98" t="str">
            <v>Accruals</v>
          </cell>
          <cell r="N98" t="str">
            <v>N</v>
          </cell>
          <cell r="O98" t="str">
            <v>Y</v>
          </cell>
          <cell r="P98">
            <v>39521</v>
          </cell>
          <cell r="Q98">
            <v>0</v>
          </cell>
          <cell r="R98">
            <v>0</v>
          </cell>
          <cell r="S98">
            <v>1388232.27</v>
          </cell>
          <cell r="T98">
            <v>0</v>
          </cell>
          <cell r="U98">
            <v>1527672</v>
          </cell>
          <cell r="V98">
            <v>0</v>
          </cell>
          <cell r="W98">
            <v>42820</v>
          </cell>
          <cell r="X98">
            <v>167626.18</v>
          </cell>
          <cell r="Y98">
            <v>600</v>
          </cell>
          <cell r="Z98">
            <v>55659.68</v>
          </cell>
          <cell r="AA98">
            <v>4083.09</v>
          </cell>
          <cell r="AB98">
            <v>24359.99</v>
          </cell>
          <cell r="AC98">
            <v>2994.04</v>
          </cell>
          <cell r="AD98">
            <v>4099.5</v>
          </cell>
          <cell r="AE98">
            <v>31367.599999999999</v>
          </cell>
          <cell r="AF98">
            <v>42160</v>
          </cell>
          <cell r="AG98">
            <v>0</v>
          </cell>
          <cell r="AH98">
            <v>0</v>
          </cell>
          <cell r="AI98">
            <v>19951.93</v>
          </cell>
          <cell r="AJ98">
            <v>1163660.55</v>
          </cell>
          <cell r="AK98">
            <v>0</v>
          </cell>
          <cell r="AL98">
            <v>1009862.99</v>
          </cell>
          <cell r="AM98">
            <v>40260.35</v>
          </cell>
          <cell r="AN98">
            <v>68288.08</v>
          </cell>
          <cell r="AO98">
            <v>0</v>
          </cell>
          <cell r="AP98">
            <v>79726.070000000007</v>
          </cell>
          <cell r="AQ98">
            <v>22009.97</v>
          </cell>
          <cell r="AR98">
            <v>20326.650000000001</v>
          </cell>
          <cell r="AS98">
            <v>13731.23</v>
          </cell>
          <cell r="AT98">
            <v>13819.59</v>
          </cell>
          <cell r="AU98">
            <v>41019.46</v>
          </cell>
          <cell r="AV98">
            <v>1068</v>
          </cell>
          <cell r="AW98">
            <v>27959.64</v>
          </cell>
          <cell r="AX98">
            <v>3507.89</v>
          </cell>
          <cell r="AY98">
            <v>25065.86</v>
          </cell>
          <cell r="AZ98">
            <v>0</v>
          </cell>
          <cell r="BA98">
            <v>17550.84</v>
          </cell>
          <cell r="BB98">
            <v>103544.7</v>
          </cell>
          <cell r="BC98">
            <v>30829.74</v>
          </cell>
          <cell r="BD98">
            <v>0</v>
          </cell>
          <cell r="BE98">
            <v>21035.09</v>
          </cell>
          <cell r="BF98">
            <v>2742</v>
          </cell>
          <cell r="BG98">
            <v>44941.48</v>
          </cell>
          <cell r="BH98">
            <v>19565.599999999999</v>
          </cell>
          <cell r="BI98">
            <v>34510</v>
          </cell>
          <cell r="BJ98">
            <v>347324.64</v>
          </cell>
          <cell r="BK98">
            <v>44483.86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</row>
        <row r="99">
          <cell r="B99">
            <v>7010</v>
          </cell>
          <cell r="C99" t="str">
            <v>Mapledown School</v>
          </cell>
          <cell r="D99" t="str">
            <v>N</v>
          </cell>
          <cell r="E99" t="str">
            <v>Authorised</v>
          </cell>
          <cell r="F99">
            <v>0</v>
          </cell>
          <cell r="G99">
            <v>3</v>
          </cell>
          <cell r="H99" t="str">
            <v>20152016</v>
          </cell>
          <cell r="I99" t="str">
            <v>XG15</v>
          </cell>
          <cell r="J99" t="str">
            <v>Y</v>
          </cell>
          <cell r="K99" t="str">
            <v>Final</v>
          </cell>
          <cell r="L99" t="str">
            <v>Y</v>
          </cell>
          <cell r="M99" t="str">
            <v>Accruals</v>
          </cell>
          <cell r="N99" t="str">
            <v>N</v>
          </cell>
          <cell r="O99" t="str">
            <v>Y</v>
          </cell>
          <cell r="P99">
            <v>224835</v>
          </cell>
          <cell r="Q99">
            <v>28044</v>
          </cell>
          <cell r="R99">
            <v>0</v>
          </cell>
          <cell r="S99">
            <v>532720</v>
          </cell>
          <cell r="T99">
            <v>221172</v>
          </cell>
          <cell r="U99">
            <v>1516774.73</v>
          </cell>
          <cell r="V99">
            <v>0</v>
          </cell>
          <cell r="W99">
            <v>23375</v>
          </cell>
          <cell r="X99">
            <v>13209.05</v>
          </cell>
          <cell r="Y99">
            <v>10950</v>
          </cell>
          <cell r="Z99">
            <v>12731.88</v>
          </cell>
          <cell r="AA99">
            <v>13279.36</v>
          </cell>
          <cell r="AB99">
            <v>22757.1</v>
          </cell>
          <cell r="AC99">
            <v>12757.08</v>
          </cell>
          <cell r="AD99">
            <v>48.8</v>
          </cell>
          <cell r="AE99">
            <v>2475.75</v>
          </cell>
          <cell r="AF99">
            <v>0</v>
          </cell>
          <cell r="AG99">
            <v>0</v>
          </cell>
          <cell r="AH99">
            <v>60540.5</v>
          </cell>
          <cell r="AI99">
            <v>3000</v>
          </cell>
          <cell r="AJ99">
            <v>1020868.48</v>
          </cell>
          <cell r="AK99">
            <v>0</v>
          </cell>
          <cell r="AL99">
            <v>988490.77</v>
          </cell>
          <cell r="AM99">
            <v>52744.27</v>
          </cell>
          <cell r="AN99">
            <v>38355.199999999997</v>
          </cell>
          <cell r="AO99">
            <v>0</v>
          </cell>
          <cell r="AP99">
            <v>83231.41</v>
          </cell>
          <cell r="AQ99">
            <v>21535.439999999999</v>
          </cell>
          <cell r="AR99">
            <v>15599.79</v>
          </cell>
          <cell r="AS99">
            <v>25709.75</v>
          </cell>
          <cell r="AT99">
            <v>281.39999999999998</v>
          </cell>
          <cell r="AU99">
            <v>27560.400000000001</v>
          </cell>
          <cell r="AV99">
            <v>3014.96</v>
          </cell>
          <cell r="AW99">
            <v>2384.9699999999998</v>
          </cell>
          <cell r="AX99">
            <v>5468.9</v>
          </cell>
          <cell r="AY99">
            <v>21028.9</v>
          </cell>
          <cell r="AZ99">
            <v>0</v>
          </cell>
          <cell r="BA99">
            <v>11254.18</v>
          </cell>
          <cell r="BB99">
            <v>61413.84</v>
          </cell>
          <cell r="BC99">
            <v>13917.42</v>
          </cell>
          <cell r="BD99">
            <v>1053.92</v>
          </cell>
          <cell r="BE99">
            <v>7081.05</v>
          </cell>
          <cell r="BF99">
            <v>8582.15</v>
          </cell>
          <cell r="BG99">
            <v>0</v>
          </cell>
          <cell r="BH99">
            <v>22017.54</v>
          </cell>
          <cell r="BI99">
            <v>14519</v>
          </cell>
          <cell r="BJ99">
            <v>13097.26</v>
          </cell>
          <cell r="BK99">
            <v>27054.9</v>
          </cell>
          <cell r="BL99">
            <v>0</v>
          </cell>
          <cell r="BM99">
            <v>0</v>
          </cell>
          <cell r="BN99">
            <v>69816.34</v>
          </cell>
          <cell r="BO99">
            <v>24421.01</v>
          </cell>
        </row>
        <row r="101">
          <cell r="P101">
            <v>12889377</v>
          </cell>
          <cell r="S101">
            <v>155653467.13</v>
          </cell>
          <cell r="T101">
            <v>6537762</v>
          </cell>
          <cell r="U101">
            <v>15285526.440000001</v>
          </cell>
          <cell r="V101">
            <v>0</v>
          </cell>
          <cell r="W101">
            <v>10594925.969999995</v>
          </cell>
          <cell r="X101">
            <v>1601474.03</v>
          </cell>
          <cell r="Y101">
            <v>985548.92999999993</v>
          </cell>
          <cell r="Z101">
            <v>4476400.47</v>
          </cell>
          <cell r="AA101">
            <v>3278648.55</v>
          </cell>
          <cell r="AB101">
            <v>880364.85000000009</v>
          </cell>
          <cell r="AC101">
            <v>333153.15000000002</v>
          </cell>
          <cell r="AD101">
            <v>3553824.57</v>
          </cell>
          <cell r="AE101">
            <v>3850719.3299999996</v>
          </cell>
          <cell r="AF101">
            <v>56164.68</v>
          </cell>
          <cell r="AG101">
            <v>2143564.16</v>
          </cell>
          <cell r="AH101">
            <v>334995.61</v>
          </cell>
          <cell r="AI101">
            <v>4612961.5599999987</v>
          </cell>
          <cell r="AJ101">
            <v>94819728.860000029</v>
          </cell>
          <cell r="AK101">
            <v>576609.49999999988</v>
          </cell>
          <cell r="AL101">
            <v>39809700.20000001</v>
          </cell>
          <cell r="AM101">
            <v>4543717.1500000004</v>
          </cell>
          <cell r="AN101">
            <v>9285731.8300000001</v>
          </cell>
          <cell r="AO101">
            <v>385338.47</v>
          </cell>
          <cell r="AP101">
            <v>3879084.6399999992</v>
          </cell>
          <cell r="AQ101">
            <v>1487642.99</v>
          </cell>
          <cell r="AR101">
            <v>1088341.0999999999</v>
          </cell>
          <cell r="AS101">
            <v>1138153</v>
          </cell>
          <cell r="AT101">
            <v>300102.73000000004</v>
          </cell>
          <cell r="AU101">
            <v>3497695.6899999995</v>
          </cell>
          <cell r="AV101">
            <v>533813.89</v>
          </cell>
          <cell r="AW101">
            <v>2455725.8900000011</v>
          </cell>
          <cell r="AX101">
            <v>401413.31000000006</v>
          </cell>
          <cell r="AY101">
            <v>2621711.69</v>
          </cell>
          <cell r="AZ101">
            <v>802517.06</v>
          </cell>
          <cell r="BA101">
            <v>1452109.1699999995</v>
          </cell>
          <cell r="BB101">
            <v>8590192.6900000013</v>
          </cell>
          <cell r="BC101">
            <v>2236772.0299999989</v>
          </cell>
          <cell r="BD101">
            <v>758306.81</v>
          </cell>
          <cell r="BE101">
            <v>1810249.3599999999</v>
          </cell>
          <cell r="BF101">
            <v>942908.95</v>
          </cell>
          <cell r="BG101">
            <v>1002582.6200000003</v>
          </cell>
          <cell r="BH101">
            <v>8177833.169999999</v>
          </cell>
          <cell r="BI101">
            <v>5735268.7800000003</v>
          </cell>
          <cell r="BJ101">
            <v>9069808.700000003</v>
          </cell>
          <cell r="BK101">
            <v>4111048.6999999993</v>
          </cell>
          <cell r="BL101">
            <v>0</v>
          </cell>
          <cell r="BM101">
            <v>1437111.41</v>
          </cell>
          <cell r="BN101">
            <v>1981599.9000000001</v>
          </cell>
          <cell r="BO101">
            <v>368324.08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indexed="36"/>
  </sheetPr>
  <dimension ref="A1:U528"/>
  <sheetViews>
    <sheetView zoomScaleNormal="100" workbookViewId="0">
      <pane xSplit="2" ySplit="7" topLeftCell="C80" activePane="bottomRight" state="frozen"/>
      <selection pane="topRight" activeCell="C1" sqref="C1"/>
      <selection pane="bottomLeft" activeCell="A8" sqref="A8"/>
      <selection pane="bottomRight" activeCell="E14" sqref="E14"/>
    </sheetView>
  </sheetViews>
  <sheetFormatPr defaultRowHeight="12.75"/>
  <cols>
    <col min="1" max="1" width="38.5703125" customWidth="1"/>
    <col min="2" max="2" width="32.7109375" customWidth="1"/>
    <col min="3" max="7" width="18.85546875" customWidth="1"/>
    <col min="8" max="10" width="13.140625" customWidth="1"/>
    <col min="11" max="12" width="14.85546875" customWidth="1"/>
    <col min="17" max="20" width="11.28515625" customWidth="1"/>
  </cols>
  <sheetData>
    <row r="1" spans="1:21" ht="18.75" thickBot="1">
      <c r="A1" s="114" t="s">
        <v>1646</v>
      </c>
      <c r="B1" s="88"/>
      <c r="C1" s="88"/>
      <c r="D1" s="88"/>
      <c r="E1" s="88"/>
      <c r="F1" s="88"/>
      <c r="G1" s="88"/>
      <c r="H1" s="88"/>
      <c r="I1" s="88"/>
      <c r="J1" s="88"/>
      <c r="K1" s="88"/>
      <c r="R1" t="e">
        <f>VLOOKUP(C2,'All Schools Data view only'!A:DY,61,0)</f>
        <v>#N/A</v>
      </c>
    </row>
    <row r="2" spans="1:21" ht="19.5" thickTop="1" thickBot="1">
      <c r="A2" s="89"/>
      <c r="B2" s="3" t="s">
        <v>459</v>
      </c>
      <c r="C2" s="4">
        <f>VLOOKUP(C3,$B$411:$C$536,2,0)</f>
        <v>9999</v>
      </c>
      <c r="D2" s="4">
        <f>VLOOKUP(D3,$B$411:$C$536,2,0)</f>
        <v>9999</v>
      </c>
      <c r="E2" s="4">
        <f>VLOOKUP(E3,$B$411:$C$536,2,0)</f>
        <v>9999</v>
      </c>
      <c r="F2" s="4">
        <f>VLOOKUP(F3,$B$411:$C$536,2,0)</f>
        <v>9999</v>
      </c>
      <c r="G2" s="4">
        <f>VLOOKUP(G3,$B$411:$C$536,2,0)</f>
        <v>9999</v>
      </c>
    </row>
    <row r="3" spans="1:21" ht="42.75" customHeight="1" thickTop="1" thickBot="1">
      <c r="A3" s="616" t="s">
        <v>0</v>
      </c>
      <c r="B3" s="617"/>
      <c r="C3" s="122" t="s">
        <v>27</v>
      </c>
      <c r="D3" s="122" t="s">
        <v>27</v>
      </c>
      <c r="E3" s="122" t="s">
        <v>27</v>
      </c>
      <c r="F3" s="122" t="s">
        <v>27</v>
      </c>
      <c r="G3" s="122" t="s">
        <v>27</v>
      </c>
      <c r="H3" s="2"/>
      <c r="Q3">
        <v>1999</v>
      </c>
      <c r="R3">
        <v>5999</v>
      </c>
      <c r="S3">
        <v>6999</v>
      </c>
      <c r="T3">
        <v>7999</v>
      </c>
      <c r="U3">
        <v>8999</v>
      </c>
    </row>
    <row r="4" spans="1:21" ht="13.5" hidden="1" customHeight="1" thickTop="1"/>
    <row r="5" spans="1:21" ht="17.25" customHeight="1" thickTop="1" thickBot="1">
      <c r="B5" s="117" t="s">
        <v>406</v>
      </c>
      <c r="C5" s="121" t="str">
        <f>IF(ISERROR(VLOOKUP(C$2,'All Schools Data view only'!$A:$DY,58,0)),"",VLOOKUP(C$2,'All Schools Data view only'!$A:$DY,58,0))</f>
        <v/>
      </c>
      <c r="D5" s="121" t="str">
        <f>IF(ISERROR(VLOOKUP(D$2,'All Schools Data view only'!$A:$DY,58,0)),"",VLOOKUP(D$2,'All Schools Data view only'!$A:$DY,58,0))</f>
        <v/>
      </c>
      <c r="E5" s="121" t="str">
        <f>IF(ISERROR(VLOOKUP(E$2,'All Schools Data view only'!$A:$DY,58,0)),"",VLOOKUP(E$2,'All Schools Data view only'!$A:$DY,58,0))</f>
        <v/>
      </c>
      <c r="F5" s="121" t="str">
        <f>IF(ISERROR(VLOOKUP(F$2,'All Schools Data view only'!$A:$DY,58,0)),"",VLOOKUP(F$2,'All Schools Data view only'!$A:$DY,58,0))</f>
        <v/>
      </c>
      <c r="G5" s="121" t="str">
        <f>IF(ISERROR(VLOOKUP(G$2,'All Schools Data view only'!$A:$DY,58,0)),"",VLOOKUP(G$2,'All Schools Data view only'!$A:$DY,58,0))</f>
        <v/>
      </c>
      <c r="M5" s="120"/>
    </row>
    <row r="6" spans="1:21" ht="17.25" thickTop="1" thickBot="1">
      <c r="A6" s="5"/>
      <c r="B6" s="94"/>
      <c r="C6" s="423"/>
      <c r="D6" s="423"/>
      <c r="E6" s="423"/>
      <c r="F6" s="423"/>
      <c r="G6" s="423"/>
      <c r="H6" s="618" t="s">
        <v>460</v>
      </c>
      <c r="I6" s="619"/>
      <c r="J6" s="619"/>
      <c r="K6" s="619"/>
      <c r="L6" s="620"/>
    </row>
    <row r="7" spans="1:21" ht="49.15" customHeight="1" thickTop="1" thickBot="1">
      <c r="A7" s="118" t="s">
        <v>1</v>
      </c>
      <c r="B7" s="119" t="s">
        <v>2</v>
      </c>
      <c r="C7" s="107" t="s">
        <v>3</v>
      </c>
      <c r="D7" s="107" t="s">
        <v>3</v>
      </c>
      <c r="E7" s="107" t="s">
        <v>3</v>
      </c>
      <c r="F7" s="107" t="s">
        <v>3</v>
      </c>
      <c r="G7" s="107" t="s">
        <v>3</v>
      </c>
      <c r="H7" s="427" t="s">
        <v>4</v>
      </c>
      <c r="I7" s="428" t="s">
        <v>5</v>
      </c>
      <c r="J7" s="428" t="s">
        <v>6</v>
      </c>
      <c r="K7" s="518" t="s">
        <v>7</v>
      </c>
      <c r="L7" s="518" t="s">
        <v>694</v>
      </c>
    </row>
    <row r="8" spans="1:21" ht="16.5" thickTop="1">
      <c r="A8" s="6" t="s">
        <v>8</v>
      </c>
      <c r="B8" s="95"/>
      <c r="C8" s="108"/>
      <c r="D8" s="108"/>
      <c r="E8" s="108"/>
      <c r="F8" s="108"/>
      <c r="G8" s="108"/>
      <c r="H8" s="424"/>
      <c r="I8" s="425"/>
      <c r="J8" s="425"/>
      <c r="K8" s="426"/>
    </row>
    <row r="9" spans="1:21" ht="15.75">
      <c r="A9" s="90" t="s">
        <v>275</v>
      </c>
      <c r="B9" s="96" t="s">
        <v>9</v>
      </c>
      <c r="C9" s="109" t="str">
        <f>IF(ISERROR(VLOOKUP(C$2,'All Schools Data view only'!$A:$DY,62,0)),"",VLOOKUP(C$2,'All Schools Data view only'!$A:$DY,62,0))</f>
        <v/>
      </c>
      <c r="D9" s="109" t="str">
        <f>IF(ISERROR(VLOOKUP(D$2,'All Schools Data view only'!$A:$DY,62,0)),"",VLOOKUP(D$2,'All Schools Data view only'!$A:$DY,62,0))</f>
        <v/>
      </c>
      <c r="E9" s="109" t="str">
        <f>IF(ISERROR(VLOOKUP(E$2,'All Schools Data view only'!$A:$DY,62,0)),"",VLOOKUP(E$2,'All Schools Data view only'!$A:$DY,62,0))</f>
        <v/>
      </c>
      <c r="F9" s="109" t="str">
        <f>IF(ISERROR(VLOOKUP(F$2,'All Schools Data view only'!$A:$DY,62,0)),"",VLOOKUP(F$2,'All Schools Data view only'!$A:$DY,62,0))</f>
        <v/>
      </c>
      <c r="G9" s="109" t="str">
        <f>IF(ISERROR(VLOOKUP(G$2,'All Schools Data view only'!$A:$DY,62,0)),"",VLOOKUP(G$2,'All Schools Data view only'!$A:$DY,62,0))</f>
        <v/>
      </c>
      <c r="H9" s="102">
        <f>VLOOKUP(Q$3,'All Schools Data view only'!A:DY,62,0)</f>
        <v>0.62777685029894781</v>
      </c>
      <c r="I9" s="82">
        <f>VLOOKUP(R$3,'All Schools Data view only'!A:DY,62,0)</f>
        <v>0.78595470938385747</v>
      </c>
      <c r="J9" s="82">
        <f>VLOOKUP(S$3,'All Schools Data view only'!A:DY,62,0)</f>
        <v>0.69599692868099194</v>
      </c>
      <c r="K9" s="84">
        <f>VLOOKUP(T$3,'All Schools Data view only'!A:DY,62,0)</f>
        <v>0.34363517420957446</v>
      </c>
      <c r="L9" s="84">
        <f>VLOOKUP(U$3,'All Schools Data view only'!A:DY,62,0)</f>
        <v>0.58453294465971339</v>
      </c>
    </row>
    <row r="10" spans="1:21" ht="15.75">
      <c r="A10" s="6"/>
      <c r="B10" s="97" t="s">
        <v>10</v>
      </c>
      <c r="C10" s="110" t="str">
        <f>IF(ISERROR(VLOOKUP(C$2,'All Schools Data view only'!$A:$DY,63,0)),"",VLOOKUP(C$2,'All Schools Data view only'!$A:$DY,63,0))</f>
        <v/>
      </c>
      <c r="D10" s="110" t="str">
        <f>IF(ISERROR(VLOOKUP(D$2,'All Schools Data view only'!$A:$DY,63,0)),"",VLOOKUP(D$2,'All Schools Data view only'!$A:$DY,63,0))</f>
        <v/>
      </c>
      <c r="E10" s="110" t="str">
        <f>IF(ISERROR(VLOOKUP(E$2,'All Schools Data view only'!$A:$DY,63,0)),"",VLOOKUP(E$2,'All Schools Data view only'!$A:$DY,63,0))</f>
        <v/>
      </c>
      <c r="F10" s="110" t="str">
        <f>IF(ISERROR(VLOOKUP(F$2,'All Schools Data view only'!$A:$DY,63,0)),"",VLOOKUP(F$2,'All Schools Data view only'!$A:$DY,63,0))</f>
        <v/>
      </c>
      <c r="G10" s="110" t="str">
        <f>IF(ISERROR(VLOOKUP(G$2,'All Schools Data view only'!$A:$DY,63,0)),"",VLOOKUP(G$2,'All Schools Data view only'!$A:$DY,63,0))</f>
        <v/>
      </c>
      <c r="H10" s="103">
        <f>VLOOKUP(Q$3,'All Schools Data view only'!A:DY,63,0)</f>
        <v>4091.5664126016259</v>
      </c>
      <c r="I10" s="83">
        <f>VLOOKUP(R$3,'All Schools Data view only'!A:DY,63,0)</f>
        <v>4229.1507746862753</v>
      </c>
      <c r="J10" s="83">
        <f>VLOOKUP(S$3,'All Schools Data view only'!A:DY,63,0)</f>
        <v>5956.0323645181807</v>
      </c>
      <c r="K10" s="85">
        <f>VLOOKUP(T$3,'All Schools Data view only'!A:DY,63,0)</f>
        <v>8933.4771740184915</v>
      </c>
      <c r="L10" s="85">
        <f>VLOOKUP(U$3,'All Schools Data view only'!A:DY,63,0)</f>
        <v>16797.863888888889</v>
      </c>
    </row>
    <row r="11" spans="1:21" ht="15.75">
      <c r="A11" s="6"/>
      <c r="B11" s="95"/>
      <c r="C11" s="108"/>
      <c r="D11" s="108"/>
      <c r="E11" s="108"/>
      <c r="F11" s="108"/>
      <c r="G11" s="108"/>
      <c r="H11" s="101"/>
      <c r="I11" s="7"/>
      <c r="J11" s="7"/>
      <c r="K11" s="8"/>
      <c r="L11" s="8"/>
    </row>
    <row r="12" spans="1:21" ht="15.75">
      <c r="A12" s="90" t="s">
        <v>150</v>
      </c>
      <c r="B12" s="96" t="s">
        <v>9</v>
      </c>
      <c r="C12" s="109" t="str">
        <f>IF(ISERROR(VLOOKUP(C$2,'All Schools Data view only'!$A:$DY,64,0)),"",VLOOKUP(C$2,'All Schools Data view only'!$A:$DY,64,0))</f>
        <v/>
      </c>
      <c r="D12" s="109" t="str">
        <f>IF(ISERROR(VLOOKUP(D$2,'All Schools Data view only'!$A:$DY,64,0)),"",VLOOKUP(D$2,'All Schools Data view only'!$A:$DY,64,0))</f>
        <v/>
      </c>
      <c r="E12" s="109" t="str">
        <f>IF(ISERROR(VLOOKUP(E$2,'All Schools Data view only'!$A:$DY,64,0)),"",VLOOKUP(E$2,'All Schools Data view only'!$A:$DY,64,0))</f>
        <v/>
      </c>
      <c r="F12" s="109" t="str">
        <f>IF(ISERROR(VLOOKUP(F$2,'All Schools Data view only'!$A:$DY,64,0)),"",VLOOKUP(F$2,'All Schools Data view only'!$A:$DY,64,0))</f>
        <v/>
      </c>
      <c r="G12" s="109" t="str">
        <f>IF(ISERROR(VLOOKUP(G$2,'All Schools Data view only'!$A:$DY,64,0)),"",VLOOKUP(G$2,'All Schools Data view only'!$A:$DY,64,0))</f>
        <v/>
      </c>
      <c r="H12" s="102">
        <f>VLOOKUP(Q$3,'All Schools Data view only'!A:DY,64,0)</f>
        <v>0</v>
      </c>
      <c r="I12" s="82">
        <f>VLOOKUP(R$3,'All Schools Data view only'!A:DY,64,0)</f>
        <v>0</v>
      </c>
      <c r="J12" s="82">
        <f>VLOOKUP(S$3,'All Schools Data view only'!A:DY,64,0)</f>
        <v>0.1458198419852971</v>
      </c>
      <c r="K12" s="84">
        <f>VLOOKUP(T$3,'All Schools Data view only'!A:DY,64,0)</f>
        <v>5.5009626317469099E-2</v>
      </c>
      <c r="L12" s="84">
        <f>VLOOKUP(U$3,'All Schools Data view only'!A:DY,64,0)</f>
        <v>0</v>
      </c>
    </row>
    <row r="13" spans="1:21" ht="15.75">
      <c r="A13" s="90"/>
      <c r="B13" s="97" t="s">
        <v>10</v>
      </c>
      <c r="C13" s="110" t="str">
        <f>IF(ISERROR(VLOOKUP(C$2,'All Schools Data view only'!$A:$DY,65,0)),"",VLOOKUP(C$2,'All Schools Data view only'!$A:$DY,65,0))</f>
        <v/>
      </c>
      <c r="D13" s="110" t="str">
        <f>IF(ISERROR(VLOOKUP(D$2,'All Schools Data view only'!$A:$DY,65,0)),"",VLOOKUP(D$2,'All Schools Data view only'!$A:$DY,65,0))</f>
        <v/>
      </c>
      <c r="E13" s="110" t="str">
        <f>IF(ISERROR(VLOOKUP(E$2,'All Schools Data view only'!$A:$DY,65,0)),"",VLOOKUP(E$2,'All Schools Data view only'!$A:$DY,65,0))</f>
        <v/>
      </c>
      <c r="F13" s="110" t="str">
        <f>IF(ISERROR(VLOOKUP(F$2,'All Schools Data view only'!$A:$DY,65,0)),"",VLOOKUP(F$2,'All Schools Data view only'!$A:$DY,65,0))</f>
        <v/>
      </c>
      <c r="G13" s="110" t="str">
        <f>IF(ISERROR(VLOOKUP(G$2,'All Schools Data view only'!$A:$DY,65,0)),"",VLOOKUP(G$2,'All Schools Data view only'!$A:$DY,65,0))</f>
        <v/>
      </c>
      <c r="H13" s="103">
        <f>VLOOKUP(Q$3,'All Schools Data view only'!A:DY,65,0)</f>
        <v>0</v>
      </c>
      <c r="I13" s="83">
        <f>VLOOKUP(R$3,'All Schools Data view only'!A:DY,65,0)</f>
        <v>0</v>
      </c>
      <c r="J13" s="83">
        <f>VLOOKUP(S$3,'All Schools Data view only'!A:DY,65,0)</f>
        <v>1067.4937682955617</v>
      </c>
      <c r="K13" s="85">
        <f>VLOOKUP(T$3,'All Schools Data view only'!A:DY,65,0)</f>
        <v>1544.4231327358088</v>
      </c>
      <c r="L13" s="85">
        <f>VLOOKUP(U$3,'All Schools Data view only'!A:DY,65,0)</f>
        <v>0</v>
      </c>
    </row>
    <row r="14" spans="1:21" ht="15.75">
      <c r="A14" s="90"/>
      <c r="B14" s="97"/>
      <c r="C14" s="108"/>
      <c r="D14" s="108"/>
      <c r="E14" s="108"/>
      <c r="F14" s="108"/>
      <c r="G14" s="108"/>
      <c r="H14" s="101"/>
      <c r="I14" s="7"/>
      <c r="J14" s="7"/>
      <c r="K14" s="8"/>
      <c r="L14" s="8"/>
    </row>
    <row r="15" spans="1:21" ht="15.75">
      <c r="A15" s="90" t="s">
        <v>151</v>
      </c>
      <c r="B15" s="96" t="s">
        <v>9</v>
      </c>
      <c r="C15" s="109" t="str">
        <f>IF(ISERROR(VLOOKUP(C$2,'All Schools Data view only'!$A:$DY,66,0)),"",VLOOKUP(C$2,'All Schools Data view only'!$A:$DY,66,0))</f>
        <v/>
      </c>
      <c r="D15" s="109" t="str">
        <f>IF(ISERROR(VLOOKUP(D$2,'All Schools Data view only'!$A:$DY,66,0)),"",VLOOKUP(D$2,'All Schools Data view only'!$A:$DY,66,0))</f>
        <v/>
      </c>
      <c r="E15" s="109" t="str">
        <f>IF(ISERROR(VLOOKUP(E$2,'All Schools Data view only'!$A:$DY,66,0)),"",VLOOKUP(E$2,'All Schools Data view only'!$A:$DY,66,0))</f>
        <v/>
      </c>
      <c r="F15" s="109" t="str">
        <f>IF(ISERROR(VLOOKUP(F$2,'All Schools Data view only'!$A:$DY,66,0)),"",VLOOKUP(F$2,'All Schools Data view only'!$A:$DY,66,0))</f>
        <v/>
      </c>
      <c r="G15" s="109" t="str">
        <f>IF(ISERROR(VLOOKUP(G$2,'All Schools Data view only'!$A:$DY,66,0)),"",VLOOKUP(G$2,'All Schools Data view only'!$A:$DY,66,0))</f>
        <v/>
      </c>
      <c r="H15" s="102">
        <f>VLOOKUP(Q$3,'All Schools Data view only'!A:DY,66,0)</f>
        <v>1.1916241679071342E-3</v>
      </c>
      <c r="I15" s="82">
        <f>VLOOKUP(R$3,'All Schools Data view only'!A:DY,66,0)</f>
        <v>4.0789270530019621E-2</v>
      </c>
      <c r="J15" s="82">
        <f>VLOOKUP(S$3,'All Schools Data view only'!A:DY,66,0)</f>
        <v>3.6823137119607073E-2</v>
      </c>
      <c r="K15" s="84">
        <f>VLOOKUP(T$3,'All Schools Data view only'!A:DY,66,0)</f>
        <v>0.50137418211413665</v>
      </c>
      <c r="L15" s="84">
        <f>VLOOKUP(U$3,'All Schools Data view only'!A:DY,66,0)</f>
        <v>0.20144194056754391</v>
      </c>
    </row>
    <row r="16" spans="1:21" ht="15.75">
      <c r="A16" s="90"/>
      <c r="B16" s="97" t="s">
        <v>10</v>
      </c>
      <c r="C16" s="110" t="str">
        <f>IF(ISERROR(VLOOKUP(C$2,'All Schools Data view only'!$A:$DY,67,0)),"",VLOOKUP(C$2,'All Schools Data view only'!$A:$DY,67,0))</f>
        <v/>
      </c>
      <c r="D16" s="110" t="str">
        <f>IF(ISERROR(VLOOKUP(D$2,'All Schools Data view only'!$A:$DY,67,0)),"",VLOOKUP(D$2,'All Schools Data view only'!$A:$DY,67,0))</f>
        <v/>
      </c>
      <c r="E16" s="110" t="str">
        <f>IF(ISERROR(VLOOKUP(E$2,'All Schools Data view only'!$A:$DY,67,0)),"",VLOOKUP(E$2,'All Schools Data view only'!$A:$DY,67,0))</f>
        <v/>
      </c>
      <c r="F16" s="110" t="str">
        <f>IF(ISERROR(VLOOKUP(F$2,'All Schools Data view only'!$A:$DY,67,0)),"",VLOOKUP(F$2,'All Schools Data view only'!$A:$DY,67,0))</f>
        <v/>
      </c>
      <c r="G16" s="110" t="str">
        <f>IF(ISERROR(VLOOKUP(G$2,'All Schools Data view only'!$A:$DY,67,0)),"",VLOOKUP(G$2,'All Schools Data view only'!$A:$DY,67,0))</f>
        <v/>
      </c>
      <c r="H16" s="103">
        <f>VLOOKUP(Q$3,'All Schools Data view only'!A:DY,67,0)</f>
        <v>7.0975609756097562</v>
      </c>
      <c r="I16" s="83">
        <f>VLOOKUP(R$3,'All Schools Data view only'!A:DY,67,0)</f>
        <v>229.27327974081265</v>
      </c>
      <c r="J16" s="83">
        <f>VLOOKUP(S$3,'All Schools Data view only'!A:DY,67,0)</f>
        <v>308.3427293979089</v>
      </c>
      <c r="K16" s="85">
        <f>VLOOKUP(T$3,'All Schools Data view only'!A:DY,67,0)</f>
        <v>13730.703678101501</v>
      </c>
      <c r="L16" s="85">
        <f>VLOOKUP(U$3,'All Schools Data view only'!A:DY,67,0)</f>
        <v>5604.625</v>
      </c>
    </row>
    <row r="17" spans="1:12" ht="15.75">
      <c r="A17" s="90"/>
      <c r="B17" s="97"/>
      <c r="C17" s="108"/>
      <c r="D17" s="108"/>
      <c r="E17" s="108"/>
      <c r="F17" s="108"/>
      <c r="G17" s="108"/>
      <c r="H17" s="101"/>
      <c r="I17" s="7"/>
      <c r="J17" s="7"/>
      <c r="K17" s="8"/>
      <c r="L17" s="8"/>
    </row>
    <row r="18" spans="1:12" ht="15.75">
      <c r="A18" s="90" t="s">
        <v>152</v>
      </c>
      <c r="B18" s="96" t="s">
        <v>9</v>
      </c>
      <c r="C18" s="109" t="str">
        <f>IF(ISERROR(VLOOKUP(C$2,'All Schools Data view only'!$A:$DY,68,0)),"",VLOOKUP(C$2,'All Schools Data view only'!$A:$DY,68,0))</f>
        <v/>
      </c>
      <c r="D18" s="109" t="str">
        <f>IF(ISERROR(VLOOKUP(D$2,'All Schools Data view only'!$A:$DY,68,0)),"",VLOOKUP(D$2,'All Schools Data view only'!$A:$DY,68,0))</f>
        <v/>
      </c>
      <c r="E18" s="109" t="str">
        <f>IF(ISERROR(VLOOKUP(E$2,'All Schools Data view only'!$A:$DY,68,0)),"",VLOOKUP(E$2,'All Schools Data view only'!$A:$DY,68,0))</f>
        <v/>
      </c>
      <c r="F18" s="109" t="str">
        <f>IF(ISERROR(VLOOKUP(F$2,'All Schools Data view only'!$A:$DY,68,0)),"",VLOOKUP(F$2,'All Schools Data view only'!$A:$DY,68,0))</f>
        <v/>
      </c>
      <c r="G18" s="109" t="str">
        <f>IF(ISERROR(VLOOKUP(G$2,'All Schools Data view only'!$A:$DY,68,0)),"",VLOOKUP(G$2,'All Schools Data view only'!$A:$DY,68,0))</f>
        <v/>
      </c>
      <c r="H18" s="102">
        <f>VLOOKUP(Q$3,'All Schools Data view only'!A:DY,68,0)</f>
        <v>0</v>
      </c>
      <c r="I18" s="82">
        <f>VLOOKUP(R$3,'All Schools Data view only'!A:DY,68,0)</f>
        <v>0</v>
      </c>
      <c r="J18" s="82">
        <f>VLOOKUP(S$3,'All Schools Data view only'!A:DY,68,0)</f>
        <v>0</v>
      </c>
      <c r="K18" s="84">
        <f>VLOOKUP(T$3,'All Schools Data view only'!A:DY,68,0)</f>
        <v>0</v>
      </c>
      <c r="L18" s="84">
        <f>VLOOKUP(U$3,'All Schools Data view only'!A:DY,68,0)</f>
        <v>0</v>
      </c>
    </row>
    <row r="19" spans="1:12" ht="15.75">
      <c r="A19" s="90"/>
      <c r="B19" s="97" t="s">
        <v>10</v>
      </c>
      <c r="C19" s="110" t="str">
        <f>IF(ISERROR(VLOOKUP(C$2,'All Schools Data view only'!$A:$DY,69,0)),"",VLOOKUP(C$2,'All Schools Data view only'!$A:$DY,69,0))</f>
        <v/>
      </c>
      <c r="D19" s="110" t="str">
        <f>IF(ISERROR(VLOOKUP(D$2,'All Schools Data view only'!$A:$DY,69,0)),"",VLOOKUP(D$2,'All Schools Data view only'!$A:$DY,69,0))</f>
        <v/>
      </c>
      <c r="E19" s="110" t="str">
        <f>IF(ISERROR(VLOOKUP(E$2,'All Schools Data view only'!$A:$DY,69,0)),"",VLOOKUP(E$2,'All Schools Data view only'!$A:$DY,69,0))</f>
        <v/>
      </c>
      <c r="F19" s="110" t="str">
        <f>IF(ISERROR(VLOOKUP(F$2,'All Schools Data view only'!$A:$DY,69,0)),"",VLOOKUP(F$2,'All Schools Data view only'!$A:$DY,69,0))</f>
        <v/>
      </c>
      <c r="G19" s="110" t="str">
        <f>IF(ISERROR(VLOOKUP(G$2,'All Schools Data view only'!$A:$DY,69,0)),"",VLOOKUP(G$2,'All Schools Data view only'!$A:$DY,69,0))</f>
        <v/>
      </c>
      <c r="H19" s="103">
        <f>VLOOKUP(Q$3,'All Schools Data view only'!A:DY,69,0)</f>
        <v>0</v>
      </c>
      <c r="I19" s="83">
        <f>VLOOKUP(R$3,'All Schools Data view only'!A:DY,69,0)</f>
        <v>0</v>
      </c>
      <c r="J19" s="83">
        <f>VLOOKUP(S$3,'All Schools Data view only'!A:DY,69,0)</f>
        <v>0</v>
      </c>
      <c r="K19" s="85">
        <f>VLOOKUP(T$3,'All Schools Data view only'!A:DY,69,0)</f>
        <v>0</v>
      </c>
      <c r="L19" s="85">
        <f>VLOOKUP(U$3,'All Schools Data view only'!A:DY,69,0)</f>
        <v>0</v>
      </c>
    </row>
    <row r="20" spans="1:12" ht="15.75">
      <c r="A20" s="90"/>
      <c r="B20" s="97"/>
      <c r="C20" s="108"/>
      <c r="D20" s="108"/>
      <c r="E20" s="108"/>
      <c r="F20" s="108"/>
      <c r="G20" s="108"/>
      <c r="H20" s="101"/>
      <c r="I20" s="7"/>
      <c r="J20" s="7"/>
      <c r="K20" s="8"/>
      <c r="L20" s="8"/>
    </row>
    <row r="21" spans="1:12" ht="15.75">
      <c r="A21" s="90" t="s">
        <v>457</v>
      </c>
      <c r="B21" s="96" t="s">
        <v>9</v>
      </c>
      <c r="C21" s="109" t="str">
        <f>IF(ISERROR(VLOOKUP(C$2,'All Schools Data view only'!$A:$DY,70,0)),"",VLOOKUP(C$2,'All Schools Data view only'!$A:$DY,70,0))</f>
        <v/>
      </c>
      <c r="D21" s="109" t="str">
        <f>IF(ISERROR(VLOOKUP(D$2,'All Schools Data view only'!$A:$DY,70,0)),"",VLOOKUP(D$2,'All Schools Data view only'!$A:$DY,70,0))</f>
        <v/>
      </c>
      <c r="E21" s="109" t="str">
        <f>IF(ISERROR(VLOOKUP(E$2,'All Schools Data view only'!$A:$DY,70,0)),"",VLOOKUP(E$2,'All Schools Data view only'!$A:$DY,70,0))</f>
        <v/>
      </c>
      <c r="F21" s="109" t="str">
        <f>IF(ISERROR(VLOOKUP(F$2,'All Schools Data view only'!$A:$DY,70,0)),"",VLOOKUP(F$2,'All Schools Data view only'!$A:$DY,70,0))</f>
        <v/>
      </c>
      <c r="G21" s="109" t="str">
        <f>IF(ISERROR(VLOOKUP(G$2,'All Schools Data view only'!$A:$DY,70,0)),"",VLOOKUP(G$2,'All Schools Data view only'!$A:$DY,70,0))</f>
        <v/>
      </c>
      <c r="H21" s="102">
        <f>VLOOKUP(Q$3,'All Schools Data view only'!A:DY,70,0)</f>
        <v>8.0338088384108617E-4</v>
      </c>
      <c r="I21" s="82">
        <f>VLOOKUP(R$3,'All Schools Data view only'!A:DY,70,0)</f>
        <v>5.2707699730701212E-2</v>
      </c>
      <c r="J21" s="82">
        <f>VLOOKUP(S$3,'All Schools Data view only'!A:DY,70,0)</f>
        <v>3.3656938003154287E-2</v>
      </c>
      <c r="K21" s="84">
        <f>VLOOKUP(T$3,'All Schools Data view only'!A:DY,70,0)</f>
        <v>1.6517522349337614E-2</v>
      </c>
      <c r="L21" s="84">
        <f>VLOOKUP(U$3,'All Schools Data view only'!A:DY,70,0)</f>
        <v>4.4810520156348191E-2</v>
      </c>
    </row>
    <row r="22" spans="1:12" ht="15.75">
      <c r="A22" s="90"/>
      <c r="B22" s="97" t="s">
        <v>10</v>
      </c>
      <c r="C22" s="110" t="str">
        <f>IF(ISERROR(VLOOKUP(C$2,'All Schools Data view only'!$A:$DY,71,0)),"",VLOOKUP(C$2,'All Schools Data view only'!$A:$DY,71,0))</f>
        <v/>
      </c>
      <c r="D22" s="110" t="str">
        <f>IF(ISERROR(VLOOKUP(D$2,'All Schools Data view only'!$A:$DY,71,0)),"",VLOOKUP(D$2,'All Schools Data view only'!$A:$DY,71,0))</f>
        <v/>
      </c>
      <c r="E22" s="110" t="str">
        <f>IF(ISERROR(VLOOKUP(E$2,'All Schools Data view only'!$A:$DY,71,0)),"",VLOOKUP(E$2,'All Schools Data view only'!$A:$DY,71,0))</f>
        <v/>
      </c>
      <c r="F22" s="110" t="str">
        <f>IF(ISERROR(VLOOKUP(F$2,'All Schools Data view only'!$A:$DY,71,0)),"",VLOOKUP(F$2,'All Schools Data view only'!$A:$DY,71,0))</f>
        <v/>
      </c>
      <c r="G22" s="110" t="str">
        <f>IF(ISERROR(VLOOKUP(G$2,'All Schools Data view only'!$A:$DY,71,0)),"",VLOOKUP(G$2,'All Schools Data view only'!$A:$DY,71,0))</f>
        <v/>
      </c>
      <c r="H22" s="103">
        <f>VLOOKUP(Q$3,'All Schools Data view only'!A:DY,71,0)</f>
        <v>6.0975609756097562</v>
      </c>
      <c r="I22" s="83">
        <f>VLOOKUP(R$3,'All Schools Data view only'!A:DY,71,0)</f>
        <v>293.66680316691287</v>
      </c>
      <c r="J22" s="83">
        <f>VLOOKUP(S$3,'All Schools Data view only'!A:DY,71,0)</f>
        <v>310.33302085712046</v>
      </c>
      <c r="K22" s="85">
        <f>VLOOKUP(T$3,'All Schools Data view only'!A:DY,71,0)</f>
        <v>417.79970101568892</v>
      </c>
      <c r="L22" s="85">
        <f>VLOOKUP(U$3,'All Schools Data view only'!A:DY,71,0)</f>
        <v>1267.1305277777778</v>
      </c>
    </row>
    <row r="23" spans="1:12" ht="15.75">
      <c r="A23" s="90"/>
      <c r="B23" s="97"/>
      <c r="C23" s="108"/>
      <c r="D23" s="108"/>
      <c r="E23" s="108"/>
      <c r="F23" s="108"/>
      <c r="G23" s="108"/>
      <c r="H23" s="101"/>
      <c r="I23" s="7"/>
      <c r="J23" s="7"/>
      <c r="K23" s="8"/>
      <c r="L23" s="8"/>
    </row>
    <row r="24" spans="1:12" ht="15.75">
      <c r="A24" s="90" t="s">
        <v>154</v>
      </c>
      <c r="B24" s="96" t="s">
        <v>9</v>
      </c>
      <c r="C24" s="109" t="str">
        <f>IF(ISERROR(VLOOKUP(C$2,'All Schools Data view only'!$A:$DY,72,0)),"",VLOOKUP(C$2,'All Schools Data view only'!$A:$DY,72,0))</f>
        <v/>
      </c>
      <c r="D24" s="109" t="str">
        <f>IF(ISERROR(VLOOKUP(D$2,'All Schools Data view only'!$A:$DY,72,0)),"",VLOOKUP(D$2,'All Schools Data view only'!$A:$DY,72,0))</f>
        <v/>
      </c>
      <c r="E24" s="109" t="str">
        <f>IF(ISERROR(VLOOKUP(E$2,'All Schools Data view only'!$A:$DY,72,0)),"",VLOOKUP(E$2,'All Schools Data view only'!$A:$DY,72,0))</f>
        <v/>
      </c>
      <c r="F24" s="109" t="str">
        <f>IF(ISERROR(VLOOKUP(F$2,'All Schools Data view only'!$A:$DY,72,0)),"",VLOOKUP(F$2,'All Schools Data view only'!$A:$DY,72,0))</f>
        <v/>
      </c>
      <c r="G24" s="109" t="str">
        <f>IF(ISERROR(VLOOKUP(G$2,'All Schools Data view only'!$A:$DY,72,0)),"",VLOOKUP(G$2,'All Schools Data view only'!$A:$DY,72,0))</f>
        <v/>
      </c>
      <c r="H24" s="102">
        <f>VLOOKUP(Q$3,'All Schools Data view only'!A:DY,72,0)</f>
        <v>6.3889785140785263E-2</v>
      </c>
      <c r="I24" s="82">
        <f>VLOOKUP(R$3,'All Schools Data view only'!A:DY,72,0)</f>
        <v>3.228423437149153E-3</v>
      </c>
      <c r="J24" s="82">
        <f>VLOOKUP(S$3,'All Schools Data view only'!A:DY,72,0)</f>
        <v>1.2117593740279512E-2</v>
      </c>
      <c r="K24" s="84">
        <f>VLOOKUP(T$3,'All Schools Data view only'!A:DY,72,0)</f>
        <v>1.874075124720205E-2</v>
      </c>
      <c r="L24" s="84">
        <f>VLOOKUP(U$3,'All Schools Data view only'!A:DY,72,0)</f>
        <v>0.13549726288198274</v>
      </c>
    </row>
    <row r="25" spans="1:12" ht="15.75">
      <c r="A25" s="90"/>
      <c r="B25" s="97" t="s">
        <v>10</v>
      </c>
      <c r="C25" s="110" t="str">
        <f>IF(ISERROR(VLOOKUP(C$2,'All Schools Data view only'!$A:$DY,73,0)),"",VLOOKUP(C$2,'All Schools Data view only'!$A:$DY,73,0))</f>
        <v/>
      </c>
      <c r="D25" s="110" t="str">
        <f>IF(ISERROR(VLOOKUP(D$2,'All Schools Data view only'!$A:$DY,73,0)),"",VLOOKUP(D$2,'All Schools Data view only'!$A:$DY,73,0))</f>
        <v/>
      </c>
      <c r="E25" s="110" t="str">
        <f>IF(ISERROR(VLOOKUP(E$2,'All Schools Data view only'!$A:$DY,73,0)),"",VLOOKUP(E$2,'All Schools Data view only'!$A:$DY,73,0))</f>
        <v/>
      </c>
      <c r="F25" s="110" t="str">
        <f>IF(ISERROR(VLOOKUP(F$2,'All Schools Data view only'!$A:$DY,73,0)),"",VLOOKUP(F$2,'All Schools Data view only'!$A:$DY,73,0))</f>
        <v/>
      </c>
      <c r="G25" s="110" t="str">
        <f>IF(ISERROR(VLOOKUP(G$2,'All Schools Data view only'!$A:$DY,73,0)),"",VLOOKUP(G$2,'All Schools Data view only'!$A:$DY,73,0))</f>
        <v/>
      </c>
      <c r="H25" s="103">
        <f>VLOOKUP(Q$3,'All Schools Data view only'!A:DY,73,0)</f>
        <v>437.73461890243897</v>
      </c>
      <c r="I25" s="83">
        <f>VLOOKUP(R$3,'All Schools Data view only'!A:DY,73,0)</f>
        <v>18.161250345060242</v>
      </c>
      <c r="J25" s="83">
        <f>VLOOKUP(S$3,'All Schools Data view only'!A:DY,73,0)</f>
        <v>92.150245485995029</v>
      </c>
      <c r="K25" s="85">
        <f>VLOOKUP(T$3,'All Schools Data view only'!A:DY,73,0)</f>
        <v>498.58862263714286</v>
      </c>
      <c r="L25" s="85">
        <f>VLOOKUP(U$3,'All Schools Data view only'!A:DY,73,0)</f>
        <v>3987.1556666666665</v>
      </c>
    </row>
    <row r="26" spans="1:12" ht="15.75">
      <c r="A26" s="90"/>
      <c r="B26" s="97"/>
      <c r="C26" s="108"/>
      <c r="D26" s="108"/>
      <c r="E26" s="108"/>
      <c r="F26" s="108"/>
      <c r="G26" s="108"/>
      <c r="H26" s="101"/>
      <c r="I26" s="7"/>
      <c r="J26" s="7"/>
      <c r="K26" s="8"/>
      <c r="L26" s="8"/>
    </row>
    <row r="27" spans="1:12" ht="15.75">
      <c r="A27" s="90" t="s">
        <v>155</v>
      </c>
      <c r="B27" s="96" t="s">
        <v>9</v>
      </c>
      <c r="C27" s="109" t="str">
        <f>IF(ISERROR(VLOOKUP(C$2,'All Schools Data view only'!$A:$DY,74,0)),"",VLOOKUP(C$2,'All Schools Data view only'!$A:$DY,74,0))</f>
        <v/>
      </c>
      <c r="D27" s="109" t="str">
        <f>IF(ISERROR(VLOOKUP(D$2,'All Schools Data view only'!$A:$DY,74,0)),"",VLOOKUP(D$2,'All Schools Data view only'!$A:$DY,74,0))</f>
        <v/>
      </c>
      <c r="E27" s="109" t="str">
        <f>IF(ISERROR(VLOOKUP(E$2,'All Schools Data view only'!$A:$DY,74,0)),"",VLOOKUP(E$2,'All Schools Data view only'!$A:$DY,74,0))</f>
        <v/>
      </c>
      <c r="F27" s="109" t="str">
        <f>IF(ISERROR(VLOOKUP(F$2,'All Schools Data view only'!$A:$DY,74,0)),"",VLOOKUP(F$2,'All Schools Data view only'!$A:$DY,74,0))</f>
        <v/>
      </c>
      <c r="G27" s="109" t="str">
        <f>IF(ISERROR(VLOOKUP(G$2,'All Schools Data view only'!$A:$DY,74,0)),"",VLOOKUP(G$2,'All Schools Data view only'!$A:$DY,74,0))</f>
        <v/>
      </c>
      <c r="H27" s="102">
        <f>VLOOKUP(Q$3,'All Schools Data view only'!A:DY,74,0)</f>
        <v>7.6577030671390843E-3</v>
      </c>
      <c r="I27" s="82">
        <f>VLOOKUP(R$3,'All Schools Data view only'!A:DY,74,0)</f>
        <v>4.0231184974941292E-3</v>
      </c>
      <c r="J27" s="82">
        <f>VLOOKUP(S$3,'All Schools Data view only'!A:DY,74,0)</f>
        <v>9.5311630866545371E-4</v>
      </c>
      <c r="K27" s="84">
        <f>VLOOKUP(T$3,'All Schools Data view only'!A:DY,74,0)</f>
        <v>2.2524460103362509E-2</v>
      </c>
      <c r="L27" s="84">
        <f>VLOOKUP(U$3,'All Schools Data view only'!A:DY,74,0)</f>
        <v>9.5540195562038126E-3</v>
      </c>
    </row>
    <row r="28" spans="1:12" ht="15.75">
      <c r="A28" s="90"/>
      <c r="B28" s="97" t="s">
        <v>10</v>
      </c>
      <c r="C28" s="110" t="str">
        <f>IF(ISERROR(VLOOKUP(C$2,'All Schools Data view only'!$A:$DY,75,0)),"",VLOOKUP(C$2,'All Schools Data view only'!$A:$DY,75,0))</f>
        <v/>
      </c>
      <c r="D28" s="110" t="str">
        <f>IF(ISERROR(VLOOKUP(D$2,'All Schools Data view only'!$A:$DY,75,0)),"",VLOOKUP(D$2,'All Schools Data view only'!$A:$DY,75,0))</f>
        <v/>
      </c>
      <c r="E28" s="110" t="str">
        <f>IF(ISERROR(VLOOKUP(E$2,'All Schools Data view only'!$A:$DY,75,0)),"",VLOOKUP(E$2,'All Schools Data view only'!$A:$DY,75,0))</f>
        <v/>
      </c>
      <c r="F28" s="110" t="str">
        <f>IF(ISERROR(VLOOKUP(F$2,'All Schools Data view only'!$A:$DY,75,0)),"",VLOOKUP(F$2,'All Schools Data view only'!$A:$DY,75,0))</f>
        <v/>
      </c>
      <c r="G28" s="110" t="str">
        <f>IF(ISERROR(VLOOKUP(G$2,'All Schools Data view only'!$A:$DY,75,0)),"",VLOOKUP(G$2,'All Schools Data view only'!$A:$DY,75,0))</f>
        <v/>
      </c>
      <c r="H28" s="103">
        <f>VLOOKUP(Q$3,'All Schools Data view only'!A:DY,75,0)</f>
        <v>52.782723577235771</v>
      </c>
      <c r="I28" s="83">
        <f>VLOOKUP(R$3,'All Schools Data view only'!A:DY,75,0)</f>
        <v>22.339121878273257</v>
      </c>
      <c r="J28" s="83">
        <f>VLOOKUP(S$3,'All Schools Data view only'!A:DY,75,0)</f>
        <v>6.5427426460873521</v>
      </c>
      <c r="K28" s="85">
        <f>VLOOKUP(T$3,'All Schools Data view only'!A:DY,75,0)</f>
        <v>552.89849310182296</v>
      </c>
      <c r="L28" s="85">
        <f>VLOOKUP(U$3,'All Schools Data view only'!A:DY,75,0)</f>
        <v>273.27966666666669</v>
      </c>
    </row>
    <row r="29" spans="1:12" ht="15.75">
      <c r="A29" s="90"/>
      <c r="B29" s="97"/>
      <c r="C29" s="108"/>
      <c r="D29" s="108"/>
      <c r="E29" s="108"/>
      <c r="F29" s="108"/>
      <c r="G29" s="108"/>
      <c r="H29" s="101"/>
      <c r="I29" s="7"/>
      <c r="J29" s="7"/>
      <c r="K29" s="8"/>
      <c r="L29" s="8"/>
    </row>
    <row r="30" spans="1:12" ht="15.75">
      <c r="A30" s="90" t="s">
        <v>156</v>
      </c>
      <c r="B30" s="96" t="s">
        <v>9</v>
      </c>
      <c r="C30" s="109" t="str">
        <f>IF(ISERROR(VLOOKUP(C$2,'All Schools Data view only'!$A:$DY,76,0)),"",VLOOKUP(C$2,'All Schools Data view only'!$A:$DY,76,0))</f>
        <v/>
      </c>
      <c r="D30" s="109" t="str">
        <f>IF(ISERROR(VLOOKUP(D$2,'All Schools Data view only'!$A:$DY,76,0)),"",VLOOKUP(D$2,'All Schools Data view only'!$A:$DY,76,0))</f>
        <v/>
      </c>
      <c r="E30" s="109" t="str">
        <f>IF(ISERROR(VLOOKUP(E$2,'All Schools Data view only'!$A:$DY,76,0)),"",VLOOKUP(E$2,'All Schools Data view only'!$A:$DY,76,0))</f>
        <v/>
      </c>
      <c r="F30" s="109" t="str">
        <f>IF(ISERROR(VLOOKUP(F$2,'All Schools Data view only'!$A:$DY,76,0)),"",VLOOKUP(F$2,'All Schools Data view only'!$A:$DY,76,0))</f>
        <v/>
      </c>
      <c r="G30" s="109" t="str">
        <f>IF(ISERROR(VLOOKUP(G$2,'All Schools Data view only'!$A:$DY,76,0)),"",VLOOKUP(G$2,'All Schools Data view only'!$A:$DY,76,0))</f>
        <v/>
      </c>
      <c r="H30" s="102">
        <f>VLOOKUP(Q$3,'All Schools Data view only'!A:DY,76,0)</f>
        <v>0.26842698624144706</v>
      </c>
      <c r="I30" s="82">
        <f>VLOOKUP(R$3,'All Schools Data view only'!A:DY,76,0)</f>
        <v>2.0595346441591205E-2</v>
      </c>
      <c r="J30" s="82">
        <f>VLOOKUP(S$3,'All Schools Data view only'!A:DY,76,0)</f>
        <v>1.2809710997373571E-2</v>
      </c>
      <c r="K30" s="84">
        <f>VLOOKUP(T$3,'All Schools Data view only'!A:DY,76,0)</f>
        <v>1.5834608371013442E-2</v>
      </c>
      <c r="L30" s="84">
        <f>VLOOKUP(U$3,'All Schools Data view only'!A:DY,76,0)</f>
        <v>1.7001888228490868E-2</v>
      </c>
    </row>
    <row r="31" spans="1:12" ht="15.75">
      <c r="A31" s="90"/>
      <c r="B31" s="97" t="s">
        <v>10</v>
      </c>
      <c r="C31" s="110" t="str">
        <f>IF(ISERROR(VLOOKUP(C$2,'All Schools Data view only'!$A:$DY,77,0)),"",VLOOKUP(C$2,'All Schools Data view only'!$A:$DY,77,0))</f>
        <v/>
      </c>
      <c r="D31" s="110" t="str">
        <f>IF(ISERROR(VLOOKUP(D$2,'All Schools Data view only'!$A:$DY,77,0)),"",VLOOKUP(D$2,'All Schools Data view only'!$A:$DY,77,0))</f>
        <v/>
      </c>
      <c r="E31" s="110" t="str">
        <f>IF(ISERROR(VLOOKUP(E$2,'All Schools Data view only'!$A:$DY,77,0)),"",VLOOKUP(E$2,'All Schools Data view only'!$A:$DY,77,0))</f>
        <v/>
      </c>
      <c r="F31" s="110" t="str">
        <f>IF(ISERROR(VLOOKUP(F$2,'All Schools Data view only'!$A:$DY,77,0)),"",VLOOKUP(F$2,'All Schools Data view only'!$A:$DY,77,0))</f>
        <v/>
      </c>
      <c r="G31" s="110" t="str">
        <f>IF(ISERROR(VLOOKUP(G$2,'All Schools Data view only'!$A:$DY,77,0)),"",VLOOKUP(G$2,'All Schools Data view only'!$A:$DY,77,0))</f>
        <v/>
      </c>
      <c r="H31" s="103">
        <f>VLOOKUP(Q$3,'All Schools Data view only'!A:DY,77,0)</f>
        <v>1749.3691742886181</v>
      </c>
      <c r="I31" s="83">
        <f>VLOOKUP(R$3,'All Schools Data view only'!A:DY,77,0)</f>
        <v>111.37675916377165</v>
      </c>
      <c r="J31" s="83">
        <f>VLOOKUP(S$3,'All Schools Data view only'!A:DY,77,0)</f>
        <v>159.42874290060462</v>
      </c>
      <c r="K31" s="85">
        <f>VLOOKUP(T$3,'All Schools Data view only'!A:DY,77,0)</f>
        <v>396.07593976287643</v>
      </c>
      <c r="L31" s="85">
        <f>VLOOKUP(U$3,'All Schools Data view only'!A:DY,77,0)</f>
        <v>472.79974999999996</v>
      </c>
    </row>
    <row r="32" spans="1:12" ht="15.75">
      <c r="A32" s="90"/>
      <c r="B32" s="97"/>
      <c r="C32" s="108"/>
      <c r="D32" s="108"/>
      <c r="E32" s="108"/>
      <c r="F32" s="108"/>
      <c r="G32" s="108"/>
      <c r="H32" s="101"/>
      <c r="I32" s="7"/>
      <c r="J32" s="7"/>
      <c r="K32" s="8"/>
      <c r="L32" s="8"/>
    </row>
    <row r="33" spans="1:12" ht="15.75">
      <c r="A33" s="90" t="s">
        <v>160</v>
      </c>
      <c r="B33" s="96" t="s">
        <v>9</v>
      </c>
      <c r="C33" s="109" t="str">
        <f>IF(ISERROR(VLOOKUP(C$2,'All Schools Data view only'!$A:$DY,78,0)),"",VLOOKUP(C$2,'All Schools Data view only'!$A:$DY,78,0))</f>
        <v/>
      </c>
      <c r="D33" s="109" t="str">
        <f>IF(ISERROR(VLOOKUP(D$2,'All Schools Data view only'!$A:$DY,78,0)),"",VLOOKUP(D$2,'All Schools Data view only'!$A:$DY,78,0))</f>
        <v/>
      </c>
      <c r="E33" s="109" t="str">
        <f>IF(ISERROR(VLOOKUP(E$2,'All Schools Data view only'!$A:$DY,78,0)),"",VLOOKUP(E$2,'All Schools Data view only'!$A:$DY,78,0))</f>
        <v/>
      </c>
      <c r="F33" s="109" t="str">
        <f>IF(ISERROR(VLOOKUP(F$2,'All Schools Data view only'!$A:$DY,78,0)),"",VLOOKUP(F$2,'All Schools Data view only'!$A:$DY,78,0))</f>
        <v/>
      </c>
      <c r="G33" s="109" t="str">
        <f>IF(ISERROR(VLOOKUP(G$2,'All Schools Data view only'!$A:$DY,78,0)),"",VLOOKUP(G$2,'All Schools Data view only'!$A:$DY,78,0))</f>
        <v/>
      </c>
      <c r="H33" s="102">
        <f>VLOOKUP(Q$3,'All Schools Data view only'!A:DY,78,0)</f>
        <v>5.0745151837380288E-4</v>
      </c>
      <c r="I33" s="82">
        <f>VLOOKUP(R$3,'All Schools Data view only'!A:DY,78,0)</f>
        <v>1.6447487468895284E-2</v>
      </c>
      <c r="J33" s="82">
        <f>VLOOKUP(S$3,'All Schools Data view only'!A:DY,78,0)</f>
        <v>2.0335342434073606E-2</v>
      </c>
      <c r="K33" s="84">
        <f>VLOOKUP(T$3,'All Schools Data view only'!A:DY,78,0)</f>
        <v>1.4666223198397605E-3</v>
      </c>
      <c r="L33" s="84">
        <f>VLOOKUP(U$3,'All Schools Data view only'!A:DY,78,0)</f>
        <v>8.0612239641712134E-6</v>
      </c>
    </row>
    <row r="34" spans="1:12" ht="15.75">
      <c r="A34" s="90"/>
      <c r="B34" s="97" t="s">
        <v>10</v>
      </c>
      <c r="C34" s="110" t="str">
        <f>IF(ISERROR(VLOOKUP(C$2,'All Schools Data view only'!$A:$DY,79,0)),"",VLOOKUP(C$2,'All Schools Data view only'!$A:$DY,79,0))</f>
        <v/>
      </c>
      <c r="D34" s="110" t="str">
        <f>IF(ISERROR(VLOOKUP(D$2,'All Schools Data view only'!$A:$DY,79,0)),"",VLOOKUP(D$2,'All Schools Data view only'!$A:$DY,79,0))</f>
        <v/>
      </c>
      <c r="E34" s="110" t="str">
        <f>IF(ISERROR(VLOOKUP(E$2,'All Schools Data view only'!$A:$DY,79,0)),"",VLOOKUP(E$2,'All Schools Data view only'!$A:$DY,79,0))</f>
        <v/>
      </c>
      <c r="F34" s="110" t="str">
        <f>IF(ISERROR(VLOOKUP(F$2,'All Schools Data view only'!$A:$DY,79,0)),"",VLOOKUP(F$2,'All Schools Data view only'!$A:$DY,79,0))</f>
        <v/>
      </c>
      <c r="G34" s="110" t="str">
        <f>IF(ISERROR(VLOOKUP(G$2,'All Schools Data view only'!$A:$DY,79,0)),"",VLOOKUP(G$2,'All Schools Data view only'!$A:$DY,79,0))</f>
        <v/>
      </c>
      <c r="H34" s="103">
        <f>VLOOKUP(Q$3,'All Schools Data view only'!A:DY,79,0)</f>
        <v>3.8514939024390245</v>
      </c>
      <c r="I34" s="83">
        <f>VLOOKUP(R$3,'All Schools Data view only'!A:DY,79,0)</f>
        <v>86.749103812524567</v>
      </c>
      <c r="J34" s="83">
        <f>VLOOKUP(S$3,'All Schools Data view only'!A:DY,79,0)</f>
        <v>163.09390117716381</v>
      </c>
      <c r="K34" s="85">
        <f>VLOOKUP(T$3,'All Schools Data view only'!A:DY,79,0)</f>
        <v>36.285097255165368</v>
      </c>
      <c r="L34" s="85">
        <f>VLOOKUP(U$3,'All Schools Data view only'!A:DY,79,0)</f>
        <v>0.22222222222222221</v>
      </c>
    </row>
    <row r="35" spans="1:12" ht="15.75">
      <c r="A35" s="90"/>
      <c r="B35" s="97"/>
      <c r="C35" s="108"/>
      <c r="D35" s="108"/>
      <c r="E35" s="108"/>
      <c r="F35" s="108"/>
      <c r="G35" s="108"/>
      <c r="H35" s="101"/>
      <c r="I35" s="7"/>
      <c r="J35" s="7"/>
      <c r="K35" s="8"/>
      <c r="L35" s="8"/>
    </row>
    <row r="36" spans="1:12" ht="15.75">
      <c r="A36" s="90" t="s">
        <v>161</v>
      </c>
      <c r="B36" s="96" t="s">
        <v>9</v>
      </c>
      <c r="C36" s="109" t="str">
        <f>IF(ISERROR(VLOOKUP(C$2,'All Schools Data view only'!$A:$DY,80,0)),"",VLOOKUP(C$2,'All Schools Data view only'!$A:$DY,80,0))</f>
        <v/>
      </c>
      <c r="D36" s="109" t="str">
        <f>IF(ISERROR(VLOOKUP(D$2,'All Schools Data view only'!$A:$DY,80,0)),"",VLOOKUP(D$2,'All Schools Data view only'!$A:$DY,80,0))</f>
        <v/>
      </c>
      <c r="E36" s="109" t="str">
        <f>IF(ISERROR(VLOOKUP(E$2,'All Schools Data view only'!$A:$DY,80,0)),"",VLOOKUP(E$2,'All Schools Data view only'!$A:$DY,80,0))</f>
        <v/>
      </c>
      <c r="F36" s="109" t="str">
        <f>IF(ISERROR(VLOOKUP(F$2,'All Schools Data view only'!$A:$DY,80,0)),"",VLOOKUP(F$2,'All Schools Data view only'!$A:$DY,80,0))</f>
        <v/>
      </c>
      <c r="G36" s="109" t="str">
        <f>IF(ISERROR(VLOOKUP(G$2,'All Schools Data view only'!$A:$DY,80,0)),"",VLOOKUP(G$2,'All Schools Data view only'!$A:$DY,80,0))</f>
        <v/>
      </c>
      <c r="H36" s="102">
        <f>VLOOKUP(Q$3,'All Schools Data view only'!A:DY,80,0)</f>
        <v>6.7233075372590901E-3</v>
      </c>
      <c r="I36" s="82">
        <f>VLOOKUP(R$3,'All Schools Data view only'!A:DY,80,0)</f>
        <v>1.9826669359033797E-2</v>
      </c>
      <c r="J36" s="82">
        <f>VLOOKUP(S$3,'All Schools Data view only'!A:DY,80,0)</f>
        <v>2.530073253226597E-2</v>
      </c>
      <c r="K36" s="84">
        <f>VLOOKUP(T$3,'All Schools Data view only'!A:DY,80,0)</f>
        <v>5.7925352557987708E-3</v>
      </c>
      <c r="L36" s="84">
        <f>VLOOKUP(U$3,'All Schools Data view only'!A:DY,80,0)</f>
        <v>9.7121006762997358E-4</v>
      </c>
    </row>
    <row r="37" spans="1:12" ht="15.75">
      <c r="A37" s="90"/>
      <c r="B37" s="97" t="s">
        <v>10</v>
      </c>
      <c r="C37" s="110" t="str">
        <f>IF(ISERROR(VLOOKUP(C$2,'All Schools Data view only'!$A:$DY,81,0)),"",VLOOKUP(C$2,'All Schools Data view only'!$A:$DY,81,0))</f>
        <v/>
      </c>
      <c r="D37" s="110" t="str">
        <f>IF(ISERROR(VLOOKUP(D$2,'All Schools Data view only'!$A:$DY,81,0)),"",VLOOKUP(D$2,'All Schools Data view only'!$A:$DY,81,0))</f>
        <v/>
      </c>
      <c r="E37" s="110" t="str">
        <f>IF(ISERROR(VLOOKUP(E$2,'All Schools Data view only'!$A:$DY,81,0)),"",VLOOKUP(E$2,'All Schools Data view only'!$A:$DY,81,0))</f>
        <v/>
      </c>
      <c r="F37" s="110" t="str">
        <f>IF(ISERROR(VLOOKUP(F$2,'All Schools Data view only'!$A:$DY,81,0)),"",VLOOKUP(F$2,'All Schools Data view only'!$A:$DY,81,0))</f>
        <v/>
      </c>
      <c r="G37" s="110" t="str">
        <f>IF(ISERROR(VLOOKUP(G$2,'All Schools Data view only'!$A:$DY,81,0)),"",VLOOKUP(G$2,'All Schools Data view only'!$A:$DY,81,0))</f>
        <v/>
      </c>
      <c r="H37" s="103">
        <f>VLOOKUP(Q$3,'All Schools Data view only'!A:DY,81,0)</f>
        <v>44.549674288617879</v>
      </c>
      <c r="I37" s="83">
        <f>VLOOKUP(R$3,'All Schools Data view only'!A:DY,81,0)</f>
        <v>107.03416705985134</v>
      </c>
      <c r="J37" s="83">
        <f>VLOOKUP(S$3,'All Schools Data view only'!A:DY,81,0)</f>
        <v>200.35559170937094</v>
      </c>
      <c r="K37" s="85">
        <f>VLOOKUP(T$3,'All Schools Data view only'!A:DY,81,0)</f>
        <v>149.07697993889101</v>
      </c>
      <c r="L37" s="85">
        <f>VLOOKUP(U$3,'All Schools Data view only'!A:DY,81,0)</f>
        <v>28.700861111111109</v>
      </c>
    </row>
    <row r="38" spans="1:12" ht="15.75">
      <c r="A38" s="90"/>
      <c r="B38" s="97"/>
      <c r="C38" s="108"/>
      <c r="D38" s="108"/>
      <c r="E38" s="108"/>
      <c r="F38" s="108"/>
      <c r="G38" s="108"/>
      <c r="H38" s="101"/>
      <c r="I38" s="7"/>
      <c r="J38" s="7"/>
      <c r="K38" s="8"/>
      <c r="L38" s="8"/>
    </row>
    <row r="39" spans="1:12" ht="15" customHeight="1">
      <c r="A39" s="6" t="s">
        <v>11</v>
      </c>
      <c r="B39" s="98"/>
      <c r="C39" s="108"/>
      <c r="D39" s="108"/>
      <c r="E39" s="108"/>
      <c r="F39" s="108"/>
      <c r="G39" s="108"/>
      <c r="H39" s="101"/>
      <c r="I39" s="7"/>
      <c r="J39" s="7"/>
      <c r="K39" s="8"/>
      <c r="L39" s="8"/>
    </row>
    <row r="40" spans="1:12" ht="15" customHeight="1">
      <c r="A40" s="10" t="s">
        <v>12</v>
      </c>
      <c r="B40" s="97" t="s">
        <v>13</v>
      </c>
      <c r="C40" s="109" t="str">
        <f>IF(ISERROR(VLOOKUP(C$2,'All Schools Data view only'!$A:$DY,82,0)),"",VLOOKUP(C$2,'All Schools Data view only'!$A:$DY,82,0))</f>
        <v/>
      </c>
      <c r="D40" s="109" t="str">
        <f>IF(ISERROR(VLOOKUP(D$2,'All Schools Data view only'!$A:$DY,82,0)),"",VLOOKUP(D$2,'All Schools Data view only'!$A:$DY,82,0))</f>
        <v/>
      </c>
      <c r="E40" s="109" t="str">
        <f>IF(ISERROR(VLOOKUP(E$2,'All Schools Data view only'!$A:$DY,82,0)),"",VLOOKUP(E$2,'All Schools Data view only'!$A:$DY,82,0))</f>
        <v/>
      </c>
      <c r="F40" s="109" t="str">
        <f>IF(ISERROR(VLOOKUP(F$2,'All Schools Data view only'!$A:$DY,82,0)),"",VLOOKUP(F$2,'All Schools Data view only'!$A:$DY,82,0))</f>
        <v/>
      </c>
      <c r="G40" s="109" t="str">
        <f>IF(ISERROR(VLOOKUP(G$2,'All Schools Data view only'!$A:$DY,82,0)),"",VLOOKUP(G$2,'All Schools Data view only'!$A:$DY,82,0))</f>
        <v/>
      </c>
      <c r="H40" s="102">
        <f>VLOOKUP(Q$3,'All Schools Data view only'!A:DY,82,0)</f>
        <v>0.49624946060736175</v>
      </c>
      <c r="I40" s="82">
        <f>VLOOKUP(R$3,'All Schools Data view only'!A:DY,82,0)</f>
        <v>0.51579329198957347</v>
      </c>
      <c r="J40" s="82">
        <f>VLOOKUP(S$3,'All Schools Data view only'!A:DY,82,0)</f>
        <v>0.64315849047056772</v>
      </c>
      <c r="K40" s="84">
        <f>VLOOKUP(T$3,'All Schools Data view only'!A:DY,82,0)</f>
        <v>0.46406871336070665</v>
      </c>
      <c r="L40" s="84">
        <f>VLOOKUP(U$3,'All Schools Data view only'!A:DY,82,0)</f>
        <v>0.74424156008229947</v>
      </c>
    </row>
    <row r="41" spans="1:12" ht="15" customHeight="1">
      <c r="A41" s="10"/>
      <c r="B41" s="97" t="s">
        <v>14</v>
      </c>
      <c r="C41" s="109" t="str">
        <f>IF(ISERROR(VLOOKUP(C$2,'All Schools Data view only'!$A:$DY,84,0)),"",VLOOKUP(C$2,'All Schools Data view only'!$A:$DY,84,0))</f>
        <v/>
      </c>
      <c r="D41" s="109" t="str">
        <f>IF(ISERROR(VLOOKUP(D$2,'All Schools Data view only'!$A:$DY,84,0)),"",VLOOKUP(D$2,'All Schools Data view only'!$A:$DY,84,0))</f>
        <v/>
      </c>
      <c r="E41" s="109" t="str">
        <f>IF(ISERROR(VLOOKUP(E$2,'All Schools Data view only'!$A:$DY,84,0)),"",VLOOKUP(E$2,'All Schools Data view only'!$A:$DY,84,0))</f>
        <v/>
      </c>
      <c r="F41" s="109" t="str">
        <f>IF(ISERROR(VLOOKUP(F$2,'All Schools Data view only'!$A:$DY,84,0)),"",VLOOKUP(F$2,'All Schools Data view only'!$A:$DY,84,0))</f>
        <v/>
      </c>
      <c r="G41" s="109" t="str">
        <f>IF(ISERROR(VLOOKUP(G$2,'All Schools Data view only'!$A:$DY,84,0)),"",VLOOKUP(G$2,'All Schools Data view only'!$A:$DY,84,0))</f>
        <v/>
      </c>
      <c r="H41" s="102">
        <f>VLOOKUP(Q$3,'All Schools Data view only'!A:DY,84,0)</f>
        <v>0.29189884383901987</v>
      </c>
      <c r="I41" s="82">
        <f>VLOOKUP(R$3,'All Schools Data view only'!A:DY,84,0)</f>
        <v>0.46429060623010765</v>
      </c>
      <c r="J41" s="82">
        <f>VLOOKUP(S$3,'All Schools Data view only'!A:DY,84,0)</f>
        <v>0.55898944469674683</v>
      </c>
      <c r="K41" s="84">
        <f>VLOOKUP(T$3,'All Schools Data view only'!A:DY,84,0)</f>
        <v>0.41281293919002354</v>
      </c>
      <c r="L41" s="84">
        <f>VLOOKUP(U$3,'All Schools Data view only'!A:DY,84,0)</f>
        <v>0.66666386734329652</v>
      </c>
    </row>
    <row r="42" spans="1:12" ht="15" customHeight="1">
      <c r="A42" s="10"/>
      <c r="B42" s="97" t="s">
        <v>15</v>
      </c>
      <c r="C42" s="110" t="str">
        <f>IF(ISERROR(VLOOKUP(C$2,'All Schools Data view only'!$A:$DY,85,0)),"",VLOOKUP(C$2,'All Schools Data view only'!$A:$DY,85,0))</f>
        <v/>
      </c>
      <c r="D42" s="110" t="str">
        <f>IF(ISERROR(VLOOKUP(D$2,'All Schools Data view only'!$A:$DY,85,0)),"",VLOOKUP(D$2,'All Schools Data view only'!$A:$DY,85,0))</f>
        <v/>
      </c>
      <c r="E42" s="110" t="str">
        <f>IF(ISERROR(VLOOKUP(E$2,'All Schools Data view only'!$A:$DY,85,0)),"",VLOOKUP(E$2,'All Schools Data view only'!$A:$DY,85,0))</f>
        <v/>
      </c>
      <c r="F42" s="110" t="str">
        <f>IF(ISERROR(VLOOKUP(F$2,'All Schools Data view only'!$A:$DY,85,0)),"",VLOOKUP(F$2,'All Schools Data view only'!$A:$DY,85,0))</f>
        <v/>
      </c>
      <c r="G42" s="110" t="str">
        <f>IF(ISERROR(VLOOKUP(G$2,'All Schools Data view only'!$A:$DY,85,0)),"",VLOOKUP(G$2,'All Schools Data view only'!$A:$DY,85,0))</f>
        <v/>
      </c>
      <c r="H42" s="103">
        <f>VLOOKUP(Q$3,'All Schools Data view only'!A:DY,85,0)</f>
        <v>2037.2342230691058</v>
      </c>
      <c r="I42" s="83">
        <f>VLOOKUP(R$3,'All Schools Data view only'!A:DY,85,0)</f>
        <v>2507.1053880875706</v>
      </c>
      <c r="J42" s="83">
        <f>VLOOKUP(S$3,'All Schools Data view only'!A:DY,85,0)</f>
        <v>4791.0901642813133</v>
      </c>
      <c r="K42" s="85">
        <f>VLOOKUP(T$3,'All Schools Data view only'!A:DY,85,0)</f>
        <v>11102.886784088534</v>
      </c>
      <c r="L42" s="85">
        <f>VLOOKUP(U$3,'All Schools Data view only'!A:DY,85,0)</f>
        <v>17084.827388888887</v>
      </c>
    </row>
    <row r="43" spans="1:12" ht="15" customHeight="1">
      <c r="A43" s="10"/>
      <c r="B43" s="98"/>
      <c r="C43" s="111"/>
      <c r="D43" s="111"/>
      <c r="E43" s="111"/>
      <c r="F43" s="111"/>
      <c r="G43" s="111"/>
      <c r="H43" s="104"/>
      <c r="I43" s="12"/>
      <c r="J43" s="12"/>
      <c r="K43" s="20"/>
      <c r="L43" s="20"/>
    </row>
    <row r="44" spans="1:12" ht="15" customHeight="1">
      <c r="A44" s="21" t="s">
        <v>16</v>
      </c>
      <c r="B44" s="97" t="s">
        <v>13</v>
      </c>
      <c r="C44" s="109" t="str">
        <f>IF(ISERROR(VLOOKUP(C$2,'All Schools Data view only'!$A:$DY,86,0)),"",VLOOKUP(C$2,'All Schools Data view only'!$A:$DY,86,0))</f>
        <v/>
      </c>
      <c r="D44" s="109" t="str">
        <f>IF(ISERROR(VLOOKUP(D$2,'All Schools Data view only'!$A:$DY,86,0)),"",VLOOKUP(D$2,'All Schools Data view only'!$A:$DY,86,0))</f>
        <v/>
      </c>
      <c r="E44" s="109" t="str">
        <f>IF(ISERROR(VLOOKUP(E$2,'All Schools Data view only'!$A:$DY,86,0)),"",VLOOKUP(E$2,'All Schools Data view only'!$A:$DY,86,0))</f>
        <v/>
      </c>
      <c r="F44" s="109" t="str">
        <f>IF(ISERROR(VLOOKUP(F$2,'All Schools Data view only'!$A:$DY,86,0)),"",VLOOKUP(F$2,'All Schools Data view only'!$A:$DY,86,0))</f>
        <v/>
      </c>
      <c r="G44" s="109" t="str">
        <f>IF(ISERROR(VLOOKUP(G$2,'All Schools Data view only'!$A:$DY,86,0)),"",VLOOKUP(G$2,'All Schools Data view only'!$A:$DY,86,0))</f>
        <v/>
      </c>
      <c r="H44" s="102">
        <f>VLOOKUP(Q$3,'All Schools Data view only'!A:DY,86,0)</f>
        <v>0.72556951040202711</v>
      </c>
      <c r="I44" s="82">
        <f>VLOOKUP(R$3,'All Schools Data view only'!A:DY,86,0)</f>
        <v>0.21136484376283995</v>
      </c>
      <c r="J44" s="82">
        <f>VLOOKUP(S$3,'All Schools Data view only'!A:DY,86,0)</f>
        <v>0.1141480165013269</v>
      </c>
      <c r="K44" s="84">
        <f>VLOOKUP(T$3,'All Schools Data view only'!A:DY,86,0)</f>
        <v>0.35099463798243813</v>
      </c>
      <c r="L44" s="84">
        <f>VLOOKUP(U$3,'All Schools Data view only'!A:DY,86,0)</f>
        <v>0.1215641079068531</v>
      </c>
    </row>
    <row r="45" spans="1:12" ht="15" customHeight="1">
      <c r="A45" s="10"/>
      <c r="B45" s="97" t="s">
        <v>14</v>
      </c>
      <c r="C45" s="109" t="str">
        <f>IF(ISERROR(VLOOKUP(C$2,'All Schools Data view only'!$A:$DY,88,0)),"",VLOOKUP(C$2,'All Schools Data view only'!$A:$DY,88,0))</f>
        <v/>
      </c>
      <c r="D45" s="109" t="str">
        <f>IF(ISERROR(VLOOKUP(D$2,'All Schools Data view only'!$A:$DY,88,0)),"",VLOOKUP(D$2,'All Schools Data view only'!$A:$DY,88,0))</f>
        <v/>
      </c>
      <c r="E45" s="109" t="str">
        <f>IF(ISERROR(VLOOKUP(E$2,'All Schools Data view only'!$A:$DY,88,0)),"",VLOOKUP(E$2,'All Schools Data view only'!$A:$DY,88,0))</f>
        <v/>
      </c>
      <c r="F45" s="109" t="str">
        <f>IF(ISERROR(VLOOKUP(F$2,'All Schools Data view only'!$A:$DY,88,0)),"",VLOOKUP(F$2,'All Schools Data view only'!$A:$DY,88,0))</f>
        <v/>
      </c>
      <c r="G45" s="109" t="str">
        <f>IF(ISERROR(VLOOKUP(G$2,'All Schools Data view only'!$A:$DY,88,0)),"",VLOOKUP(G$2,'All Schools Data view only'!$A:$DY,88,0))</f>
        <v/>
      </c>
      <c r="H45" s="102">
        <f>VLOOKUP(Q$3,'All Schools Data view only'!A:DY,88,0)</f>
        <v>0.42023254461896276</v>
      </c>
      <c r="I45" s="82">
        <f>VLOOKUP(R$3,'All Schools Data view only'!A:DY,88,0)</f>
        <v>0.1907564564814308</v>
      </c>
      <c r="J45" s="82">
        <f>VLOOKUP(S$3,'All Schools Data view only'!A:DY,88,0)</f>
        <v>9.8544052176427185E-2</v>
      </c>
      <c r="K45" s="84">
        <f>VLOOKUP(T$3,'All Schools Data view only'!A:DY,88,0)</f>
        <v>0.31436107354536452</v>
      </c>
      <c r="L45" s="84">
        <f>VLOOKUP(U$3,'All Schools Data view only'!A:DY,88,0)</f>
        <v>0.11103722677718454</v>
      </c>
    </row>
    <row r="46" spans="1:12" ht="15" customHeight="1">
      <c r="A46" s="10"/>
      <c r="B46" s="97" t="s">
        <v>15</v>
      </c>
      <c r="C46" s="110" t="str">
        <f>IF(ISERROR(VLOOKUP(C$2,'All Schools Data view only'!$A:$DY,89,0)),"",VLOOKUP(C$2,'All Schools Data view only'!$A:$DY,89,0))</f>
        <v/>
      </c>
      <c r="D46" s="110" t="str">
        <f>IF(ISERROR(VLOOKUP(D$2,'All Schools Data view only'!$A:$DY,89,0)),"",VLOOKUP(D$2,'All Schools Data view only'!$A:$DY,89,0))</f>
        <v/>
      </c>
      <c r="E46" s="110" t="str">
        <f>IF(ISERROR(VLOOKUP(E$2,'All Schools Data view only'!$A:$DY,89,0)),"",VLOOKUP(E$2,'All Schools Data view only'!$A:$DY,89,0))</f>
        <v/>
      </c>
      <c r="F46" s="110" t="str">
        <f>IF(ISERROR(VLOOKUP(F$2,'All Schools Data view only'!$A:$DY,89,0)),"",VLOOKUP(F$2,'All Schools Data view only'!$A:$DY,89,0))</f>
        <v/>
      </c>
      <c r="G46" s="110" t="str">
        <f>IF(ISERROR(VLOOKUP(G$2,'All Schools Data view only'!$A:$DY,89,0)),"",VLOOKUP(G$2,'All Schools Data view only'!$A:$DY,89,0))</f>
        <v/>
      </c>
      <c r="H46" s="103">
        <f>VLOOKUP(Q$3,'All Schools Data view only'!A:DY,89,0)</f>
        <v>2998.6487698170731</v>
      </c>
      <c r="I46" s="83">
        <f>VLOOKUP(R$3,'All Schools Data view only'!A:DY,89,0)</f>
        <v>1050.2888168968625</v>
      </c>
      <c r="J46" s="83">
        <f>VLOOKUP(S$3,'All Schools Data view only'!A:DY,89,0)</f>
        <v>818.45806537163423</v>
      </c>
      <c r="K46" s="85">
        <f>VLOOKUP(T$3,'All Schools Data view only'!A:DY,89,0)</f>
        <v>8660.3248866520735</v>
      </c>
      <c r="L46" s="85">
        <f>VLOOKUP(U$3,'All Schools Data view only'!A:DY,89,0)</f>
        <v>2837.2564166666666</v>
      </c>
    </row>
    <row r="47" spans="1:12" ht="15" customHeight="1">
      <c r="A47" s="10"/>
      <c r="B47" s="98"/>
      <c r="C47" s="111"/>
      <c r="D47" s="111"/>
      <c r="E47" s="111"/>
      <c r="F47" s="111"/>
      <c r="G47" s="111"/>
      <c r="H47" s="104"/>
      <c r="I47" s="12"/>
      <c r="J47" s="12"/>
      <c r="K47" s="20"/>
      <c r="L47" s="20"/>
    </row>
    <row r="48" spans="1:12" ht="15" customHeight="1">
      <c r="A48" s="10" t="s">
        <v>17</v>
      </c>
      <c r="B48" s="97" t="s">
        <v>13</v>
      </c>
      <c r="C48" s="109" t="str">
        <f>IF(ISERROR(VLOOKUP(C$2,'All Schools Data view only'!$A:$DY,90,0)),"",VLOOKUP(C$2,'All Schools Data view only'!$A:$DY,90,0))</f>
        <v/>
      </c>
      <c r="D48" s="109" t="str">
        <f>IF(ISERROR(VLOOKUP(D$2,'All Schools Data view only'!$A:$DY,90,0)),"",VLOOKUP(D$2,'All Schools Data view only'!$A:$DY,90,0))</f>
        <v/>
      </c>
      <c r="E48" s="109" t="str">
        <f>IF(ISERROR(VLOOKUP(E$2,'All Schools Data view only'!$A:$DY,90,0)),"",VLOOKUP(E$2,'All Schools Data view only'!$A:$DY,90,0))</f>
        <v/>
      </c>
      <c r="F48" s="109" t="str">
        <f>IF(ISERROR(VLOOKUP(F$2,'All Schools Data view only'!$A:$DY,90,0)),"",VLOOKUP(F$2,'All Schools Data view only'!$A:$DY,90,0))</f>
        <v/>
      </c>
      <c r="G48" s="109" t="str">
        <f>IF(ISERROR(VLOOKUP(G$2,'All Schools Data view only'!$A:$DY,90,0)),"",VLOOKUP(G$2,'All Schools Data view only'!$A:$DY,90,0))</f>
        <v/>
      </c>
      <c r="H48" s="102">
        <f>VLOOKUP(Q$3,'All Schools Data view only'!A:DY,90,0)</f>
        <v>6.1865010463981567E-2</v>
      </c>
      <c r="I48" s="82">
        <f>VLOOKUP(R$3,'All Schools Data view only'!A:DY,90,0)</f>
        <v>2.5019535187101403E-2</v>
      </c>
      <c r="J48" s="82">
        <f>VLOOKUP(S$3,'All Schools Data view only'!A:DY,90,0)</f>
        <v>2.5646233920913728E-2</v>
      </c>
      <c r="K48" s="84">
        <f>VLOOKUP(T$3,'All Schools Data view only'!A:DY,90,0)</f>
        <v>1.8234291774044738E-2</v>
      </c>
      <c r="L48" s="84">
        <f>VLOOKUP(U$3,'All Schools Data view only'!A:DY,90,0)</f>
        <v>7.3231751219904337E-3</v>
      </c>
    </row>
    <row r="49" spans="1:12" ht="15" customHeight="1">
      <c r="A49" s="10"/>
      <c r="B49" s="97" t="s">
        <v>14</v>
      </c>
      <c r="C49" s="109" t="str">
        <f>IF(ISERROR(VLOOKUP(C$2,'All Schools Data view only'!$A:$DY,92,0)),"",VLOOKUP(C$2,'All Schools Data view only'!$A:$DY,92,0))</f>
        <v/>
      </c>
      <c r="D49" s="109" t="str">
        <f>IF(ISERROR(VLOOKUP(D$2,'All Schools Data view only'!$A:$DY,92,0)),"",VLOOKUP(D$2,'All Schools Data view only'!$A:$DY,92,0))</f>
        <v/>
      </c>
      <c r="E49" s="109" t="str">
        <f>IF(ISERROR(VLOOKUP(E$2,'All Schools Data view only'!$A:$DY,92,0)),"",VLOOKUP(E$2,'All Schools Data view only'!$A:$DY,92,0))</f>
        <v/>
      </c>
      <c r="F49" s="109" t="str">
        <f>IF(ISERROR(VLOOKUP(F$2,'All Schools Data view only'!$A:$DY,92,0)),"",VLOOKUP(F$2,'All Schools Data view only'!$A:$DY,92,0))</f>
        <v/>
      </c>
      <c r="G49" s="109" t="str">
        <f>IF(ISERROR(VLOOKUP(G$2,'All Schools Data view only'!$A:$DY,92,0)),"",VLOOKUP(G$2,'All Schools Data view only'!$A:$DY,92,0))</f>
        <v/>
      </c>
      <c r="H49" s="102">
        <f>VLOOKUP(Q$3,'All Schools Data view only'!A:DY,92,0)</f>
        <v>3.6023017012864485E-2</v>
      </c>
      <c r="I49" s="82">
        <f>VLOOKUP(R$3,'All Schools Data view only'!A:DY,92,0)</f>
        <v>2.2493684702538156E-2</v>
      </c>
      <c r="J49" s="82">
        <f>VLOOKUP(S$3,'All Schools Data view only'!A:DY,92,0)</f>
        <v>2.2186550631197677E-2</v>
      </c>
      <c r="K49" s="84">
        <f>VLOOKUP(T$3,'All Schools Data view only'!A:DY,92,0)</f>
        <v>1.6147630587445873E-2</v>
      </c>
      <c r="L49" s="84">
        <f>VLOOKUP(U$3,'All Schools Data view only'!A:DY,92,0)</f>
        <v>7.1978499740988963E-3</v>
      </c>
    </row>
    <row r="50" spans="1:12" ht="15" customHeight="1">
      <c r="A50" s="10"/>
      <c r="B50" s="97" t="s">
        <v>15</v>
      </c>
      <c r="C50" s="110" t="str">
        <f>IF(ISERROR(VLOOKUP(C$2,'All Schools Data view only'!$A:$DY,93,0)),"",VLOOKUP(C$2,'All Schools Data view only'!$A:$DY,93,0))</f>
        <v/>
      </c>
      <c r="D50" s="110" t="str">
        <f>IF(ISERROR(VLOOKUP(D$2,'All Schools Data view only'!$A:$DY,93,0)),"",VLOOKUP(D$2,'All Schools Data view only'!$A:$DY,93,0))</f>
        <v/>
      </c>
      <c r="E50" s="110" t="str">
        <f>IF(ISERROR(VLOOKUP(E$2,'All Schools Data view only'!$A:$DY,93,0)),"",VLOOKUP(E$2,'All Schools Data view only'!$A:$DY,93,0))</f>
        <v/>
      </c>
      <c r="F50" s="110" t="str">
        <f>IF(ISERROR(VLOOKUP(F$2,'All Schools Data view only'!$A:$DY,93,0)),"",VLOOKUP(F$2,'All Schools Data view only'!$A:$DY,93,0))</f>
        <v/>
      </c>
      <c r="G50" s="110" t="str">
        <f>IF(ISERROR(VLOOKUP(G$2,'All Schools Data view only'!$A:$DY,93,0)),"",VLOOKUP(G$2,'All Schools Data view only'!$A:$DY,93,0))</f>
        <v/>
      </c>
      <c r="H50" s="103">
        <f>VLOOKUP(Q$3,'All Schools Data view only'!A:DY,93,0)</f>
        <v>256.31569918699188</v>
      </c>
      <c r="I50" s="83">
        <f>VLOOKUP(R$3,'All Schools Data view only'!A:DY,93,0)</f>
        <v>122.51714761669676</v>
      </c>
      <c r="J50" s="83">
        <f>VLOOKUP(S$3,'All Schools Data view only'!A:DY,93,0)</f>
        <v>228.66073318096483</v>
      </c>
      <c r="K50" s="85">
        <f>VLOOKUP(T$3,'All Schools Data view only'!A:DY,93,0)</f>
        <v>447.63784481421919</v>
      </c>
      <c r="L50" s="85">
        <f>VLOOKUP(U$3,'All Schools Data view only'!A:DY,93,0)</f>
        <v>181.98266666666666</v>
      </c>
    </row>
    <row r="51" spans="1:12" ht="15" customHeight="1">
      <c r="A51" s="10"/>
      <c r="B51" s="98"/>
      <c r="C51" s="111"/>
      <c r="D51" s="111"/>
      <c r="E51" s="111"/>
      <c r="F51" s="111"/>
      <c r="G51" s="111"/>
      <c r="H51" s="104"/>
      <c r="I51" s="12"/>
      <c r="J51" s="12"/>
      <c r="K51" s="20"/>
      <c r="L51" s="20"/>
    </row>
    <row r="52" spans="1:12" ht="15" customHeight="1">
      <c r="A52" s="10" t="s">
        <v>18</v>
      </c>
      <c r="B52" s="97" t="s">
        <v>13</v>
      </c>
      <c r="C52" s="109" t="str">
        <f>IF(ISERROR(VLOOKUP(C$2,'All Schools Data view only'!$A:$DY,94,0)),"",VLOOKUP(C$2,'All Schools Data view only'!$A:$DY,94,0))</f>
        <v/>
      </c>
      <c r="D52" s="109" t="str">
        <f>IF(ISERROR(VLOOKUP(D$2,'All Schools Data view only'!$A:$DY,94,0)),"",VLOOKUP(D$2,'All Schools Data view only'!$A:$DY,94,0))</f>
        <v/>
      </c>
      <c r="E52" s="109" t="str">
        <f>IF(ISERROR(VLOOKUP(E$2,'All Schools Data view only'!$A:$DY,94,0)),"",VLOOKUP(E$2,'All Schools Data view only'!$A:$DY,94,0))</f>
        <v/>
      </c>
      <c r="F52" s="109" t="str">
        <f>IF(ISERROR(VLOOKUP(F$2,'All Schools Data view only'!$A:$DY,94,0)),"",VLOOKUP(F$2,'All Schools Data view only'!$A:$DY,94,0))</f>
        <v/>
      </c>
      <c r="G52" s="109" t="str">
        <f>IF(ISERROR(VLOOKUP(G$2,'All Schools Data view only'!$A:$DY,94,0)),"",VLOOKUP(G$2,'All Schools Data view only'!$A:$DY,94,0))</f>
        <v/>
      </c>
      <c r="H52" s="102">
        <f>VLOOKUP(Q$3,'All Schools Data view only'!A:DY,94,0)</f>
        <v>9.1944558161031018E-2</v>
      </c>
      <c r="I52" s="82">
        <f>VLOOKUP(R$3,'All Schools Data view only'!A:DY,94,0)</f>
        <v>4.2881747739083105E-2</v>
      </c>
      <c r="J52" s="82">
        <f>VLOOKUP(S$3,'All Schools Data view only'!A:DY,94,0)</f>
        <v>8.0457682079999454E-2</v>
      </c>
      <c r="K52" s="84">
        <f>VLOOKUP(T$3,'All Schools Data view only'!A:DY,94,0)</f>
        <v>2.8606125126706867E-2</v>
      </c>
      <c r="L52" s="84">
        <f>VLOOKUP(U$3,'All Schools Data view only'!A:DY,94,0)</f>
        <v>0.10150602382840168</v>
      </c>
    </row>
    <row r="53" spans="1:12" ht="15" customHeight="1">
      <c r="A53" s="10"/>
      <c r="B53" s="97" t="s">
        <v>14</v>
      </c>
      <c r="C53" s="109" t="str">
        <f>IF(ISERROR(VLOOKUP(C$2,'All Schools Data view only'!$A:$DY,96,0)),"",VLOOKUP(C$2,'All Schools Data view only'!$A:$DY,96,0))</f>
        <v/>
      </c>
      <c r="D53" s="109" t="str">
        <f>IF(ISERROR(VLOOKUP(D$2,'All Schools Data view only'!$A:$DY,96,0)),"",VLOOKUP(D$2,'All Schools Data view only'!$A:$DY,96,0))</f>
        <v/>
      </c>
      <c r="E53" s="109" t="str">
        <f>IF(ISERROR(VLOOKUP(E$2,'All Schools Data view only'!$A:$DY,96,0)),"",VLOOKUP(E$2,'All Schools Data view only'!$A:$DY,96,0))</f>
        <v/>
      </c>
      <c r="F53" s="109" t="str">
        <f>IF(ISERROR(VLOOKUP(F$2,'All Schools Data view only'!$A:$DY,96,0)),"",VLOOKUP(F$2,'All Schools Data view only'!$A:$DY,96,0))</f>
        <v/>
      </c>
      <c r="G53" s="109" t="str">
        <f>IF(ISERROR(VLOOKUP(G$2,'All Schools Data view only'!$A:$DY,96,0)),"",VLOOKUP(G$2,'All Schools Data view only'!$A:$DY,96,0))</f>
        <v/>
      </c>
      <c r="H53" s="102">
        <f>VLOOKUP(Q$3,'All Schools Data view only'!A:DY,96,0)</f>
        <v>5.3828756139901478E-2</v>
      </c>
      <c r="I53" s="82">
        <f>VLOOKUP(R$3,'All Schools Data view only'!A:DY,96,0)</f>
        <v>3.8421118063075847E-2</v>
      </c>
      <c r="J53" s="82">
        <f>VLOOKUP(S$3,'All Schools Data view only'!A:DY,96,0)</f>
        <v>7.0095691029704893E-2</v>
      </c>
      <c r="K53" s="84">
        <f>VLOOKUP(T$3,'All Schools Data view only'!A:DY,96,0)</f>
        <v>2.5449415921340181E-2</v>
      </c>
      <c r="L53" s="84">
        <f>VLOOKUP(U$3,'All Schools Data view only'!A:DY,96,0)</f>
        <v>8.3722200336447436E-2</v>
      </c>
    </row>
    <row r="54" spans="1:12" ht="15" customHeight="1">
      <c r="A54" s="10"/>
      <c r="B54" s="97" t="s">
        <v>15</v>
      </c>
      <c r="C54" s="110" t="str">
        <f>IF(ISERROR(VLOOKUP(C$2,'All Schools Data view only'!$A:$DY,97,0)),"",VLOOKUP(C$2,'All Schools Data view only'!$A:$DY,97,0))</f>
        <v/>
      </c>
      <c r="D54" s="110" t="str">
        <f>IF(ISERROR(VLOOKUP(D$2,'All Schools Data view only'!$A:$DY,97,0)),"",VLOOKUP(D$2,'All Schools Data view only'!$A:$DY,97,0))</f>
        <v/>
      </c>
      <c r="E54" s="110" t="str">
        <f>IF(ISERROR(VLOOKUP(E$2,'All Schools Data view only'!$A:$DY,97,0)),"",VLOOKUP(E$2,'All Schools Data view only'!$A:$DY,97,0))</f>
        <v/>
      </c>
      <c r="F54" s="110" t="str">
        <f>IF(ISERROR(VLOOKUP(F$2,'All Schools Data view only'!$A:$DY,97,0)),"",VLOOKUP(F$2,'All Schools Data view only'!$A:$DY,97,0))</f>
        <v/>
      </c>
      <c r="G54" s="110" t="str">
        <f>IF(ISERROR(VLOOKUP(G$2,'All Schools Data view only'!$A:$DY,97,0)),"",VLOOKUP(G$2,'All Schools Data view only'!$A:$DY,97,0))</f>
        <v/>
      </c>
      <c r="H54" s="103">
        <f>VLOOKUP(Q$3,'All Schools Data view only'!A:DY,97,0)</f>
        <v>378.29858079268297</v>
      </c>
      <c r="I54" s="83">
        <f>VLOOKUP(R$3,'All Schools Data view only'!A:DY,97,0)</f>
        <v>206.84616772152282</v>
      </c>
      <c r="J54" s="83">
        <f>VLOOKUP(S$3,'All Schools Data view only'!A:DY,97,0)</f>
        <v>603.72803458503427</v>
      </c>
      <c r="K54" s="85">
        <f>VLOOKUP(T$3,'All Schools Data view only'!A:DY,97,0)</f>
        <v>654.21557959619906</v>
      </c>
      <c r="L54" s="85">
        <f>VLOOKUP(U$3,'All Schools Data view only'!A:DY,97,0)</f>
        <v>2173.5669444444443</v>
      </c>
    </row>
    <row r="55" spans="1:12" ht="15" customHeight="1">
      <c r="A55" s="10"/>
      <c r="B55" s="98"/>
      <c r="C55" s="111"/>
      <c r="D55" s="111"/>
      <c r="E55" s="111"/>
      <c r="F55" s="111"/>
      <c r="G55" s="111"/>
      <c r="H55" s="104"/>
      <c r="I55" s="12"/>
      <c r="J55" s="12"/>
      <c r="K55" s="20"/>
      <c r="L55" s="20"/>
    </row>
    <row r="56" spans="1:12" ht="15" customHeight="1">
      <c r="A56" s="130" t="s">
        <v>19</v>
      </c>
      <c r="B56" s="97" t="s">
        <v>13</v>
      </c>
      <c r="C56" s="109" t="str">
        <f>IF(ISERROR(VLOOKUP(C$2,'All Schools Data view only'!$A:$DY,98,0)),"",VLOOKUP(C$2,'All Schools Data view only'!$A:$DY,98,0))</f>
        <v/>
      </c>
      <c r="D56" s="109" t="str">
        <f>IF(ISERROR(VLOOKUP(D$2,'All Schools Data view only'!$A:$DY,98,0)),"",VLOOKUP(D$2,'All Schools Data view only'!$A:$DY,98,0))</f>
        <v/>
      </c>
      <c r="E56" s="109" t="str">
        <f>IF(ISERROR(VLOOKUP(E$2,'All Schools Data view only'!$A:$DY,98,0)),"",VLOOKUP(E$2,'All Schools Data view only'!$A:$DY,98,0))</f>
        <v/>
      </c>
      <c r="F56" s="109" t="str">
        <f>IF(ISERROR(VLOOKUP(F$2,'All Schools Data view only'!$A:$DY,98,0)),"",VLOOKUP(F$2,'All Schools Data view only'!$A:$DY,98,0))</f>
        <v/>
      </c>
      <c r="G56" s="109" t="str">
        <f>IF(ISERROR(VLOOKUP(G$2,'All Schools Data view only'!$A:$DY,98,0)),"",VLOOKUP(G$2,'All Schools Data view only'!$A:$DY,98,0))</f>
        <v/>
      </c>
      <c r="H56" s="102">
        <f>VLOOKUP(Q$3,'All Schools Data view only'!A:DY,98,0)</f>
        <v>1.4192938122427152</v>
      </c>
      <c r="I56" s="82">
        <f>VLOOKUP(R$3,'All Schools Data view only'!A:DY,98,0)</f>
        <v>0.78549919285101333</v>
      </c>
      <c r="J56" s="82">
        <f>VLOOKUP(S$3,'All Schools Data view only'!A:DY,98,0)</f>
        <v>0.85452777752081099</v>
      </c>
      <c r="K56" s="84">
        <f>VLOOKUP(T$3,'All Schools Data view only'!A:DY,98,0)</f>
        <v>0.87871323353461483</v>
      </c>
      <c r="L56" s="84">
        <f>VLOOKUP(U$3,'All Schools Data view only'!A:DY,98,0)</f>
        <v>0.90568539683054783</v>
      </c>
    </row>
    <row r="57" spans="1:12" ht="15" customHeight="1">
      <c r="A57" s="10"/>
      <c r="B57" s="97" t="s">
        <v>14</v>
      </c>
      <c r="C57" s="109" t="str">
        <f>IF(ISERROR(VLOOKUP(C$2,'All Schools Data view only'!$A:$DY,100,0)),"",VLOOKUP(C$2,'All Schools Data view only'!$A:$DY,100,0))</f>
        <v/>
      </c>
      <c r="D57" s="109" t="str">
        <f>IF(ISERROR(VLOOKUP(D$2,'All Schools Data view only'!$A:$DY,100,0)),"",VLOOKUP(D$2,'All Schools Data view only'!$A:$DY,100,0))</f>
        <v/>
      </c>
      <c r="E57" s="109" t="str">
        <f>IF(ISERROR(VLOOKUP(E$2,'All Schools Data view only'!$A:$DY,100,0)),"",VLOOKUP(E$2,'All Schools Data view only'!$A:$DY,100,0))</f>
        <v/>
      </c>
      <c r="F57" s="109" t="str">
        <f>IF(ISERROR(VLOOKUP(F$2,'All Schools Data view only'!$A:$DY,100,0)),"",VLOOKUP(F$2,'All Schools Data view only'!$A:$DY,100,0))</f>
        <v/>
      </c>
      <c r="G57" s="109" t="str">
        <f>IF(ISERROR(VLOOKUP(G$2,'All Schools Data view only'!$A:$DY,100,0)),"",VLOOKUP(G$2,'All Schools Data view only'!$A:$DY,100,0))</f>
        <v/>
      </c>
      <c r="H57" s="102">
        <f>VLOOKUP(Q$3,'All Schools Data view only'!A:DY,100,0)</f>
        <v>0.82822507308675342</v>
      </c>
      <c r="I57" s="82">
        <f>VLOOKUP(R$3,'All Schools Data view only'!A:DY,100,0)</f>
        <v>0.70733319526421867</v>
      </c>
      <c r="J57" s="82">
        <f>VLOOKUP(S$3,'All Schools Data view only'!A:DY,100,0)</f>
        <v>0.74204318793950752</v>
      </c>
      <c r="K57" s="84">
        <f>VLOOKUP(T$3,'All Schools Data view only'!A:DY,100,0)</f>
        <v>0.78351654984132491</v>
      </c>
      <c r="L57" s="84">
        <f>VLOOKUP(U$3,'All Schools Data view only'!A:DY,100,0)</f>
        <v>0.80664335370283236</v>
      </c>
    </row>
    <row r="58" spans="1:12" ht="15" customHeight="1">
      <c r="A58" s="10"/>
      <c r="B58" s="97" t="s">
        <v>15</v>
      </c>
      <c r="C58" s="110" t="str">
        <f>IF(ISERROR(VLOOKUP(C$2,'All Schools Data view only'!$A:$DY,101,0)),"",VLOOKUP(C$2,'All Schools Data view only'!$A:$DY,101,0))</f>
        <v/>
      </c>
      <c r="D58" s="110" t="str">
        <f>IF(ISERROR(VLOOKUP(D$2,'All Schools Data view only'!$A:$DY,101,0)),"",VLOOKUP(D$2,'All Schools Data view only'!$A:$DY,101,0))</f>
        <v/>
      </c>
      <c r="E58" s="110" t="str">
        <f>IF(ISERROR(VLOOKUP(E$2,'All Schools Data view only'!$A:$DY,101,0)),"",VLOOKUP(E$2,'All Schools Data view only'!$A:$DY,101,0))</f>
        <v/>
      </c>
      <c r="F58" s="110" t="str">
        <f>IF(ISERROR(VLOOKUP(F$2,'All Schools Data view only'!$A:$DY,101,0)),"",VLOOKUP(F$2,'All Schools Data view only'!$A:$DY,101,0))</f>
        <v/>
      </c>
      <c r="G58" s="110" t="str">
        <f>IF(ISERROR(VLOOKUP(G$2,'All Schools Data view only'!$A:$DY,101,0)),"",VLOOKUP(G$2,'All Schools Data view only'!$A:$DY,101,0))</f>
        <v/>
      </c>
      <c r="H58" s="103">
        <f>VLOOKUP(Q$3,'All Schools Data view only'!A:DY,101,0)</f>
        <v>5844.5018749999999</v>
      </c>
      <c r="I58" s="83">
        <f>VLOOKUP(R$3,'All Schools Data view only'!A:DY,101,0)</f>
        <v>3835.8568581271184</v>
      </c>
      <c r="J58" s="83">
        <f>VLOOKUP(S$3,'All Schools Data view only'!A:DY,101,0)</f>
        <v>6371.9476910529293</v>
      </c>
      <c r="K58" s="85">
        <f>VLOOKUP(T$3,'All Schools Data view only'!A:DY,101,0)</f>
        <v>21302.566510349196</v>
      </c>
      <c r="L58" s="85">
        <f>VLOOKUP(U$3,'All Schools Data view only'!A:DY,101,0)</f>
        <v>20690.144027777777</v>
      </c>
    </row>
    <row r="59" spans="1:12" ht="15" customHeight="1">
      <c r="A59" s="10"/>
      <c r="B59" s="97"/>
      <c r="C59" s="110"/>
      <c r="D59" s="110"/>
      <c r="E59" s="110"/>
      <c r="F59" s="110"/>
      <c r="G59" s="110"/>
      <c r="H59" s="105"/>
      <c r="I59" s="18"/>
      <c r="J59" s="18"/>
      <c r="K59" s="19"/>
      <c r="L59" s="19"/>
    </row>
    <row r="60" spans="1:12" ht="15" customHeight="1">
      <c r="A60" s="10" t="s">
        <v>20</v>
      </c>
      <c r="B60" s="97" t="s">
        <v>13</v>
      </c>
      <c r="C60" s="109" t="str">
        <f>IF(ISERROR(VLOOKUP(C$2,'All Schools Data view only'!$A:$DY,102,0)),"",VLOOKUP(C$2,'All Schools Data view only'!$A:$DY,102,0))</f>
        <v/>
      </c>
      <c r="D60" s="109" t="str">
        <f>IF(ISERROR(VLOOKUP(D$2,'All Schools Data view only'!$A:$DY,102,0)),"",VLOOKUP(D$2,'All Schools Data view only'!$A:$DY,102,0))</f>
        <v/>
      </c>
      <c r="E60" s="109" t="str">
        <f>IF(ISERROR(VLOOKUP(E$2,'All Schools Data view only'!$A:$DY,102,0)),"",VLOOKUP(E$2,'All Schools Data view only'!$A:$DY,102,0))</f>
        <v/>
      </c>
      <c r="F60" s="109" t="str">
        <f>IF(ISERROR(VLOOKUP(F$2,'All Schools Data view only'!$A:$DY,102,0)),"",VLOOKUP(F$2,'All Schools Data view only'!$A:$DY,102,0))</f>
        <v/>
      </c>
      <c r="G60" s="109" t="str">
        <f>IF(ISERROR(VLOOKUP(G$2,'All Schools Data view only'!$A:$DY,102,0)),"",VLOOKUP(G$2,'All Schools Data view only'!$A:$DY,102,0))</f>
        <v/>
      </c>
      <c r="H60" s="102">
        <f>VLOOKUP(Q$3,'All Schools Data view only'!A:DY,102,0)</f>
        <v>1.5121147127581598E-2</v>
      </c>
      <c r="I60" s="82">
        <f>VLOOKUP(R$3,'All Schools Data view only'!A:DY,102,0)</f>
        <v>1.8293819552963751E-2</v>
      </c>
      <c r="J60" s="82">
        <f>VLOOKUP(S$3,'All Schools Data view only'!A:DY,102,0)</f>
        <v>2.4089363562366829E-2</v>
      </c>
      <c r="K60" s="84">
        <f>VLOOKUP(T$3,'All Schools Data view only'!A:DY,102,0)</f>
        <v>1.6159253436985252E-2</v>
      </c>
      <c r="L60" s="84">
        <f>VLOOKUP(U$3,'All Schools Data view only'!A:DY,102,0)</f>
        <v>6.4556462371379401E-3</v>
      </c>
    </row>
    <row r="61" spans="1:12" ht="15" customHeight="1">
      <c r="A61" s="10"/>
      <c r="B61" s="97" t="s">
        <v>14</v>
      </c>
      <c r="C61" s="109" t="str">
        <f>IF(ISERROR(VLOOKUP(C$2,'All Schools Data view only'!$A:$DY,103,0)),"",VLOOKUP(C$2,'All Schools Data view only'!$A:$DY,103,0))</f>
        <v/>
      </c>
      <c r="D61" s="109" t="str">
        <f>IF(ISERROR(VLOOKUP(D$2,'All Schools Data view only'!$A:$DY,103,0)),"",VLOOKUP(D$2,'All Schools Data view only'!$A:$DY,103,0))</f>
        <v/>
      </c>
      <c r="E61" s="109" t="str">
        <f>IF(ISERROR(VLOOKUP(E$2,'All Schools Data view only'!$A:$DY,103,0)),"",VLOOKUP(E$2,'All Schools Data view only'!$A:$DY,103,0))</f>
        <v/>
      </c>
      <c r="F61" s="109" t="str">
        <f>IF(ISERROR(VLOOKUP(F$2,'All Schools Data view only'!$A:$DY,103,0)),"",VLOOKUP(F$2,'All Schools Data view only'!$A:$DY,103,0))</f>
        <v/>
      </c>
      <c r="G61" s="109" t="str">
        <f>IF(ISERROR(VLOOKUP(G$2,'All Schools Data view only'!$A:$DY,103,0)),"",VLOOKUP(G$2,'All Schools Data view only'!$A:$DY,103,0))</f>
        <v/>
      </c>
      <c r="H61" s="102">
        <f>VLOOKUP(Q$3,'All Schools Data view only'!A:DY,103,0)</f>
        <v>8.7642924231686563E-3</v>
      </c>
      <c r="I61" s="82">
        <f>VLOOKUP(R$3,'All Schools Data view only'!A:DY,103,0)</f>
        <v>1.6483267673050653E-2</v>
      </c>
      <c r="J61" s="82">
        <f>VLOOKUP(S$3,'All Schools Data view only'!A:DY,103,0)</f>
        <v>2.0607317219904619E-2</v>
      </c>
      <c r="K61" s="84">
        <f>VLOOKUP(T$3,'All Schools Data view only'!A:DY,103,0)</f>
        <v>1.4667397896556364E-2</v>
      </c>
      <c r="L61" s="84">
        <f>VLOOKUP(U$3,'All Schools Data view only'!A:DY,103,0)</f>
        <v>5.6237956181318747E-3</v>
      </c>
    </row>
    <row r="62" spans="1:12" ht="30">
      <c r="A62" s="10"/>
      <c r="B62" s="97" t="s">
        <v>21</v>
      </c>
      <c r="C62" s="110" t="str">
        <f>IF(ISERROR(VLOOKUP(C$2,'All Schools Data view only'!$A:$DY,104,0)),"",VLOOKUP(C$2,'All Schools Data view only'!$A:$DY,104,0))</f>
        <v/>
      </c>
      <c r="D62" s="110" t="str">
        <f>IF(ISERROR(VLOOKUP(D$2,'All Schools Data view only'!$A:$DY,104,0)),"",VLOOKUP(D$2,'All Schools Data view only'!$A:$DY,104,0))</f>
        <v/>
      </c>
      <c r="E62" s="110" t="str">
        <f>IF(ISERROR(VLOOKUP(E$2,'All Schools Data view only'!$A:$DY,104,0)),"",VLOOKUP(E$2,'All Schools Data view only'!$A:$DY,104,0))</f>
        <v/>
      </c>
      <c r="F62" s="110" t="str">
        <f>IF(ISERROR(VLOOKUP(F$2,'All Schools Data view only'!$A:$DY,104,0)),"",VLOOKUP(F$2,'All Schools Data view only'!$A:$DY,104,0))</f>
        <v/>
      </c>
      <c r="G62" s="110" t="str">
        <f>IF(ISERROR(VLOOKUP(G$2,'All Schools Data view only'!$A:$DY,104,0)),"",VLOOKUP(G$2,'All Schools Data view only'!$A:$DY,104,0))</f>
        <v/>
      </c>
      <c r="H62" s="103">
        <f>VLOOKUP(Q$3,'All Schools Data view only'!A:DY,104,0)</f>
        <v>15.55103655341785</v>
      </c>
      <c r="I62" s="83">
        <f>VLOOKUP(R$3,'All Schools Data view only'!A:DY,104,0)</f>
        <v>16.50206460700505</v>
      </c>
      <c r="J62" s="83">
        <f>VLOOKUP(S$3,'All Schools Data view only'!A:DY,104,0)</f>
        <v>11.553331331871011</v>
      </c>
      <c r="K62" s="85">
        <f>VLOOKUP(T$3,'All Schools Data view only'!A:DY,104,0)</f>
        <v>18.296217536535845</v>
      </c>
      <c r="L62" s="85" t="str">
        <f>VLOOKUP(U$3,'All Schools Data view only'!A:DY,104,0)</f>
        <v>No details available</v>
      </c>
    </row>
    <row r="63" spans="1:12" ht="15" customHeight="1">
      <c r="A63" s="10"/>
      <c r="B63" s="97" t="s">
        <v>15</v>
      </c>
      <c r="C63" s="110" t="str">
        <f>IF(ISERROR(VLOOKUP(C$2,'All Schools Data view only'!$A:$DY,105,0)),"",VLOOKUP(C$2,'All Schools Data view only'!$A:$DY,105,0))</f>
        <v/>
      </c>
      <c r="D63" s="110" t="str">
        <f>IF(ISERROR(VLOOKUP(D$2,'All Schools Data view only'!$A:$DY,105,0)),"",VLOOKUP(D$2,'All Schools Data view only'!$A:$DY,105,0))</f>
        <v/>
      </c>
      <c r="E63" s="110" t="str">
        <f>IF(ISERROR(VLOOKUP(E$2,'All Schools Data view only'!$A:$DY,105,0)),"",VLOOKUP(E$2,'All Schools Data view only'!$A:$DY,105,0))</f>
        <v/>
      </c>
      <c r="F63" s="110" t="str">
        <f>IF(ISERROR(VLOOKUP(F$2,'All Schools Data view only'!$A:$DY,105,0)),"",VLOOKUP(F$2,'All Schools Data view only'!$A:$DY,105,0))</f>
        <v/>
      </c>
      <c r="G63" s="110" t="str">
        <f>IF(ISERROR(VLOOKUP(G$2,'All Schools Data view only'!$A:$DY,105,0)),"",VLOOKUP(G$2,'All Schools Data view only'!$A:$DY,105,0))</f>
        <v/>
      </c>
      <c r="H63" s="103">
        <f>VLOOKUP(Q$3,'All Schools Data view only'!A:DY,105,0)</f>
        <v>62.660232215447152</v>
      </c>
      <c r="I63" s="83">
        <f>VLOOKUP(R$3,'All Schools Data view only'!A:DY,105,0)</f>
        <v>90.237804233146903</v>
      </c>
      <c r="J63" s="83">
        <f>VLOOKUP(S$3,'All Schools Data view only'!A:DY,105,0)</f>
        <v>220.08235839477439</v>
      </c>
      <c r="K63" s="85">
        <f>VLOOKUP(T$3,'All Schools Data view only'!A:DY,105,0)</f>
        <v>377.09707516616982</v>
      </c>
      <c r="L63" s="85">
        <f>VLOOKUP(U$3,'All Schools Data view only'!A:DY,105,0)</f>
        <v>144.7405277777778</v>
      </c>
    </row>
    <row r="64" spans="1:12" ht="15" customHeight="1">
      <c r="A64" s="10"/>
      <c r="B64" s="97"/>
      <c r="C64" s="111"/>
      <c r="D64" s="111"/>
      <c r="E64" s="111"/>
      <c r="F64" s="111"/>
      <c r="G64" s="111"/>
      <c r="H64" s="104"/>
      <c r="I64" s="12"/>
      <c r="J64" s="12"/>
      <c r="K64" s="20"/>
      <c r="L64" s="20"/>
    </row>
    <row r="65" spans="1:12" ht="15" customHeight="1">
      <c r="A65" s="10" t="s">
        <v>22</v>
      </c>
      <c r="B65" s="97" t="s">
        <v>14</v>
      </c>
      <c r="C65" s="109" t="str">
        <f>IF(ISERROR(VLOOKUP(C$2,'All Schools Data view only'!$A:$DY,106,0)),"",VLOOKUP(C$2,'All Schools Data view only'!$A:$DY,106,0))</f>
        <v/>
      </c>
      <c r="D65" s="109" t="str">
        <f>IF(ISERROR(VLOOKUP(D$2,'All Schools Data view only'!$A:$DY,106,0)),"",VLOOKUP(D$2,'All Schools Data view only'!$A:$DY,106,0))</f>
        <v/>
      </c>
      <c r="E65" s="109" t="str">
        <f>IF(ISERROR(VLOOKUP(E$2,'All Schools Data view only'!$A:$DY,106,0)),"",VLOOKUP(E$2,'All Schools Data view only'!$A:$DY,106,0))</f>
        <v/>
      </c>
      <c r="F65" s="109" t="str">
        <f>IF(ISERROR(VLOOKUP(F$2,'All Schools Data view only'!$A:$DY,106,0)),"",VLOOKUP(F$2,'All Schools Data view only'!$A:$DY,106,0))</f>
        <v/>
      </c>
      <c r="G65" s="109" t="str">
        <f>IF(ISERROR(VLOOKUP(G$2,'All Schools Data view only'!$A:$DY,106,0)),"",VLOOKUP(G$2,'All Schools Data view only'!$A:$DY,106,0))</f>
        <v/>
      </c>
      <c r="H65" s="102">
        <f>VLOOKUP(Q$3,'All Schools Data view only'!A:DY,106,0)</f>
        <v>1.5348270341859426E-3</v>
      </c>
      <c r="I65" s="82">
        <f>VLOOKUP(R$3,'All Schools Data view only'!A:DY,106,0)</f>
        <v>2.1333785455868877E-3</v>
      </c>
      <c r="J65" s="82">
        <f>VLOOKUP(S$3,'All Schools Data view only'!A:DY,106,0)</f>
        <v>1.8855914504794825E-3</v>
      </c>
      <c r="K65" s="84">
        <f>VLOOKUP(T$3,'All Schools Data view only'!A:DY,106,0)</f>
        <v>1.8169922831009328E-3</v>
      </c>
      <c r="L65" s="84">
        <f>VLOOKUP(U$3,'All Schools Data view only'!A:DY,106,0)</f>
        <v>2.9695497287888015E-4</v>
      </c>
    </row>
    <row r="66" spans="1:12" ht="15" customHeight="1">
      <c r="A66" s="10"/>
      <c r="B66" s="97" t="s">
        <v>15</v>
      </c>
      <c r="C66" s="110" t="str">
        <f>IF(ISERROR(VLOOKUP(C$2,'All Schools Data view only'!$A:$DY,107,0)),"",VLOOKUP(C$2,'All Schools Data view only'!$A:$DY,107,0))</f>
        <v/>
      </c>
      <c r="D66" s="110" t="str">
        <f>IF(ISERROR(VLOOKUP(D$2,'All Schools Data view only'!$A:$DY,107,0)),"",VLOOKUP(D$2,'All Schools Data view only'!$A:$DY,107,0))</f>
        <v/>
      </c>
      <c r="E66" s="110" t="str">
        <f>IF(ISERROR(VLOOKUP(E$2,'All Schools Data view only'!$A:$DY,107,0)),"",VLOOKUP(E$2,'All Schools Data view only'!$A:$DY,107,0))</f>
        <v/>
      </c>
      <c r="F66" s="110" t="str">
        <f>IF(ISERROR(VLOOKUP(F$2,'All Schools Data view only'!$A:$DY,107,0)),"",VLOOKUP(F$2,'All Schools Data view only'!$A:$DY,107,0))</f>
        <v/>
      </c>
      <c r="G66" s="110" t="str">
        <f>IF(ISERROR(VLOOKUP(G$2,'All Schools Data view only'!$A:$DY,107,0)),"",VLOOKUP(G$2,'All Schools Data view only'!$A:$DY,107,0))</f>
        <v/>
      </c>
      <c r="H66" s="103">
        <f>VLOOKUP(Q$3,'All Schools Data view only'!A:DY,107,0)</f>
        <v>11.172918191056912</v>
      </c>
      <c r="I66" s="83">
        <f>VLOOKUP(R$3,'All Schools Data view only'!A:DY,107,0)</f>
        <v>11.549310841096805</v>
      </c>
      <c r="J66" s="83">
        <f>VLOOKUP(S$3,'All Schools Data view only'!A:DY,107,0)</f>
        <v>24.52928411745151</v>
      </c>
      <c r="K66" s="85">
        <f>VLOOKUP(T$3,'All Schools Data view only'!A:DY,107,0)</f>
        <v>49.343476952589135</v>
      </c>
      <c r="L66" s="85">
        <f>VLOOKUP(U$3,'All Schools Data view only'!A:DY,107,0)</f>
        <v>7.5078888888888891</v>
      </c>
    </row>
    <row r="67" spans="1:12" ht="15" customHeight="1">
      <c r="A67" s="10"/>
      <c r="B67" s="97"/>
      <c r="C67" s="111"/>
      <c r="D67" s="111"/>
      <c r="E67" s="111"/>
      <c r="F67" s="111"/>
      <c r="G67" s="111"/>
      <c r="H67" s="104"/>
      <c r="I67" s="12"/>
      <c r="J67" s="12"/>
      <c r="K67" s="20"/>
      <c r="L67" s="20"/>
    </row>
    <row r="68" spans="1:12" ht="15" customHeight="1">
      <c r="A68" s="10" t="s">
        <v>23</v>
      </c>
      <c r="B68" s="97" t="s">
        <v>13</v>
      </c>
      <c r="C68" s="109" t="str">
        <f>IF(ISERROR(VLOOKUP(C$2,'All Schools Data view only'!$A:$DY,108,0)),"",VLOOKUP(C$2,'All Schools Data view only'!$A:$DY,108,0))</f>
        <v/>
      </c>
      <c r="D68" s="109" t="str">
        <f>IF(ISERROR(VLOOKUP(D$2,'All Schools Data view only'!$A:$DY,108,0)),"",VLOOKUP(D$2,'All Schools Data view only'!$A:$DY,108,0))</f>
        <v/>
      </c>
      <c r="E68" s="109" t="str">
        <f>IF(ISERROR(VLOOKUP(E$2,'All Schools Data view only'!$A:$DY,108,0)),"",VLOOKUP(E$2,'All Schools Data view only'!$A:$DY,108,0))</f>
        <v/>
      </c>
      <c r="F68" s="109" t="str">
        <f>IF(ISERROR(VLOOKUP(F$2,'All Schools Data view only'!$A:$DY,108,0)),"",VLOOKUP(F$2,'All Schools Data view only'!$A:$DY,108,0))</f>
        <v/>
      </c>
      <c r="G68" s="109" t="str">
        <f>IF(ISERROR(VLOOKUP(G$2,'All Schools Data view only'!$A:$DY,108,0)),"",VLOOKUP(G$2,'All Schools Data view only'!$A:$DY,108,0))</f>
        <v/>
      </c>
      <c r="H68" s="102">
        <f>VLOOKUP(Q$3,'All Schools Data view only'!A:DY,108,0)</f>
        <v>1.0164059746095761E-2</v>
      </c>
      <c r="I68" s="82">
        <f>VLOOKUP(R$3,'All Schools Data view only'!A:DY,108,0)</f>
        <v>1.262720184678323E-2</v>
      </c>
      <c r="J68" s="82">
        <f>VLOOKUP(S$3,'All Schools Data view only'!A:DY,108,0)</f>
        <v>1.9172357984341182E-2</v>
      </c>
      <c r="K68" s="84">
        <f>VLOOKUP(T$3,'All Schools Data view only'!A:DY,108,0)</f>
        <v>1.2569652839358337E-2</v>
      </c>
      <c r="L68" s="84">
        <f>VLOOKUP(U$3,'All Schools Data view only'!A:DY,108,0)</f>
        <v>2.6465605169248324E-3</v>
      </c>
    </row>
    <row r="69" spans="1:12" ht="15" customHeight="1">
      <c r="A69" s="10"/>
      <c r="B69" s="97" t="s">
        <v>14</v>
      </c>
      <c r="C69" s="109" t="str">
        <f>IF(ISERROR(VLOOKUP(C$2,'All Schools Data view only'!$A:$DY,109,0)),"",VLOOKUP(C$2,'All Schools Data view only'!$A:$DY,109,0))</f>
        <v/>
      </c>
      <c r="D69" s="109" t="str">
        <f>IF(ISERROR(VLOOKUP(D$2,'All Schools Data view only'!$A:$DY,109,0)),"",VLOOKUP(D$2,'All Schools Data view only'!$A:$DY,109,0))</f>
        <v/>
      </c>
      <c r="E69" s="109" t="str">
        <f>IF(ISERROR(VLOOKUP(E$2,'All Schools Data view only'!$A:$DY,109,0)),"",VLOOKUP(E$2,'All Schools Data view only'!$A:$DY,109,0))</f>
        <v/>
      </c>
      <c r="F69" s="109" t="str">
        <f>IF(ISERROR(VLOOKUP(F$2,'All Schools Data view only'!$A:$DY,109,0)),"",VLOOKUP(F$2,'All Schools Data view only'!$A:$DY,109,0))</f>
        <v/>
      </c>
      <c r="G69" s="109" t="str">
        <f>IF(ISERROR(VLOOKUP(G$2,'All Schools Data view only'!$A:$DY,109,0)),"",VLOOKUP(G$2,'All Schools Data view only'!$A:$DY,109,0))</f>
        <v/>
      </c>
      <c r="H69" s="102">
        <f>VLOOKUP(Q$3,'All Schools Data view only'!A:DY,109,0)</f>
        <v>5.8921324351089979E-3</v>
      </c>
      <c r="I69" s="82">
        <f>VLOOKUP(R$3,'All Schools Data view only'!A:DY,109,0)</f>
        <v>1.1375136162930621E-2</v>
      </c>
      <c r="J69" s="82">
        <f>VLOOKUP(S$3,'All Schools Data view only'!A:DY,109,0)</f>
        <v>1.6615296920824123E-2</v>
      </c>
      <c r="K69" s="84">
        <f>VLOOKUP(T$3,'All Schools Data view only'!A:DY,109,0)</f>
        <v>1.1382959657100032E-2</v>
      </c>
      <c r="L69" s="84">
        <f>VLOOKUP(U$3,'All Schools Data view only'!A:DY,109,0)</f>
        <v>2.6012686069728885E-3</v>
      </c>
    </row>
    <row r="70" spans="1:12" ht="30">
      <c r="A70" s="10"/>
      <c r="B70" s="97" t="s">
        <v>21</v>
      </c>
      <c r="C70" s="110" t="str">
        <f>IF(ISERROR(VLOOKUP(C$2,'All Schools Data view only'!$A:$DY,110,0)),"",VLOOKUP(C$2,'All Schools Data view only'!$A:$DY,110,0))</f>
        <v/>
      </c>
      <c r="D70" s="110" t="str">
        <f>IF(ISERROR(VLOOKUP(D$2,'All Schools Data view only'!$A:$DY,110,0)),"",VLOOKUP(D$2,'All Schools Data view only'!$A:$DY,110,0))</f>
        <v/>
      </c>
      <c r="E70" s="110" t="str">
        <f>IF(ISERROR(VLOOKUP(E$2,'All Schools Data view only'!$A:$DY,110,0)),"",VLOOKUP(E$2,'All Schools Data view only'!$A:$DY,110,0))</f>
        <v/>
      </c>
      <c r="F70" s="110" t="str">
        <f>IF(ISERROR(VLOOKUP(F$2,'All Schools Data view only'!$A:$DY,110,0)),"",VLOOKUP(F$2,'All Schools Data view only'!$A:$DY,110,0))</f>
        <v/>
      </c>
      <c r="G70" s="110" t="str">
        <f>IF(ISERROR(VLOOKUP(G$2,'All Schools Data view only'!$A:$DY,110,0)),"",VLOOKUP(G$2,'All Schools Data view only'!$A:$DY,110,0))</f>
        <v/>
      </c>
      <c r="H70" s="103">
        <f>VLOOKUP(Q$3,'All Schools Data view only'!A:DY,110,0)</f>
        <v>8.374736106890353</v>
      </c>
      <c r="I70" s="83">
        <f>VLOOKUP(R$3,'All Schools Data view only'!A:DY,110,0)</f>
        <v>11.658396458053126</v>
      </c>
      <c r="J70" s="83">
        <f>VLOOKUP(S$3,'All Schools Data view only'!A:DY,110,0)</f>
        <v>10.442076688734064</v>
      </c>
      <c r="K70" s="85">
        <f>VLOOKUP(T$3,'All Schools Data view only'!A:DY,110,0)</f>
        <v>13.613172680015854</v>
      </c>
      <c r="L70" s="85" t="str">
        <f>VLOOKUP(U$3,'All Schools Data view only'!A:DY,110,0)</f>
        <v>No details available</v>
      </c>
    </row>
    <row r="71" spans="1:12" ht="15" customHeight="1">
      <c r="A71" s="10"/>
      <c r="B71" s="97" t="s">
        <v>15</v>
      </c>
      <c r="C71" s="110" t="str">
        <f>IF(ISERROR(VLOOKUP(C$2,'All Schools Data view only'!$A:$DY,111,0)),"",VLOOKUP(C$2,'All Schools Data view only'!$A:$DY,111,0))</f>
        <v/>
      </c>
      <c r="D71" s="110" t="str">
        <f>IF(ISERROR(VLOOKUP(D$2,'All Schools Data view only'!$A:$DY,111,0)),"",VLOOKUP(D$2,'All Schools Data view only'!$A:$DY,111,0))</f>
        <v/>
      </c>
      <c r="E71" s="110" t="str">
        <f>IF(ISERROR(VLOOKUP(E$2,'All Schools Data view only'!$A:$DY,111,0)),"",VLOOKUP(E$2,'All Schools Data view only'!$A:$DY,111,0))</f>
        <v/>
      </c>
      <c r="F71" s="110" t="str">
        <f>IF(ISERROR(VLOOKUP(F$2,'All Schools Data view only'!$A:$DY,111,0)),"",VLOOKUP(F$2,'All Schools Data view only'!$A:$DY,111,0))</f>
        <v/>
      </c>
      <c r="G71" s="110" t="str">
        <f>IF(ISERROR(VLOOKUP(G$2,'All Schools Data view only'!$A:$DY,111,0)),"",VLOOKUP(G$2,'All Schools Data view only'!$A:$DY,111,0))</f>
        <v/>
      </c>
      <c r="H71" s="103">
        <f>VLOOKUP(Q$3,'All Schools Data view only'!A:DY,111,0)</f>
        <v>41.606029979674794</v>
      </c>
      <c r="I71" s="83">
        <f>VLOOKUP(R$3,'All Schools Data view only'!A:DY,111,0)</f>
        <v>61.690628872840684</v>
      </c>
      <c r="J71" s="83">
        <f>VLOOKUP(S$3,'All Schools Data view only'!A:DY,111,0)</f>
        <v>148.8988700396564</v>
      </c>
      <c r="K71" s="85">
        <f>VLOOKUP(T$3,'All Schools Data view only'!A:DY,111,0)</f>
        <v>290.77859723131922</v>
      </c>
      <c r="L71" s="85">
        <f>VLOOKUP(U$3,'All Schools Data view only'!A:DY,111,0)</f>
        <v>65.76766666666667</v>
      </c>
    </row>
    <row r="72" spans="1:12" ht="15" customHeight="1">
      <c r="A72" s="10"/>
      <c r="B72" s="97"/>
      <c r="C72" s="111"/>
      <c r="D72" s="111"/>
      <c r="E72" s="111"/>
      <c r="F72" s="111"/>
      <c r="G72" s="111"/>
      <c r="H72" s="104"/>
      <c r="I72" s="12"/>
      <c r="J72" s="12"/>
      <c r="K72" s="20"/>
      <c r="L72" s="20"/>
    </row>
    <row r="73" spans="1:12" ht="15" customHeight="1">
      <c r="A73" s="10" t="s">
        <v>24</v>
      </c>
      <c r="B73" s="97" t="s">
        <v>13</v>
      </c>
      <c r="C73" s="109" t="str">
        <f>IF(ISERROR(VLOOKUP(C$2,'All Schools Data view only'!$A:$DY,112,0)),"",VLOOKUP(C$2,'All Schools Data view only'!$A:$DY,112,0))</f>
        <v/>
      </c>
      <c r="D73" s="109" t="str">
        <f>IF(ISERROR(VLOOKUP(D$2,'All Schools Data view only'!$A:$DY,112,0)),"",VLOOKUP(D$2,'All Schools Data view only'!$A:$DY,112,0))</f>
        <v/>
      </c>
      <c r="E73" s="109" t="str">
        <f>IF(ISERROR(VLOOKUP(E$2,'All Schools Data view only'!$A:$DY,112,0)),"",VLOOKUP(E$2,'All Schools Data view only'!$A:$DY,112,0))</f>
        <v/>
      </c>
      <c r="F73" s="109" t="str">
        <f>IF(ISERROR(VLOOKUP(F$2,'All Schools Data view only'!$A:$DY,112,0)),"",VLOOKUP(F$2,'All Schools Data view only'!$A:$DY,112,0))</f>
        <v/>
      </c>
      <c r="G73" s="109" t="str">
        <f>IF(ISERROR(VLOOKUP(G$2,'All Schools Data view only'!$A:$DY,112,0)),"",VLOOKUP(G$2,'All Schools Data view only'!$A:$DY,112,0))</f>
        <v/>
      </c>
      <c r="H73" s="102">
        <f>VLOOKUP(Q$3,'All Schools Data view only'!A:DY,112,0)</f>
        <v>9.5131066772831535E-3</v>
      </c>
      <c r="I73" s="82">
        <f>VLOOKUP(R$3,'All Schools Data view only'!A:DY,112,0)</f>
        <v>7.9761913579932953E-3</v>
      </c>
      <c r="J73" s="82">
        <f>VLOOKUP(S$3,'All Schools Data view only'!A:DY,112,0)</f>
        <v>1.0163964623626325E-2</v>
      </c>
      <c r="K73" s="84">
        <f>VLOOKUP(T$3,'All Schools Data view only'!A:DY,112,0)</f>
        <v>4.2641520149719484E-3</v>
      </c>
      <c r="L73" s="84">
        <f>VLOOKUP(U$3,'All Schools Data view only'!A:DY,112,0)</f>
        <v>6.2281236874915484E-3</v>
      </c>
    </row>
    <row r="74" spans="1:12" ht="15" customHeight="1">
      <c r="A74" s="10"/>
      <c r="B74" s="97" t="s">
        <v>14</v>
      </c>
      <c r="C74" s="109" t="str">
        <f>IF(ISERROR(VLOOKUP(C$2,'All Schools Data view only'!$A:$DY,113,0)),"",VLOOKUP(C$2,'All Schools Data view only'!$A:$DY,113,0))</f>
        <v/>
      </c>
      <c r="D74" s="109" t="str">
        <f>IF(ISERROR(VLOOKUP(D$2,'All Schools Data view only'!$A:$DY,113,0)),"",VLOOKUP(D$2,'All Schools Data view only'!$A:$DY,113,0))</f>
        <v/>
      </c>
      <c r="E74" s="109" t="str">
        <f>IF(ISERROR(VLOOKUP(E$2,'All Schools Data view only'!$A:$DY,113,0)),"",VLOOKUP(E$2,'All Schools Data view only'!$A:$DY,113,0))</f>
        <v/>
      </c>
      <c r="F74" s="109" t="str">
        <f>IF(ISERROR(VLOOKUP(F$2,'All Schools Data view only'!$A:$DY,113,0)),"",VLOOKUP(F$2,'All Schools Data view only'!$A:$DY,113,0))</f>
        <v/>
      </c>
      <c r="G74" s="109" t="str">
        <f>IF(ISERROR(VLOOKUP(G$2,'All Schools Data view only'!$A:$DY,113,0)),"",VLOOKUP(G$2,'All Schools Data view only'!$A:$DY,113,0))</f>
        <v/>
      </c>
      <c r="H74" s="102">
        <f>VLOOKUP(Q$3,'All Schools Data view only'!A:DY,113,0)</f>
        <v>5.3625794898640791E-3</v>
      </c>
      <c r="I74" s="82">
        <f>VLOOKUP(R$3,'All Schools Data view only'!A:DY,113,0)</f>
        <v>6.8041693358312826E-3</v>
      </c>
      <c r="J74" s="82">
        <f>VLOOKUP(S$3,'All Schools Data view only'!A:DY,113,0)</f>
        <v>8.5570939570084395E-3</v>
      </c>
      <c r="K74" s="84">
        <f>VLOOKUP(T$3,'All Schools Data view only'!A:DY,113,0)</f>
        <v>3.8181473996755496E-3</v>
      </c>
      <c r="L74" s="84">
        <f>VLOOKUP(U$3,'All Schools Data view only'!A:DY,113,0)</f>
        <v>5.543543013934186E-3</v>
      </c>
    </row>
    <row r="75" spans="1:12" ht="30">
      <c r="A75" s="10"/>
      <c r="B75" s="97" t="s">
        <v>21</v>
      </c>
      <c r="C75" s="110" t="str">
        <f>IF(ISERROR(VLOOKUP(C$2,'All Schools Data view only'!$A:$DY,114,0)),"",VLOOKUP(C$2,'All Schools Data view only'!$A:$DY,114,0))</f>
        <v/>
      </c>
      <c r="D75" s="110" t="str">
        <f>IF(ISERROR(VLOOKUP(D$2,'All Schools Data view only'!$A:$DY,114,0)),"",VLOOKUP(D$2,'All Schools Data view only'!$A:$DY,114,0))</f>
        <v/>
      </c>
      <c r="E75" s="110" t="str">
        <f>IF(ISERROR(VLOOKUP(E$2,'All Schools Data view only'!$A:$DY,114,0)),"",VLOOKUP(E$2,'All Schools Data view only'!$A:$DY,114,0))</f>
        <v/>
      </c>
      <c r="F75" s="110" t="str">
        <f>IF(ISERROR(VLOOKUP(F$2,'All Schools Data view only'!$A:$DY,114,0)),"",VLOOKUP(F$2,'All Schools Data view only'!$A:$DY,114,0))</f>
        <v/>
      </c>
      <c r="G75" s="110" t="str">
        <f>IF(ISERROR(VLOOKUP(G$2,'All Schools Data view only'!$A:$DY,114,0)),"",VLOOKUP(G$2,'All Schools Data view only'!$A:$DY,114,0))</f>
        <v/>
      </c>
      <c r="H75" s="103">
        <f>VLOOKUP(Q$3,'All Schools Data view only'!A:DY,114,0)</f>
        <v>9.821466901945044</v>
      </c>
      <c r="I75" s="83">
        <f>VLOOKUP(R$3,'All Schools Data view only'!A:DY,114,0)</f>
        <v>6.7428854199265418</v>
      </c>
      <c r="J75" s="83">
        <f>VLOOKUP(S$3,'All Schools Data view only'!A:DY,114,0)</f>
        <v>5.1948360166120997</v>
      </c>
      <c r="K75" s="85">
        <f>VLOOKUP(T$3,'All Schools Data view only'!A:DY,114,0)</f>
        <v>6.1269033076259785</v>
      </c>
      <c r="L75" s="85" t="str">
        <f>VLOOKUP(U$3,'All Schools Data view only'!A:DY,114,0)</f>
        <v>No details available</v>
      </c>
    </row>
    <row r="76" spans="1:12" ht="15" customHeight="1">
      <c r="A76" s="10"/>
      <c r="B76" s="97"/>
      <c r="C76" s="111"/>
      <c r="D76" s="111"/>
      <c r="E76" s="111"/>
      <c r="F76" s="111"/>
      <c r="G76" s="111"/>
      <c r="H76" s="104"/>
      <c r="I76" s="12"/>
      <c r="J76" s="12"/>
      <c r="K76" s="20"/>
      <c r="L76" s="20"/>
    </row>
    <row r="77" spans="1:12" ht="15" customHeight="1">
      <c r="A77" s="10" t="s">
        <v>25</v>
      </c>
      <c r="B77" s="97" t="s">
        <v>13</v>
      </c>
      <c r="C77" s="109" t="str">
        <f>IF(ISERROR(VLOOKUP(C$2,'All Schools Data view only'!$A:$DY,115,0)),"",VLOOKUP(C$2,'All Schools Data view only'!$A:$DY,115,0))</f>
        <v/>
      </c>
      <c r="D77" s="109" t="str">
        <f>IF(ISERROR(VLOOKUP(D$2,'All Schools Data view only'!$A:$DY,115,0)),"",VLOOKUP(D$2,'All Schools Data view only'!$A:$DY,115,0))</f>
        <v/>
      </c>
      <c r="E77" s="109" t="str">
        <f>IF(ISERROR(VLOOKUP(E$2,'All Schools Data view only'!$A:$DY,115,0)),"",VLOOKUP(E$2,'All Schools Data view only'!$A:$DY,115,0))</f>
        <v/>
      </c>
      <c r="F77" s="109" t="str">
        <f>IF(ISERROR(VLOOKUP(F$2,'All Schools Data view only'!$A:$DY,115,0)),"",VLOOKUP(F$2,'All Schools Data view only'!$A:$DY,115,0))</f>
        <v/>
      </c>
      <c r="G77" s="109" t="str">
        <f>IF(ISERROR(VLOOKUP(G$2,'All Schools Data view only'!$A:$DY,115,0)),"",VLOOKUP(G$2,'All Schools Data view only'!$A:$DY,115,0))</f>
        <v/>
      </c>
      <c r="H77" s="102">
        <f>VLOOKUP(Q$3,'All Schools Data view only'!A:DY,115,0)</f>
        <v>3.7081425683757704E-2</v>
      </c>
      <c r="I77" s="82">
        <f>VLOOKUP(R$3,'All Schools Data view only'!A:DY,115,0)</f>
        <v>4.7953477901073557E-2</v>
      </c>
      <c r="J77" s="82">
        <f>VLOOKUP(S$3,'All Schools Data view only'!A:DY,115,0)</f>
        <v>4.4459472746255592E-2</v>
      </c>
      <c r="K77" s="84">
        <f>VLOOKUP(T$3,'All Schools Data view only'!A:DY,115,0)</f>
        <v>2.8639226259621873E-2</v>
      </c>
      <c r="L77" s="84">
        <f>VLOOKUP(U$3,'All Schools Data view only'!A:DY,115,0)</f>
        <v>1.2152883642030949E-2</v>
      </c>
    </row>
    <row r="78" spans="1:12" ht="15" customHeight="1">
      <c r="A78" s="10"/>
      <c r="B78" s="97" t="s">
        <v>14</v>
      </c>
      <c r="C78" s="109" t="str">
        <f>IF(ISERROR(VLOOKUP(C$2,'All Schools Data view only'!$A:$DY,117,0)),"",VLOOKUP(C$2,'All Schools Data view only'!$A:$DY,117,0))</f>
        <v/>
      </c>
      <c r="D78" s="109" t="str">
        <f>IF(ISERROR(VLOOKUP(D$2,'All Schools Data view only'!$A:$DY,117,0)),"",VLOOKUP(D$2,'All Schools Data view only'!$A:$DY,117,0))</f>
        <v/>
      </c>
      <c r="E78" s="109" t="str">
        <f>IF(ISERROR(VLOOKUP(E$2,'All Schools Data view only'!$A:$DY,117,0)),"",VLOOKUP(E$2,'All Schools Data view only'!$A:$DY,117,0))</f>
        <v/>
      </c>
      <c r="F78" s="109" t="str">
        <f>IF(ISERROR(VLOOKUP(F$2,'All Schools Data view only'!$A:$DY,117,0)),"",VLOOKUP(F$2,'All Schools Data view only'!$A:$DY,117,0))</f>
        <v/>
      </c>
      <c r="G78" s="109" t="str">
        <f>IF(ISERROR(VLOOKUP(G$2,'All Schools Data view only'!$A:$DY,117,0)),"",VLOOKUP(G$2,'All Schools Data view only'!$A:$DY,117,0))</f>
        <v/>
      </c>
      <c r="H78" s="102">
        <f>VLOOKUP(Q$3,'All Schools Data view only'!A:DY,117,0)</f>
        <v>2.1121937885792797E-2</v>
      </c>
      <c r="I78" s="82">
        <f>VLOOKUP(R$3,'All Schools Data view only'!A:DY,117,0)</f>
        <v>4.2877992421180733E-2</v>
      </c>
      <c r="J78" s="82">
        <f>VLOOKUP(S$3,'All Schools Data view only'!A:DY,117,0)</f>
        <v>3.7115674909515298E-2</v>
      </c>
      <c r="K78" s="84">
        <f>VLOOKUP(T$3,'All Schools Data view only'!A:DY,117,0)</f>
        <v>2.5457213306185372E-2</v>
      </c>
      <c r="L78" s="84">
        <f>VLOOKUP(U$3,'All Schools Data view only'!A:DY,117,0)</f>
        <v>1.1338752389886577E-2</v>
      </c>
    </row>
    <row r="79" spans="1:12" ht="15" customHeight="1">
      <c r="A79" s="10"/>
      <c r="B79" s="97" t="s">
        <v>15</v>
      </c>
      <c r="C79" s="110" t="str">
        <f>IF(ISERROR(VLOOKUP(C$2,'All Schools Data view only'!$A:$DY,118,0)),"",VLOOKUP(C$2,'All Schools Data view only'!$A:$DY,118,0))</f>
        <v/>
      </c>
      <c r="D79" s="110" t="str">
        <f>IF(ISERROR(VLOOKUP(D$2,'All Schools Data view only'!$A:$DY,118,0)),"",VLOOKUP(D$2,'All Schools Data view only'!$A:$DY,118,0))</f>
        <v/>
      </c>
      <c r="E79" s="110" t="str">
        <f>IF(ISERROR(VLOOKUP(E$2,'All Schools Data view only'!$A:$DY,118,0)),"",VLOOKUP(E$2,'All Schools Data view only'!$A:$DY,118,0))</f>
        <v/>
      </c>
      <c r="F79" s="110" t="str">
        <f>IF(ISERROR(VLOOKUP(F$2,'All Schools Data view only'!$A:$DY,118,0)),"",VLOOKUP(F$2,'All Schools Data view only'!$A:$DY,118,0))</f>
        <v/>
      </c>
      <c r="G79" s="110" t="str">
        <f>IF(ISERROR(VLOOKUP(G$2,'All Schools Data view only'!$A:$DY,118,0)),"",VLOOKUP(G$2,'All Schools Data view only'!$A:$DY,118,0))</f>
        <v/>
      </c>
      <c r="H79" s="103">
        <f>VLOOKUP(Q$3,'All Schools Data view only'!A:DY,118,0)</f>
        <v>155.62491209349591</v>
      </c>
      <c r="I79" s="83">
        <f>VLOOKUP(R$3,'All Schools Data view only'!A:DY,118,0)</f>
        <v>231.01066426996567</v>
      </c>
      <c r="J79" s="83">
        <f>VLOOKUP(S$3,'All Schools Data view only'!A:DY,118,0)</f>
        <v>315.47317842677319</v>
      </c>
      <c r="K79" s="85">
        <f>VLOOKUP(T$3,'All Schools Data view only'!A:DY,118,0)</f>
        <v>691.37908626051956</v>
      </c>
      <c r="L79" s="85">
        <f>VLOOKUP(U$3,'All Schools Data view only'!A:DY,118,0)</f>
        <v>288.82330555555552</v>
      </c>
    </row>
    <row r="80" spans="1:12" ht="15" customHeight="1">
      <c r="A80" s="10"/>
      <c r="B80" s="97"/>
      <c r="C80" s="111"/>
      <c r="D80" s="111"/>
      <c r="E80" s="111"/>
      <c r="F80" s="111"/>
      <c r="G80" s="111"/>
      <c r="H80" s="104"/>
      <c r="I80" s="12"/>
      <c r="J80" s="12"/>
      <c r="K80" s="20"/>
      <c r="L80" s="20"/>
    </row>
    <row r="81" spans="1:12" ht="15" customHeight="1">
      <c r="A81" s="10" t="s">
        <v>26</v>
      </c>
      <c r="B81" s="97" t="s">
        <v>13</v>
      </c>
      <c r="C81" s="109" t="str">
        <f>IF(ISERROR(VLOOKUP(C$2,'All Schools Data view only'!$A:$DY,119,0)),"",VLOOKUP(C$2,'All Schools Data view only'!$A:$DY,119,0))</f>
        <v/>
      </c>
      <c r="D81" s="109" t="str">
        <f>IF(ISERROR(VLOOKUP(D$2,'All Schools Data view only'!$A:$DY,119,0)),"",VLOOKUP(D$2,'All Schools Data view only'!$A:$DY,119,0))</f>
        <v/>
      </c>
      <c r="E81" s="109" t="str">
        <f>IF(ISERROR(VLOOKUP(E$2,'All Schools Data view only'!$A:$DY,119,0)),"",VLOOKUP(E$2,'All Schools Data view only'!$A:$DY,119,0))</f>
        <v/>
      </c>
      <c r="F81" s="109" t="str">
        <f>IF(ISERROR(VLOOKUP(F$2,'All Schools Data view only'!$A:$DY,119,0)),"",VLOOKUP(F$2,'All Schools Data view only'!$A:$DY,119,0))</f>
        <v/>
      </c>
      <c r="G81" s="109" t="str">
        <f>IF(ISERROR(VLOOKUP(G$2,'All Schools Data view only'!$A:$DY,119,0)),"",VLOOKUP(G$2,'All Schools Data view only'!$A:$DY,119,0))</f>
        <v/>
      </c>
      <c r="H81" s="102">
        <f>VLOOKUP(Q$3,'All Schools Data view only'!A:DY,119,0)</f>
        <v>1.8167272302645376E-2</v>
      </c>
      <c r="I81" s="82">
        <f>VLOOKUP(R$3,'All Schools Data view only'!A:DY,119,0)</f>
        <v>8.3921802673015862E-3</v>
      </c>
      <c r="J81" s="82">
        <f>VLOOKUP(S$3,'All Schools Data view only'!A:DY,119,0)</f>
        <v>1.3366352475588594E-2</v>
      </c>
      <c r="K81" s="84">
        <f>VLOOKUP(T$3,'All Schools Data view only'!A:DY,119,0)</f>
        <v>4.8413964427847624E-3</v>
      </c>
      <c r="L81" s="84">
        <f>VLOOKUP(U$3,'All Schools Data view only'!A:DY,119,0)</f>
        <v>1.1708445586533674E-2</v>
      </c>
    </row>
    <row r="82" spans="1:12" ht="15" customHeight="1">
      <c r="A82" s="10"/>
      <c r="B82" s="97" t="s">
        <v>14</v>
      </c>
      <c r="C82" s="109" t="str">
        <f>IF(ISERROR(VLOOKUP(C$2,'All Schools Data view only'!$A:$DY,120,0)),"",VLOOKUP(C$2,'All Schools Data view only'!$A:$DY,120,0))</f>
        <v/>
      </c>
      <c r="D82" s="109" t="str">
        <f>IF(ISERROR(VLOOKUP(D$2,'All Schools Data view only'!$A:$DY,120,0)),"",VLOOKUP(D$2,'All Schools Data view only'!$A:$DY,120,0))</f>
        <v/>
      </c>
      <c r="E82" s="109" t="str">
        <f>IF(ISERROR(VLOOKUP(E$2,'All Schools Data view only'!$A:$DY,120,0)),"",VLOOKUP(E$2,'All Schools Data view only'!$A:$DY,120,0))</f>
        <v/>
      </c>
      <c r="F82" s="109" t="str">
        <f>IF(ISERROR(VLOOKUP(F$2,'All Schools Data view only'!$A:$DY,120,0)),"",VLOOKUP(F$2,'All Schools Data view only'!$A:$DY,120,0))</f>
        <v/>
      </c>
      <c r="G82" s="109" t="str">
        <f>IF(ISERROR(VLOOKUP(G$2,'All Schools Data view only'!$A:$DY,120,0)),"",VLOOKUP(G$2,'All Schools Data view only'!$A:$DY,120,0))</f>
        <v/>
      </c>
      <c r="H82" s="102">
        <f>VLOOKUP(Q$3,'All Schools Data view only'!A:DY,120,0)</f>
        <v>1.0525513538087975E-2</v>
      </c>
      <c r="I82" s="82">
        <f>VLOOKUP(R$3,'All Schools Data view only'!A:DY,120,0)</f>
        <v>7.6000816459437142E-3</v>
      </c>
      <c r="J82" s="82">
        <f>VLOOKUP(S$3,'All Schools Data view only'!A:DY,120,0)</f>
        <v>1.1832209886939076E-2</v>
      </c>
      <c r="K82" s="84">
        <f>VLOOKUP(T$3,'All Schools Data view only'!A:DY,120,0)</f>
        <v>4.3473605586976955E-3</v>
      </c>
      <c r="L82" s="84">
        <f>VLOOKUP(U$3,'All Schools Data view only'!A:DY,120,0)</f>
        <v>1.0359000058826309E-2</v>
      </c>
    </row>
    <row r="83" spans="1:12" ht="15" customHeight="1">
      <c r="A83" s="10"/>
      <c r="B83" s="97" t="s">
        <v>15</v>
      </c>
      <c r="C83" s="110" t="str">
        <f>IF(ISERROR(VLOOKUP(C$2,'All Schools Data view only'!$A:$DY,121,0)),"",VLOOKUP(C$2,'All Schools Data view only'!$A:$DY,121,0))</f>
        <v/>
      </c>
      <c r="D83" s="110" t="str">
        <f>IF(ISERROR(VLOOKUP(D$2,'All Schools Data view only'!$A:$DY,121,0)),"",VLOOKUP(D$2,'All Schools Data view only'!$A:$DY,121,0))</f>
        <v/>
      </c>
      <c r="E83" s="110" t="str">
        <f>IF(ISERROR(VLOOKUP(E$2,'All Schools Data view only'!$A:$DY,121,0)),"",VLOOKUP(E$2,'All Schools Data view only'!$A:$DY,121,0))</f>
        <v/>
      </c>
      <c r="F83" s="110" t="str">
        <f>IF(ISERROR(VLOOKUP(F$2,'All Schools Data view only'!$A:$DY,121,0)),"",VLOOKUP(F$2,'All Schools Data view only'!$A:$DY,121,0))</f>
        <v/>
      </c>
      <c r="G83" s="110" t="str">
        <f>IF(ISERROR(VLOOKUP(G$2,'All Schools Data view only'!$A:$DY,121,0)),"",VLOOKUP(G$2,'All Schools Data view only'!$A:$DY,121,0))</f>
        <v/>
      </c>
      <c r="H83" s="103">
        <f>VLOOKUP(Q$3,'All Schools Data view only'!A:DY,121,0)</f>
        <v>74.951894817073168</v>
      </c>
      <c r="I83" s="83">
        <f>VLOOKUP(R$3,'All Schools Data view only'!A:DY,121,0)</f>
        <v>41.230751577018765</v>
      </c>
      <c r="J83" s="83">
        <f>VLOOKUP(S$3,'All Schools Data view only'!A:DY,121,0)</f>
        <v>94.07733853300256</v>
      </c>
      <c r="K83" s="85">
        <f>VLOOKUP(T$3,'All Schools Data view only'!A:DY,121,0)</f>
        <v>114.28302138339227</v>
      </c>
      <c r="L83" s="85">
        <f>VLOOKUP(U$3,'All Schools Data view only'!A:DY,121,0)</f>
        <v>265.97491666666667</v>
      </c>
    </row>
    <row r="84" spans="1:12" ht="15" customHeight="1">
      <c r="A84" s="10"/>
      <c r="B84" s="98"/>
      <c r="C84" s="112"/>
      <c r="D84" s="112"/>
      <c r="E84" s="112"/>
      <c r="F84" s="112"/>
      <c r="G84" s="112"/>
      <c r="H84" s="104"/>
      <c r="I84" s="12"/>
      <c r="J84" s="12"/>
      <c r="K84" s="20"/>
      <c r="L84" s="20"/>
    </row>
    <row r="85" spans="1:12" ht="15" customHeight="1">
      <c r="A85" s="22" t="s">
        <v>1602</v>
      </c>
      <c r="B85" s="99" t="s">
        <v>326</v>
      </c>
      <c r="C85" s="126" t="str">
        <f>IF(ISERROR(VLOOKUP(C$2,'All Schools Data view only'!$A:$DY,129,0)),"",VLOOKUP(C$2,'All Schools Data view only'!$A:$DY,129,0))</f>
        <v/>
      </c>
      <c r="D85" s="126" t="str">
        <f>IF(ISERROR(VLOOKUP(D$2,'All Schools Data view only'!$A:$DY,129,0)),"",VLOOKUP(D$2,'All Schools Data view only'!$A:$DY,129,0))</f>
        <v/>
      </c>
      <c r="E85" s="126" t="str">
        <f>IF(ISERROR(VLOOKUP(E$2,'All Schools Data view only'!$A:$DY,129,0)),"",VLOOKUP(E$2,'All Schools Data view only'!$A:$DY,129,0))</f>
        <v/>
      </c>
      <c r="F85" s="126" t="str">
        <f>IF(ISERROR(VLOOKUP(F$2,'All Schools Data view only'!$A:$DY,129,0)),"",VLOOKUP(F$2,'All Schools Data view only'!$A:$DY,129,0))</f>
        <v/>
      </c>
      <c r="G85" s="126" t="str">
        <f>IF(ISERROR(VLOOKUP(G$2,'All Schools Data view only'!$A:$DY,129,0)),"",VLOOKUP(G$2,'All Schools Data view only'!$A:$DY,129,0))</f>
        <v/>
      </c>
      <c r="H85" s="127" t="e">
        <f>VLOOKUP(Q$3,'All Schools Data view only'!A:DY,129,0)</f>
        <v>#N/A</v>
      </c>
      <c r="I85" s="128">
        <f>VLOOKUP(R$3,'All Schools Data view only'!A:DY,129,0)</f>
        <v>85.58552631578948</v>
      </c>
      <c r="J85" s="128">
        <f>VLOOKUP(S$3,'All Schools Data view only'!A:DY,129,0)</f>
        <v>170.28571428571428</v>
      </c>
      <c r="K85" s="129">
        <f>VLOOKUP(T$3,'All Schools Data view only'!A:DY,129,0)</f>
        <v>40</v>
      </c>
      <c r="L85" s="129">
        <f>VLOOKUP(U$3,'All Schools Data view only'!A:DY,129,0)</f>
        <v>8.5</v>
      </c>
    </row>
    <row r="86" spans="1:12" ht="15" customHeight="1" thickBot="1">
      <c r="A86" s="23"/>
      <c r="B86" s="100"/>
      <c r="C86" s="113"/>
      <c r="D86" s="113"/>
      <c r="E86" s="113"/>
      <c r="F86" s="113"/>
      <c r="G86" s="113"/>
      <c r="H86" s="106"/>
      <c r="I86" s="24"/>
      <c r="J86" s="24"/>
      <c r="K86" s="25"/>
      <c r="L86" s="25"/>
    </row>
    <row r="87" spans="1:12" ht="15" customHeight="1" thickTop="1"/>
    <row r="88" spans="1:12" ht="15" customHeight="1"/>
    <row r="89" spans="1:12" ht="15" customHeight="1"/>
    <row r="90" spans="1:12" ht="15" customHeight="1"/>
    <row r="411" spans="2:7" ht="15" customHeight="1">
      <c r="B411" s="115" t="s">
        <v>27</v>
      </c>
      <c r="C411" s="9">
        <v>9999</v>
      </c>
      <c r="D411" s="9">
        <v>9999</v>
      </c>
      <c r="E411" s="9">
        <v>9999</v>
      </c>
      <c r="F411" s="9">
        <v>9999</v>
      </c>
      <c r="G411" s="9">
        <v>9999</v>
      </c>
    </row>
    <row r="412" spans="2:7" ht="12.75" customHeight="1">
      <c r="B412" s="115"/>
      <c r="C412" s="15"/>
      <c r="D412" s="15"/>
      <c r="E412" s="15"/>
      <c r="F412" s="15"/>
      <c r="G412" s="15"/>
    </row>
    <row r="413" spans="2:7" ht="15" customHeight="1">
      <c r="B413" s="11" t="s">
        <v>28</v>
      </c>
      <c r="C413" s="15">
        <v>1000</v>
      </c>
      <c r="D413" s="15">
        <v>1000</v>
      </c>
      <c r="E413" s="15">
        <v>1000</v>
      </c>
      <c r="F413" s="15">
        <v>1000</v>
      </c>
      <c r="G413" s="15">
        <v>1000</v>
      </c>
    </row>
    <row r="414" spans="2:7" ht="15" customHeight="1">
      <c r="B414" s="11" t="s">
        <v>29</v>
      </c>
      <c r="C414" s="15">
        <v>1001</v>
      </c>
      <c r="D414" s="15">
        <v>1001</v>
      </c>
      <c r="E414" s="15">
        <v>1001</v>
      </c>
      <c r="F414" s="15">
        <v>1001</v>
      </c>
      <c r="G414" s="15">
        <v>1001</v>
      </c>
    </row>
    <row r="415" spans="2:7" ht="15" customHeight="1">
      <c r="B415" s="11" t="s">
        <v>30</v>
      </c>
      <c r="C415" s="15">
        <v>1002</v>
      </c>
      <c r="D415" s="15">
        <v>1002</v>
      </c>
      <c r="E415" s="15">
        <v>1002</v>
      </c>
      <c r="F415" s="15">
        <v>1002</v>
      </c>
      <c r="G415" s="15">
        <v>1002</v>
      </c>
    </row>
    <row r="416" spans="2:7" ht="15" customHeight="1">
      <c r="B416" s="11" t="s">
        <v>31</v>
      </c>
      <c r="C416" s="15">
        <v>1003</v>
      </c>
      <c r="D416" s="15">
        <v>1003</v>
      </c>
      <c r="E416" s="15">
        <v>1003</v>
      </c>
      <c r="F416" s="15">
        <v>1003</v>
      </c>
      <c r="G416" s="15">
        <v>1003</v>
      </c>
    </row>
    <row r="417" spans="2:10" ht="12.75" customHeight="1">
      <c r="B417" s="115"/>
      <c r="C417" s="15"/>
      <c r="D417" s="15"/>
      <c r="E417" s="15"/>
      <c r="F417" s="15"/>
      <c r="G417" s="15"/>
    </row>
    <row r="418" spans="2:10" ht="15" customHeight="1">
      <c r="B418" s="13" t="s">
        <v>32</v>
      </c>
      <c r="C418" s="15">
        <v>3520</v>
      </c>
      <c r="D418" s="15">
        <v>3520</v>
      </c>
      <c r="E418" s="15">
        <v>3520</v>
      </c>
      <c r="F418" s="15">
        <v>3520</v>
      </c>
      <c r="G418" s="15">
        <v>3520</v>
      </c>
    </row>
    <row r="419" spans="2:10" ht="15" customHeight="1">
      <c r="B419" s="15" t="s">
        <v>33</v>
      </c>
      <c r="C419" s="15">
        <v>3317</v>
      </c>
      <c r="D419" s="15">
        <v>3317</v>
      </c>
      <c r="E419" s="15">
        <v>3317</v>
      </c>
      <c r="F419" s="15">
        <v>3317</v>
      </c>
      <c r="G419" s="15">
        <v>3317</v>
      </c>
    </row>
    <row r="420" spans="2:10" ht="15" customHeight="1">
      <c r="B420" s="16" t="s">
        <v>34</v>
      </c>
      <c r="C420" s="15">
        <v>3300</v>
      </c>
      <c r="D420" s="15">
        <v>3300</v>
      </c>
      <c r="E420" s="15">
        <v>3300</v>
      </c>
      <c r="F420" s="15">
        <v>3300</v>
      </c>
      <c r="G420" s="15">
        <v>3300</v>
      </c>
    </row>
    <row r="421" spans="2:10" ht="15" customHeight="1">
      <c r="B421" s="15" t="s">
        <v>35</v>
      </c>
      <c r="C421" s="15">
        <v>3500</v>
      </c>
      <c r="D421" s="15">
        <v>3500</v>
      </c>
      <c r="E421" s="15">
        <v>3500</v>
      </c>
      <c r="F421" s="15">
        <v>3500</v>
      </c>
      <c r="G421" s="15">
        <v>3500</v>
      </c>
    </row>
    <row r="422" spans="2:10" ht="15" customHeight="1">
      <c r="B422" s="15" t="s">
        <v>36</v>
      </c>
      <c r="C422" s="15">
        <v>3514</v>
      </c>
      <c r="D422" s="15">
        <v>3514</v>
      </c>
      <c r="E422" s="15">
        <v>3514</v>
      </c>
      <c r="F422" s="15">
        <v>3514</v>
      </c>
      <c r="G422" s="15">
        <v>3514</v>
      </c>
    </row>
    <row r="423" spans="2:10" ht="15" customHeight="1">
      <c r="B423" s="15" t="s">
        <v>37</v>
      </c>
      <c r="C423" s="15">
        <v>2002</v>
      </c>
      <c r="D423" s="15">
        <v>2002</v>
      </c>
      <c r="E423" s="15">
        <v>2002</v>
      </c>
      <c r="F423" s="15">
        <v>2002</v>
      </c>
      <c r="G423" s="15">
        <v>2002</v>
      </c>
      <c r="I423" s="15"/>
      <c r="J423" s="15"/>
    </row>
    <row r="424" spans="2:10" ht="15" customHeight="1">
      <c r="B424" s="15" t="s">
        <v>38</v>
      </c>
      <c r="C424" s="15">
        <v>2079</v>
      </c>
      <c r="D424" s="15">
        <v>2079</v>
      </c>
      <c r="E424" s="15">
        <v>2079</v>
      </c>
      <c r="F424" s="15">
        <v>2079</v>
      </c>
      <c r="G424" s="15">
        <v>2079</v>
      </c>
      <c r="I424" s="15"/>
      <c r="J424" s="15"/>
    </row>
    <row r="425" spans="2:10" ht="15" customHeight="1">
      <c r="B425" s="15" t="s">
        <v>456</v>
      </c>
      <c r="C425" s="15">
        <v>3524</v>
      </c>
      <c r="D425" s="15">
        <v>3524</v>
      </c>
      <c r="E425" s="15">
        <v>3524</v>
      </c>
      <c r="F425" s="15">
        <v>3524</v>
      </c>
      <c r="G425" s="15">
        <v>3524</v>
      </c>
      <c r="I425" s="15"/>
      <c r="J425" s="15"/>
    </row>
    <row r="426" spans="2:10" ht="15" customHeight="1">
      <c r="B426" s="15" t="s">
        <v>39</v>
      </c>
      <c r="C426" s="15">
        <v>2003</v>
      </c>
      <c r="D426" s="15">
        <v>2003</v>
      </c>
      <c r="E426" s="15">
        <v>2003</v>
      </c>
      <c r="F426" s="15">
        <v>2003</v>
      </c>
      <c r="G426" s="15">
        <v>2003</v>
      </c>
      <c r="I426" s="15"/>
      <c r="J426" s="15"/>
    </row>
    <row r="427" spans="2:10" ht="15" customHeight="1">
      <c r="B427" s="15" t="s">
        <v>40</v>
      </c>
      <c r="C427" s="15">
        <v>3511</v>
      </c>
      <c r="D427" s="15">
        <v>3511</v>
      </c>
      <c r="E427" s="15">
        <v>3511</v>
      </c>
      <c r="F427" s="15">
        <v>3511</v>
      </c>
      <c r="G427" s="15">
        <v>3511</v>
      </c>
      <c r="I427" s="15"/>
      <c r="J427" s="15"/>
    </row>
    <row r="428" spans="2:10" ht="15" customHeight="1">
      <c r="B428" s="15" t="s">
        <v>42</v>
      </c>
      <c r="C428" s="15">
        <v>2008</v>
      </c>
      <c r="D428" s="15">
        <v>2008</v>
      </c>
      <c r="E428" s="15">
        <v>2008</v>
      </c>
      <c r="F428" s="15">
        <v>2008</v>
      </c>
      <c r="G428" s="15">
        <v>2008</v>
      </c>
      <c r="I428" s="15"/>
      <c r="J428" s="15"/>
    </row>
    <row r="429" spans="2:10" ht="15" customHeight="1">
      <c r="B429" s="15" t="s">
        <v>43</v>
      </c>
      <c r="C429" s="15">
        <v>2007</v>
      </c>
      <c r="D429" s="15">
        <v>2007</v>
      </c>
      <c r="E429" s="15">
        <v>2007</v>
      </c>
      <c r="F429" s="15">
        <v>2007</v>
      </c>
      <c r="G429" s="15">
        <v>2007</v>
      </c>
      <c r="I429" s="15"/>
      <c r="J429" s="15"/>
    </row>
    <row r="430" spans="2:10" ht="15" customHeight="1">
      <c r="B430" s="15" t="s">
        <v>44</v>
      </c>
      <c r="C430" s="15">
        <v>2009</v>
      </c>
      <c r="D430" s="15">
        <v>2009</v>
      </c>
      <c r="E430" s="15">
        <v>2009</v>
      </c>
      <c r="F430" s="15">
        <v>2009</v>
      </c>
      <c r="G430" s="15">
        <v>2009</v>
      </c>
      <c r="I430" s="15"/>
      <c r="J430" s="15"/>
    </row>
    <row r="431" spans="2:10" ht="15" customHeight="1">
      <c r="B431" s="15" t="s">
        <v>45</v>
      </c>
      <c r="C431" s="15">
        <v>2067</v>
      </c>
      <c r="D431" s="15">
        <v>2067</v>
      </c>
      <c r="E431" s="15">
        <v>2067</v>
      </c>
      <c r="F431" s="15">
        <v>2067</v>
      </c>
      <c r="G431" s="15">
        <v>2067</v>
      </c>
      <c r="I431" s="15"/>
      <c r="J431" s="15"/>
    </row>
    <row r="432" spans="2:10" ht="15" customHeight="1">
      <c r="B432" s="15" t="s">
        <v>46</v>
      </c>
      <c r="C432" s="15">
        <v>2010</v>
      </c>
      <c r="D432" s="15">
        <v>2010</v>
      </c>
      <c r="E432" s="15">
        <v>2010</v>
      </c>
      <c r="F432" s="15">
        <v>2010</v>
      </c>
      <c r="G432" s="15">
        <v>2010</v>
      </c>
      <c r="I432" s="15"/>
      <c r="J432" s="15"/>
    </row>
    <row r="433" spans="2:10" ht="15" customHeight="1">
      <c r="B433" s="15" t="s">
        <v>47</v>
      </c>
      <c r="C433" s="15">
        <v>3302</v>
      </c>
      <c r="D433" s="15">
        <v>3302</v>
      </c>
      <c r="E433" s="15">
        <v>3302</v>
      </c>
      <c r="F433" s="15">
        <v>3302</v>
      </c>
      <c r="G433" s="15">
        <v>3302</v>
      </c>
      <c r="I433" s="15"/>
      <c r="J433" s="15"/>
    </row>
    <row r="434" spans="2:10" ht="15" customHeight="1">
      <c r="B434" s="15" t="s">
        <v>48</v>
      </c>
      <c r="C434" s="15">
        <v>2011</v>
      </c>
      <c r="D434" s="15">
        <v>2011</v>
      </c>
      <c r="E434" s="15">
        <v>2011</v>
      </c>
      <c r="F434" s="15">
        <v>2011</v>
      </c>
      <c r="G434" s="15">
        <v>2011</v>
      </c>
      <c r="I434" s="15"/>
      <c r="J434" s="15"/>
    </row>
    <row r="435" spans="2:10" ht="15" customHeight="1">
      <c r="B435" s="15" t="s">
        <v>49</v>
      </c>
      <c r="C435" s="15">
        <v>3522</v>
      </c>
      <c r="D435" s="15">
        <v>3522</v>
      </c>
      <c r="E435" s="15">
        <v>3522</v>
      </c>
      <c r="F435" s="15">
        <v>3522</v>
      </c>
      <c r="G435" s="15">
        <v>3522</v>
      </c>
      <c r="I435" s="15"/>
      <c r="J435" s="15"/>
    </row>
    <row r="436" spans="2:10" ht="15" customHeight="1">
      <c r="B436" s="15" t="s">
        <v>50</v>
      </c>
      <c r="C436" s="15">
        <v>2014</v>
      </c>
      <c r="D436" s="15">
        <v>2014</v>
      </c>
      <c r="E436" s="15">
        <v>2014</v>
      </c>
      <c r="F436" s="15">
        <v>2014</v>
      </c>
      <c r="G436" s="15">
        <v>2014</v>
      </c>
      <c r="I436" s="15"/>
      <c r="J436" s="15"/>
    </row>
    <row r="437" spans="2:10" ht="15" customHeight="1">
      <c r="B437" s="15" t="s">
        <v>51</v>
      </c>
      <c r="C437" s="15">
        <v>2015</v>
      </c>
      <c r="D437" s="15">
        <v>2015</v>
      </c>
      <c r="E437" s="15">
        <v>2015</v>
      </c>
      <c r="F437" s="15">
        <v>2015</v>
      </c>
      <c r="G437" s="15">
        <v>2015</v>
      </c>
      <c r="I437" s="15"/>
      <c r="J437" s="15"/>
    </row>
    <row r="438" spans="2:10" ht="15" customHeight="1">
      <c r="B438" s="15" t="s">
        <v>53</v>
      </c>
      <c r="C438" s="15">
        <v>2016</v>
      </c>
      <c r="D438" s="15">
        <v>2016</v>
      </c>
      <c r="E438" s="15">
        <v>2016</v>
      </c>
      <c r="F438" s="15">
        <v>2016</v>
      </c>
      <c r="G438" s="15">
        <v>2016</v>
      </c>
      <c r="I438" s="15"/>
      <c r="J438" s="15"/>
    </row>
    <row r="439" spans="2:10" ht="15" customHeight="1">
      <c r="B439" s="15" t="s">
        <v>54</v>
      </c>
      <c r="C439" s="15">
        <v>2017</v>
      </c>
      <c r="D439" s="15">
        <v>2017</v>
      </c>
      <c r="E439" s="15">
        <v>2017</v>
      </c>
      <c r="F439" s="15">
        <v>2017</v>
      </c>
      <c r="G439" s="15">
        <v>2017</v>
      </c>
      <c r="I439" s="15"/>
      <c r="J439" s="15"/>
    </row>
    <row r="440" spans="2:10" ht="15" customHeight="1">
      <c r="B440" s="15" t="s">
        <v>55</v>
      </c>
      <c r="C440" s="15">
        <v>2075</v>
      </c>
      <c r="D440" s="15">
        <v>2075</v>
      </c>
      <c r="E440" s="15">
        <v>2075</v>
      </c>
      <c r="F440" s="15">
        <v>2075</v>
      </c>
      <c r="G440" s="15">
        <v>2075</v>
      </c>
      <c r="I440" s="15"/>
      <c r="J440" s="15"/>
    </row>
    <row r="441" spans="2:10" ht="15" customHeight="1">
      <c r="B441" s="15" t="s">
        <v>56</v>
      </c>
      <c r="C441" s="15">
        <v>2019</v>
      </c>
      <c r="D441" s="15">
        <v>2019</v>
      </c>
      <c r="E441" s="15">
        <v>2019</v>
      </c>
      <c r="F441" s="15">
        <v>2019</v>
      </c>
      <c r="G441" s="15">
        <v>2019</v>
      </c>
    </row>
    <row r="442" spans="2:10" ht="15" customHeight="1">
      <c r="B442" s="15" t="s">
        <v>58</v>
      </c>
      <c r="C442" s="15">
        <v>2021</v>
      </c>
      <c r="D442" s="15">
        <v>2021</v>
      </c>
      <c r="E442" s="15">
        <v>2021</v>
      </c>
      <c r="F442" s="15">
        <v>2021</v>
      </c>
      <c r="G442" s="15">
        <v>2021</v>
      </c>
    </row>
    <row r="443" spans="2:10" ht="15" customHeight="1">
      <c r="B443" s="15" t="s">
        <v>59</v>
      </c>
      <c r="C443" s="15">
        <v>5200</v>
      </c>
      <c r="D443" s="15">
        <v>5200</v>
      </c>
      <c r="E443" s="15">
        <v>5200</v>
      </c>
      <c r="F443" s="15">
        <v>5200</v>
      </c>
      <c r="G443" s="15">
        <v>5200</v>
      </c>
    </row>
    <row r="444" spans="2:10" ht="15" customHeight="1">
      <c r="B444" s="15" t="s">
        <v>60</v>
      </c>
      <c r="C444" s="15">
        <v>2023</v>
      </c>
      <c r="D444" s="15">
        <v>2023</v>
      </c>
      <c r="E444" s="15">
        <v>2023</v>
      </c>
      <c r="F444" s="15">
        <v>2023</v>
      </c>
      <c r="G444" s="15">
        <v>2023</v>
      </c>
    </row>
    <row r="445" spans="2:10" ht="15" customHeight="1">
      <c r="B445" s="15" t="s">
        <v>61</v>
      </c>
      <c r="C445" s="15">
        <v>2022</v>
      </c>
      <c r="D445" s="15">
        <v>2022</v>
      </c>
      <c r="E445" s="15">
        <v>2022</v>
      </c>
      <c r="F445" s="15">
        <v>2022</v>
      </c>
      <c r="G445" s="15">
        <v>2022</v>
      </c>
    </row>
    <row r="446" spans="2:10" ht="15" customHeight="1">
      <c r="B446" s="15" t="s">
        <v>62</v>
      </c>
      <c r="C446" s="15">
        <v>2024</v>
      </c>
      <c r="D446" s="15">
        <v>2024</v>
      </c>
      <c r="E446" s="15">
        <v>2024</v>
      </c>
      <c r="F446" s="15">
        <v>2024</v>
      </c>
      <c r="G446" s="15">
        <v>2024</v>
      </c>
    </row>
    <row r="447" spans="2:10" ht="15" customHeight="1">
      <c r="B447" s="15" t="s">
        <v>63</v>
      </c>
      <c r="C447" s="15">
        <v>2025</v>
      </c>
      <c r="D447" s="15">
        <v>2025</v>
      </c>
      <c r="E447" s="15">
        <v>2025</v>
      </c>
      <c r="F447" s="15">
        <v>2025</v>
      </c>
      <c r="G447" s="15">
        <v>2025</v>
      </c>
    </row>
    <row r="448" spans="2:10" ht="15" customHeight="1">
      <c r="B448" s="15" t="s">
        <v>64</v>
      </c>
      <c r="C448" s="15">
        <v>2026</v>
      </c>
      <c r="D448" s="15">
        <v>2026</v>
      </c>
      <c r="E448" s="15">
        <v>2026</v>
      </c>
      <c r="F448" s="15">
        <v>2026</v>
      </c>
      <c r="G448" s="15">
        <v>2026</v>
      </c>
    </row>
    <row r="449" spans="2:7" ht="15" customHeight="1">
      <c r="B449" s="15" t="s">
        <v>65</v>
      </c>
      <c r="C449" s="15">
        <v>2028</v>
      </c>
      <c r="D449" s="15">
        <v>2028</v>
      </c>
      <c r="E449" s="15">
        <v>2028</v>
      </c>
      <c r="F449" s="15">
        <v>2028</v>
      </c>
      <c r="G449" s="15">
        <v>2028</v>
      </c>
    </row>
    <row r="450" spans="2:7" ht="15" customHeight="1">
      <c r="B450" s="15" t="s">
        <v>66</v>
      </c>
      <c r="C450" s="15">
        <v>2027</v>
      </c>
      <c r="D450" s="15">
        <v>2027</v>
      </c>
      <c r="E450" s="15">
        <v>2027</v>
      </c>
      <c r="F450" s="15">
        <v>2027</v>
      </c>
      <c r="G450" s="15">
        <v>2027</v>
      </c>
    </row>
    <row r="451" spans="2:7" ht="15" customHeight="1">
      <c r="B451" s="15" t="s">
        <v>67</v>
      </c>
      <c r="C451" s="15">
        <v>2029</v>
      </c>
      <c r="D451" s="15">
        <v>2029</v>
      </c>
      <c r="E451" s="15">
        <v>2029</v>
      </c>
      <c r="F451" s="15">
        <v>2029</v>
      </c>
      <c r="G451" s="15">
        <v>2029</v>
      </c>
    </row>
    <row r="452" spans="2:7" ht="15" customHeight="1">
      <c r="B452" s="15" t="s">
        <v>69</v>
      </c>
      <c r="C452" s="15">
        <v>3516</v>
      </c>
      <c r="D452" s="15">
        <v>3516</v>
      </c>
      <c r="E452" s="15">
        <v>3516</v>
      </c>
      <c r="F452" s="15">
        <v>3516</v>
      </c>
      <c r="G452" s="15">
        <v>3516</v>
      </c>
    </row>
    <row r="453" spans="2:7" ht="15" customHeight="1">
      <c r="B453" s="15" t="s">
        <v>70</v>
      </c>
      <c r="C453" s="15">
        <v>2031</v>
      </c>
      <c r="D453" s="15">
        <v>2031</v>
      </c>
      <c r="E453" s="15">
        <v>2031</v>
      </c>
      <c r="F453" s="15">
        <v>2031</v>
      </c>
      <c r="G453" s="15">
        <v>2031</v>
      </c>
    </row>
    <row r="454" spans="2:7" ht="15" customHeight="1">
      <c r="B454" s="15" t="s">
        <v>71</v>
      </c>
      <c r="C454" s="15">
        <v>2032</v>
      </c>
      <c r="D454" s="15">
        <v>2032</v>
      </c>
      <c r="E454" s="15">
        <v>2032</v>
      </c>
      <c r="F454" s="15">
        <v>2032</v>
      </c>
      <c r="G454" s="15">
        <v>2032</v>
      </c>
    </row>
    <row r="455" spans="2:7" ht="15" customHeight="1">
      <c r="B455" s="15" t="s">
        <v>72</v>
      </c>
      <c r="C455" s="15">
        <v>3304</v>
      </c>
      <c r="D455" s="15">
        <v>3304</v>
      </c>
      <c r="E455" s="15">
        <v>3304</v>
      </c>
      <c r="F455" s="15">
        <v>3304</v>
      </c>
      <c r="G455" s="15">
        <v>3304</v>
      </c>
    </row>
    <row r="456" spans="2:7" ht="15" customHeight="1">
      <c r="B456" s="15" t="s">
        <v>73</v>
      </c>
      <c r="C456" s="15">
        <v>2074</v>
      </c>
      <c r="D456" s="15">
        <v>2074</v>
      </c>
      <c r="E456" s="15">
        <v>2074</v>
      </c>
      <c r="F456" s="15">
        <v>2074</v>
      </c>
      <c r="G456" s="15">
        <v>2074</v>
      </c>
    </row>
    <row r="457" spans="2:7" ht="15" customHeight="1">
      <c r="B457" s="15" t="s">
        <v>74</v>
      </c>
      <c r="C457" s="15">
        <v>2036</v>
      </c>
      <c r="D457" s="15">
        <v>2036</v>
      </c>
      <c r="E457" s="15">
        <v>2036</v>
      </c>
      <c r="F457" s="15">
        <v>2036</v>
      </c>
      <c r="G457" s="15">
        <v>2036</v>
      </c>
    </row>
    <row r="458" spans="2:7" ht="15" customHeight="1">
      <c r="B458" s="15" t="s">
        <v>75</v>
      </c>
      <c r="C458" s="15">
        <v>2037</v>
      </c>
      <c r="D458" s="15">
        <v>2037</v>
      </c>
      <c r="E458" s="15">
        <v>2037</v>
      </c>
      <c r="F458" s="15">
        <v>2037</v>
      </c>
      <c r="G458" s="15">
        <v>2037</v>
      </c>
    </row>
    <row r="459" spans="2:7" ht="15" customHeight="1">
      <c r="B459" s="15" t="s">
        <v>76</v>
      </c>
      <c r="C459" s="15">
        <v>3523</v>
      </c>
      <c r="D459" s="15">
        <v>3523</v>
      </c>
      <c r="E459" s="15">
        <v>3523</v>
      </c>
      <c r="F459" s="15">
        <v>3523</v>
      </c>
      <c r="G459" s="15">
        <v>3523</v>
      </c>
    </row>
    <row r="460" spans="2:7" ht="15" customHeight="1">
      <c r="B460" s="15" t="s">
        <v>77</v>
      </c>
      <c r="C460" s="15">
        <v>5948</v>
      </c>
      <c r="D460" s="15">
        <v>5948</v>
      </c>
      <c r="E460" s="15">
        <v>5948</v>
      </c>
      <c r="F460" s="15">
        <v>5948</v>
      </c>
      <c r="G460" s="15">
        <v>5948</v>
      </c>
    </row>
    <row r="461" spans="2:7" ht="15" customHeight="1">
      <c r="B461" s="15" t="s">
        <v>78</v>
      </c>
      <c r="C461" s="15">
        <v>5949</v>
      </c>
      <c r="D461" s="15">
        <v>5949</v>
      </c>
      <c r="E461" s="15">
        <v>5949</v>
      </c>
      <c r="F461" s="15">
        <v>5949</v>
      </c>
      <c r="G461" s="15">
        <v>5949</v>
      </c>
    </row>
    <row r="462" spans="2:7" ht="15" customHeight="1">
      <c r="B462" s="15" t="s">
        <v>79</v>
      </c>
      <c r="C462" s="15">
        <v>3513</v>
      </c>
      <c r="D462" s="15">
        <v>3513</v>
      </c>
      <c r="E462" s="15">
        <v>3513</v>
      </c>
      <c r="F462" s="15">
        <v>3513</v>
      </c>
      <c r="G462" s="15">
        <v>3513</v>
      </c>
    </row>
    <row r="463" spans="2:7" ht="15" customHeight="1">
      <c r="B463" s="15" t="s">
        <v>80</v>
      </c>
      <c r="C463" s="15">
        <v>3305</v>
      </c>
      <c r="D463" s="15">
        <v>3305</v>
      </c>
      <c r="E463" s="15">
        <v>3305</v>
      </c>
      <c r="F463" s="15">
        <v>3305</v>
      </c>
      <c r="G463" s="15">
        <v>3305</v>
      </c>
    </row>
    <row r="464" spans="2:7" ht="15" customHeight="1">
      <c r="B464" s="15" t="s">
        <v>81</v>
      </c>
      <c r="C464" s="15">
        <v>2042</v>
      </c>
      <c r="D464" s="15">
        <v>2042</v>
      </c>
      <c r="E464" s="15">
        <v>2042</v>
      </c>
      <c r="F464" s="15">
        <v>2042</v>
      </c>
      <c r="G464" s="15">
        <v>2042</v>
      </c>
    </row>
    <row r="465" spans="2:7" ht="15" customHeight="1">
      <c r="B465" s="15" t="s">
        <v>82</v>
      </c>
      <c r="C465" s="15">
        <v>2044</v>
      </c>
      <c r="D465" s="15">
        <v>2044</v>
      </c>
      <c r="E465" s="15">
        <v>2044</v>
      </c>
      <c r="F465" s="15">
        <v>2044</v>
      </c>
      <c r="G465" s="15">
        <v>2044</v>
      </c>
    </row>
    <row r="466" spans="2:7" ht="15" customHeight="1">
      <c r="B466" s="15" t="s">
        <v>83</v>
      </c>
      <c r="C466" s="15">
        <v>2043</v>
      </c>
      <c r="D466" s="15">
        <v>2043</v>
      </c>
      <c r="E466" s="15">
        <v>2043</v>
      </c>
      <c r="F466" s="15">
        <v>2043</v>
      </c>
      <c r="G466" s="15">
        <v>2043</v>
      </c>
    </row>
    <row r="467" spans="2:7" ht="15" customHeight="1">
      <c r="B467" s="15" t="s">
        <v>84</v>
      </c>
      <c r="C467" s="15">
        <v>2045</v>
      </c>
      <c r="D467" s="15">
        <v>2045</v>
      </c>
      <c r="E467" s="15">
        <v>2045</v>
      </c>
      <c r="F467" s="15">
        <v>2045</v>
      </c>
      <c r="G467" s="15">
        <v>2045</v>
      </c>
    </row>
    <row r="468" spans="2:7" ht="15" customHeight="1">
      <c r="B468" s="15" t="s">
        <v>85</v>
      </c>
      <c r="C468" s="15">
        <v>2077</v>
      </c>
      <c r="D468" s="15">
        <v>2077</v>
      </c>
      <c r="E468" s="15">
        <v>2077</v>
      </c>
      <c r="F468" s="15">
        <v>2077</v>
      </c>
      <c r="G468" s="15">
        <v>2077</v>
      </c>
    </row>
    <row r="469" spans="2:7" ht="15" customHeight="1">
      <c r="B469" s="15" t="s">
        <v>86</v>
      </c>
      <c r="C469" s="15">
        <v>5201</v>
      </c>
      <c r="D469" s="15">
        <v>5201</v>
      </c>
      <c r="E469" s="15">
        <v>5201</v>
      </c>
      <c r="F469" s="15">
        <v>5201</v>
      </c>
      <c r="G469" s="15">
        <v>5201</v>
      </c>
    </row>
    <row r="470" spans="2:7" ht="15" customHeight="1">
      <c r="B470" s="15" t="s">
        <v>87</v>
      </c>
      <c r="C470" s="15">
        <v>3501</v>
      </c>
      <c r="D470" s="15">
        <v>3501</v>
      </c>
      <c r="E470" s="15">
        <v>3501</v>
      </c>
      <c r="F470" s="15">
        <v>3501</v>
      </c>
      <c r="G470" s="15">
        <v>3501</v>
      </c>
    </row>
    <row r="471" spans="2:7" ht="15" customHeight="1">
      <c r="B471" s="15" t="s">
        <v>88</v>
      </c>
      <c r="C471" s="15">
        <v>2078</v>
      </c>
      <c r="D471" s="15">
        <v>2078</v>
      </c>
      <c r="E471" s="15">
        <v>2078</v>
      </c>
      <c r="F471" s="15">
        <v>2078</v>
      </c>
      <c r="G471" s="15">
        <v>2078</v>
      </c>
    </row>
    <row r="472" spans="2:7" ht="15" customHeight="1">
      <c r="B472" s="15" t="s">
        <v>90</v>
      </c>
      <c r="C472" s="15">
        <v>2071</v>
      </c>
      <c r="D472" s="15">
        <v>2071</v>
      </c>
      <c r="E472" s="15">
        <v>2071</v>
      </c>
      <c r="F472" s="15">
        <v>2071</v>
      </c>
      <c r="G472" s="15">
        <v>2071</v>
      </c>
    </row>
    <row r="473" spans="2:7" ht="15" customHeight="1">
      <c r="B473" s="15" t="s">
        <v>91</v>
      </c>
      <c r="C473" s="15">
        <v>2072</v>
      </c>
      <c r="D473" s="15">
        <v>2072</v>
      </c>
      <c r="E473" s="15">
        <v>2072</v>
      </c>
      <c r="F473" s="15">
        <v>2072</v>
      </c>
      <c r="G473" s="15">
        <v>2072</v>
      </c>
    </row>
    <row r="474" spans="2:7" ht="15" customHeight="1">
      <c r="B474" s="15" t="s">
        <v>92</v>
      </c>
      <c r="C474" s="15">
        <v>3512</v>
      </c>
      <c r="D474" s="15">
        <v>3512</v>
      </c>
      <c r="E474" s="15">
        <v>3512</v>
      </c>
      <c r="F474" s="15">
        <v>3512</v>
      </c>
      <c r="G474" s="15">
        <v>3512</v>
      </c>
    </row>
    <row r="475" spans="2:7" ht="15" customHeight="1">
      <c r="B475" s="15" t="s">
        <v>93</v>
      </c>
      <c r="C475" s="15">
        <v>3510</v>
      </c>
      <c r="D475" s="15">
        <v>3510</v>
      </c>
      <c r="E475" s="15">
        <v>3510</v>
      </c>
      <c r="F475" s="15">
        <v>3510</v>
      </c>
      <c r="G475" s="15">
        <v>3510</v>
      </c>
    </row>
    <row r="476" spans="2:7" ht="15" customHeight="1">
      <c r="B476" s="15" t="s">
        <v>94</v>
      </c>
      <c r="C476" s="15">
        <v>3502</v>
      </c>
      <c r="D476" s="15">
        <v>3502</v>
      </c>
      <c r="E476" s="15">
        <v>3502</v>
      </c>
      <c r="F476" s="15">
        <v>3502</v>
      </c>
      <c r="G476" s="15">
        <v>3502</v>
      </c>
    </row>
    <row r="477" spans="2:7" ht="15" customHeight="1">
      <c r="B477" s="15" t="s">
        <v>95</v>
      </c>
      <c r="C477" s="15">
        <v>3315</v>
      </c>
      <c r="D477" s="15">
        <v>3315</v>
      </c>
      <c r="E477" s="15">
        <v>3315</v>
      </c>
      <c r="F477" s="15">
        <v>3315</v>
      </c>
      <c r="G477" s="15">
        <v>3315</v>
      </c>
    </row>
    <row r="478" spans="2:7" ht="15" customHeight="1">
      <c r="B478" s="15" t="s">
        <v>96</v>
      </c>
      <c r="C478" s="15">
        <v>3504</v>
      </c>
      <c r="D478" s="15">
        <v>3504</v>
      </c>
      <c r="E478" s="15">
        <v>3504</v>
      </c>
      <c r="F478" s="15">
        <v>3504</v>
      </c>
      <c r="G478" s="15">
        <v>3504</v>
      </c>
    </row>
    <row r="479" spans="2:7" ht="15" customHeight="1">
      <c r="B479" s="15" t="s">
        <v>97</v>
      </c>
      <c r="C479" s="15">
        <v>3307</v>
      </c>
      <c r="D479" s="15">
        <v>3307</v>
      </c>
      <c r="E479" s="15">
        <v>3307</v>
      </c>
      <c r="F479" s="15">
        <v>3307</v>
      </c>
      <c r="G479" s="15">
        <v>3307</v>
      </c>
    </row>
    <row r="480" spans="2:7" ht="15" customHeight="1">
      <c r="B480" s="15" t="s">
        <v>98</v>
      </c>
      <c r="C480" s="15">
        <v>3309</v>
      </c>
      <c r="D480" s="15">
        <v>3309</v>
      </c>
      <c r="E480" s="15">
        <v>3309</v>
      </c>
      <c r="F480" s="15">
        <v>3309</v>
      </c>
      <c r="G480" s="15">
        <v>3309</v>
      </c>
    </row>
    <row r="481" spans="2:7" ht="15" customHeight="1">
      <c r="B481" s="15" t="s">
        <v>99</v>
      </c>
      <c r="C481" s="15">
        <v>3508</v>
      </c>
      <c r="D481" s="15">
        <v>3508</v>
      </c>
      <c r="E481" s="15">
        <v>3508</v>
      </c>
      <c r="F481" s="15">
        <v>3508</v>
      </c>
      <c r="G481" s="15">
        <v>3508</v>
      </c>
    </row>
    <row r="482" spans="2:7" ht="15" customHeight="1">
      <c r="B482" s="15" t="s">
        <v>100</v>
      </c>
      <c r="C482" s="15">
        <v>3509</v>
      </c>
      <c r="D482" s="15">
        <v>3509</v>
      </c>
      <c r="E482" s="15">
        <v>3509</v>
      </c>
      <c r="F482" s="15">
        <v>3509</v>
      </c>
      <c r="G482" s="15">
        <v>3509</v>
      </c>
    </row>
    <row r="483" spans="2:7" ht="15" customHeight="1">
      <c r="B483" s="17" t="s">
        <v>101</v>
      </c>
      <c r="C483" s="15">
        <v>3521</v>
      </c>
      <c r="D483" s="15">
        <v>3521</v>
      </c>
      <c r="E483" s="15">
        <v>3521</v>
      </c>
      <c r="F483" s="15">
        <v>3521</v>
      </c>
      <c r="G483" s="15">
        <v>3521</v>
      </c>
    </row>
    <row r="484" spans="2:7" ht="15" customHeight="1">
      <c r="B484" s="15" t="s">
        <v>102</v>
      </c>
      <c r="C484" s="15">
        <v>3312</v>
      </c>
      <c r="D484" s="15">
        <v>3312</v>
      </c>
      <c r="E484" s="15">
        <v>3312</v>
      </c>
      <c r="F484" s="15">
        <v>3312</v>
      </c>
      <c r="G484" s="15">
        <v>3312</v>
      </c>
    </row>
    <row r="485" spans="2:7" ht="15" customHeight="1">
      <c r="B485" s="15" t="s">
        <v>103</v>
      </c>
      <c r="C485" s="15">
        <v>3311</v>
      </c>
      <c r="D485" s="15">
        <v>3311</v>
      </c>
      <c r="E485" s="15">
        <v>3311</v>
      </c>
      <c r="F485" s="15">
        <v>3311</v>
      </c>
      <c r="G485" s="15">
        <v>3311</v>
      </c>
    </row>
    <row r="486" spans="2:7" ht="15" customHeight="1">
      <c r="B486" s="15" t="s">
        <v>104</v>
      </c>
      <c r="C486" s="15">
        <v>3313</v>
      </c>
      <c r="D486" s="15">
        <v>3313</v>
      </c>
      <c r="E486" s="15">
        <v>3313</v>
      </c>
      <c r="F486" s="15">
        <v>3313</v>
      </c>
      <c r="G486" s="15">
        <v>3313</v>
      </c>
    </row>
    <row r="487" spans="2:7" ht="15" customHeight="1">
      <c r="B487" s="15" t="s">
        <v>105</v>
      </c>
      <c r="C487" s="15">
        <v>3314</v>
      </c>
      <c r="D487" s="15">
        <v>3314</v>
      </c>
      <c r="E487" s="15">
        <v>3314</v>
      </c>
      <c r="F487" s="15">
        <v>3314</v>
      </c>
      <c r="G487" s="15">
        <v>3314</v>
      </c>
    </row>
    <row r="488" spans="2:7" ht="15" customHeight="1">
      <c r="B488" s="15" t="s">
        <v>106</v>
      </c>
      <c r="C488" s="15">
        <v>3507</v>
      </c>
      <c r="D488" s="15">
        <v>3507</v>
      </c>
      <c r="E488" s="15">
        <v>3507</v>
      </c>
      <c r="F488" s="15">
        <v>3507</v>
      </c>
      <c r="G488" s="15">
        <v>3507</v>
      </c>
    </row>
    <row r="489" spans="2:7" ht="15" customHeight="1">
      <c r="B489" s="15" t="s">
        <v>107</v>
      </c>
      <c r="C489" s="15">
        <v>3506</v>
      </c>
      <c r="D489" s="15">
        <v>3506</v>
      </c>
      <c r="E489" s="15">
        <v>3506</v>
      </c>
      <c r="F489" s="15">
        <v>3506</v>
      </c>
      <c r="G489" s="15">
        <v>3506</v>
      </c>
    </row>
    <row r="490" spans="2:7" ht="15" customHeight="1">
      <c r="B490" s="15" t="s">
        <v>108</v>
      </c>
      <c r="C490" s="15">
        <v>2052</v>
      </c>
      <c r="D490" s="15">
        <v>2052</v>
      </c>
      <c r="E490" s="15">
        <v>2052</v>
      </c>
      <c r="F490" s="15">
        <v>2052</v>
      </c>
      <c r="G490" s="15">
        <v>2052</v>
      </c>
    </row>
    <row r="491" spans="2:7" ht="15" customHeight="1">
      <c r="B491" s="15" t="s">
        <v>109</v>
      </c>
      <c r="C491" s="15">
        <v>2070</v>
      </c>
      <c r="D491" s="15">
        <v>2070</v>
      </c>
      <c r="E491" s="15">
        <v>2070</v>
      </c>
      <c r="F491" s="15">
        <v>2070</v>
      </c>
      <c r="G491" s="15">
        <v>2070</v>
      </c>
    </row>
    <row r="492" spans="2:7" ht="15" customHeight="1">
      <c r="B492" s="15" t="s">
        <v>110</v>
      </c>
      <c r="C492" s="15">
        <v>3316</v>
      </c>
      <c r="D492" s="15">
        <v>3316</v>
      </c>
      <c r="E492" s="15">
        <v>3316</v>
      </c>
      <c r="F492" s="15">
        <v>3316</v>
      </c>
      <c r="G492" s="15">
        <v>3316</v>
      </c>
    </row>
    <row r="493" spans="2:7" ht="15" customHeight="1">
      <c r="B493" s="15" t="s">
        <v>111</v>
      </c>
      <c r="C493" s="15">
        <v>2055</v>
      </c>
      <c r="D493" s="15">
        <v>2055</v>
      </c>
      <c r="E493" s="15">
        <v>2055</v>
      </c>
      <c r="F493" s="15">
        <v>2055</v>
      </c>
      <c r="G493" s="15">
        <v>2055</v>
      </c>
    </row>
    <row r="494" spans="2:7" ht="15" customHeight="1">
      <c r="B494" s="15" t="s">
        <v>112</v>
      </c>
      <c r="C494" s="15">
        <v>2057</v>
      </c>
      <c r="D494" s="15">
        <v>2057</v>
      </c>
      <c r="E494" s="15">
        <v>2057</v>
      </c>
      <c r="F494" s="15">
        <v>2057</v>
      </c>
      <c r="G494" s="15">
        <v>2057</v>
      </c>
    </row>
    <row r="495" spans="2:7" ht="15" customHeight="1">
      <c r="B495" s="15" t="s">
        <v>113</v>
      </c>
      <c r="C495" s="15">
        <v>2056</v>
      </c>
      <c r="D495" s="15">
        <v>2056</v>
      </c>
      <c r="E495" s="15">
        <v>2056</v>
      </c>
      <c r="F495" s="15">
        <v>2056</v>
      </c>
      <c r="G495" s="15">
        <v>2056</v>
      </c>
    </row>
    <row r="496" spans="2:7" ht="15" customHeight="1">
      <c r="B496" s="15" t="s">
        <v>114</v>
      </c>
      <c r="C496" s="15">
        <v>2076</v>
      </c>
      <c r="D496" s="15">
        <v>2076</v>
      </c>
      <c r="E496" s="15">
        <v>2076</v>
      </c>
      <c r="F496" s="15">
        <v>2076</v>
      </c>
      <c r="G496" s="15">
        <v>2076</v>
      </c>
    </row>
    <row r="497" spans="2:7" ht="15" customHeight="1">
      <c r="B497" s="15" t="s">
        <v>115</v>
      </c>
      <c r="C497" s="15">
        <v>2060</v>
      </c>
      <c r="D497" s="15">
        <v>2060</v>
      </c>
      <c r="E497" s="15">
        <v>2060</v>
      </c>
      <c r="F497" s="15">
        <v>2060</v>
      </c>
      <c r="G497" s="15">
        <v>2060</v>
      </c>
    </row>
    <row r="498" spans="2:7" ht="15" customHeight="1">
      <c r="B498" s="15" t="s">
        <v>116</v>
      </c>
      <c r="C498" s="15">
        <v>3518</v>
      </c>
      <c r="D498" s="15">
        <v>3518</v>
      </c>
      <c r="E498" s="15">
        <v>3518</v>
      </c>
      <c r="F498" s="15">
        <v>3518</v>
      </c>
      <c r="G498" s="15">
        <v>3518</v>
      </c>
    </row>
    <row r="499" spans="2:7" ht="15" customHeight="1">
      <c r="B499" s="15" t="s">
        <v>117</v>
      </c>
      <c r="C499" s="15">
        <v>2054</v>
      </c>
      <c r="D499" s="15">
        <v>2054</v>
      </c>
      <c r="E499" s="15">
        <v>2054</v>
      </c>
      <c r="F499" s="15">
        <v>2054</v>
      </c>
      <c r="G499" s="15">
        <v>2054</v>
      </c>
    </row>
    <row r="500" spans="2:7" ht="15" customHeight="1">
      <c r="B500" s="15"/>
      <c r="C500" s="15"/>
      <c r="D500" s="15"/>
      <c r="E500" s="15"/>
      <c r="F500" s="15"/>
      <c r="G500" s="15"/>
    </row>
    <row r="501" spans="2:7" ht="15" customHeight="1">
      <c r="B501" s="15" t="s">
        <v>118</v>
      </c>
      <c r="C501" s="15">
        <v>5408</v>
      </c>
      <c r="D501" s="15">
        <v>5408</v>
      </c>
      <c r="E501" s="15">
        <v>5408</v>
      </c>
      <c r="F501" s="15">
        <v>5408</v>
      </c>
      <c r="G501" s="15">
        <v>5408</v>
      </c>
    </row>
    <row r="502" spans="2:7" ht="15" customHeight="1">
      <c r="B502" s="15" t="s">
        <v>119</v>
      </c>
      <c r="C502" s="15">
        <v>5405</v>
      </c>
      <c r="D502" s="15">
        <v>5405</v>
      </c>
      <c r="E502" s="15">
        <v>5405</v>
      </c>
      <c r="F502" s="15">
        <v>5405</v>
      </c>
      <c r="G502" s="15">
        <v>5405</v>
      </c>
    </row>
    <row r="503" spans="2:7" ht="15" customHeight="1">
      <c r="B503" s="15" t="s">
        <v>120</v>
      </c>
      <c r="C503" s="15">
        <v>4003</v>
      </c>
      <c r="D503" s="15">
        <v>4003</v>
      </c>
      <c r="E503" s="15">
        <v>4003</v>
      </c>
      <c r="F503" s="15">
        <v>4003</v>
      </c>
      <c r="G503" s="15">
        <v>4003</v>
      </c>
    </row>
    <row r="504" spans="2:7" ht="15" customHeight="1">
      <c r="B504" s="116" t="s">
        <v>404</v>
      </c>
      <c r="C504" s="15">
        <v>5427</v>
      </c>
      <c r="D504" s="15">
        <v>5427</v>
      </c>
      <c r="E504" s="15">
        <v>5427</v>
      </c>
      <c r="F504" s="15">
        <v>5427</v>
      </c>
      <c r="G504" s="15">
        <v>5427</v>
      </c>
    </row>
    <row r="505" spans="2:7" ht="15" customHeight="1">
      <c r="B505" s="15" t="s">
        <v>125</v>
      </c>
      <c r="C505" s="15">
        <v>5407</v>
      </c>
      <c r="D505" s="15">
        <v>5407</v>
      </c>
      <c r="E505" s="15">
        <v>5407</v>
      </c>
      <c r="F505" s="15">
        <v>5407</v>
      </c>
      <c r="G505" s="15">
        <v>5407</v>
      </c>
    </row>
    <row r="506" spans="2:7" ht="15" customHeight="1">
      <c r="B506" s="15" t="s">
        <v>126</v>
      </c>
      <c r="C506" s="15">
        <v>5403</v>
      </c>
      <c r="D506" s="15">
        <v>5403</v>
      </c>
      <c r="E506" s="15">
        <v>5403</v>
      </c>
      <c r="F506" s="15">
        <v>5403</v>
      </c>
      <c r="G506" s="15">
        <v>5403</v>
      </c>
    </row>
    <row r="507" spans="2:7" ht="12.75" customHeight="1">
      <c r="B507" s="15" t="s">
        <v>127</v>
      </c>
      <c r="C507" s="15">
        <v>5404</v>
      </c>
      <c r="D507" s="15">
        <v>5404</v>
      </c>
      <c r="E507" s="15">
        <v>5404</v>
      </c>
      <c r="F507" s="15">
        <v>5404</v>
      </c>
      <c r="G507" s="15">
        <v>5404</v>
      </c>
    </row>
    <row r="508" spans="2:7" ht="15" customHeight="1">
      <c r="B508" s="15"/>
      <c r="C508" s="15"/>
      <c r="D508" s="15"/>
      <c r="E508" s="15"/>
      <c r="F508" s="15"/>
      <c r="G508" s="15"/>
    </row>
    <row r="509" spans="2:7" ht="15" customHeight="1">
      <c r="B509" s="15" t="s">
        <v>129</v>
      </c>
      <c r="C509" s="15">
        <v>7010</v>
      </c>
      <c r="D509" s="15">
        <v>7010</v>
      </c>
      <c r="E509" s="15">
        <v>7010</v>
      </c>
      <c r="F509" s="15">
        <v>7010</v>
      </c>
      <c r="G509" s="15">
        <v>7010</v>
      </c>
    </row>
    <row r="510" spans="2:7" ht="15" customHeight="1">
      <c r="B510" s="15" t="s">
        <v>130</v>
      </c>
      <c r="C510" s="15">
        <v>7005</v>
      </c>
      <c r="D510" s="15">
        <v>7005</v>
      </c>
      <c r="E510" s="15">
        <v>7005</v>
      </c>
      <c r="F510" s="15">
        <v>7005</v>
      </c>
      <c r="G510" s="15">
        <v>7005</v>
      </c>
    </row>
    <row r="511" spans="2:7" ht="15" customHeight="1">
      <c r="B511" s="15" t="s">
        <v>131</v>
      </c>
      <c r="C511" s="15">
        <v>7000</v>
      </c>
      <c r="D511" s="15">
        <v>7000</v>
      </c>
      <c r="E511" s="15">
        <v>7000</v>
      </c>
      <c r="F511" s="15">
        <v>7000</v>
      </c>
      <c r="G511" s="15">
        <v>7000</v>
      </c>
    </row>
    <row r="512" spans="2:7" ht="15" customHeight="1">
      <c r="B512" s="15" t="s">
        <v>132</v>
      </c>
      <c r="C512" s="15">
        <v>7009</v>
      </c>
      <c r="D512" s="15">
        <v>7009</v>
      </c>
      <c r="E512" s="15">
        <v>7009</v>
      </c>
      <c r="F512" s="15">
        <v>7009</v>
      </c>
      <c r="G512" s="15">
        <v>7009</v>
      </c>
    </row>
    <row r="513" spans="2:7" ht="15" customHeight="1"/>
    <row r="514" spans="2:7" ht="15" customHeight="1">
      <c r="B514" s="15" t="s">
        <v>452</v>
      </c>
      <c r="C514" s="15">
        <v>1103</v>
      </c>
      <c r="D514" s="15">
        <v>1103</v>
      </c>
      <c r="E514" s="15">
        <v>1103</v>
      </c>
      <c r="F514" s="15">
        <v>1103</v>
      </c>
      <c r="G514" s="15">
        <v>1103</v>
      </c>
    </row>
    <row r="515" spans="2:7" ht="15" customHeight="1">
      <c r="B515" s="15" t="s">
        <v>453</v>
      </c>
      <c r="C515" s="15">
        <v>1102</v>
      </c>
      <c r="D515" s="15">
        <v>1102</v>
      </c>
      <c r="E515" s="15">
        <v>1102</v>
      </c>
      <c r="F515" s="15">
        <v>1102</v>
      </c>
      <c r="G515" s="15">
        <v>1102</v>
      </c>
    </row>
    <row r="516" spans="2:7" ht="15" customHeight="1">
      <c r="B516" s="15" t="s">
        <v>451</v>
      </c>
      <c r="C516" s="15">
        <v>1100</v>
      </c>
      <c r="D516" s="15">
        <v>1100</v>
      </c>
      <c r="E516" s="15">
        <v>1100</v>
      </c>
      <c r="F516" s="15">
        <v>1100</v>
      </c>
      <c r="G516" s="15">
        <v>1100</v>
      </c>
    </row>
    <row r="517" spans="2:7" ht="15" customHeight="1"/>
    <row r="518" spans="2:7" ht="15" customHeight="1"/>
    <row r="519" spans="2:7" ht="15" customHeight="1"/>
    <row r="520" spans="2:7" ht="15" customHeight="1">
      <c r="B520" s="15"/>
      <c r="C520" s="15"/>
      <c r="D520" s="15"/>
      <c r="E520" s="15"/>
      <c r="F520" s="15"/>
      <c r="G520" s="15"/>
    </row>
    <row r="521" spans="2:7" ht="15" customHeight="1">
      <c r="B521" s="15"/>
      <c r="C521" s="15"/>
      <c r="D521" s="15"/>
      <c r="E521" s="15"/>
      <c r="F521" s="15"/>
      <c r="G521" s="15"/>
    </row>
    <row r="522" spans="2:7" ht="15" customHeight="1">
      <c r="B522" s="15"/>
      <c r="C522" s="15"/>
      <c r="D522" s="15"/>
      <c r="E522" s="15"/>
      <c r="F522" s="15"/>
      <c r="G522" s="15"/>
    </row>
    <row r="523" spans="2:7" ht="15" customHeight="1">
      <c r="B523" s="15"/>
      <c r="C523" s="15"/>
      <c r="D523" s="15"/>
      <c r="E523" s="15"/>
      <c r="F523" s="15"/>
      <c r="G523" s="15"/>
    </row>
    <row r="524" spans="2:7" ht="12.75" customHeight="1">
      <c r="B524" s="15"/>
      <c r="C524" s="15"/>
      <c r="D524" s="15"/>
      <c r="E524" s="15"/>
      <c r="F524" s="15"/>
      <c r="G524" s="15"/>
    </row>
    <row r="525" spans="2:7" ht="15" customHeight="1"/>
    <row r="526" spans="2:7" ht="12.75" customHeight="1"/>
    <row r="527" spans="2:7" ht="12.75" customHeight="1"/>
    <row r="528" spans="2:7" ht="12.75" customHeight="1"/>
  </sheetData>
  <sheetCalcPr fullCalcOnLoad="1"/>
  <sheetProtection formatCells="0" formatColumns="0" insertColumns="0"/>
  <mergeCells count="2">
    <mergeCell ref="A3:B3"/>
    <mergeCell ref="H6:L6"/>
  </mergeCells>
  <phoneticPr fontId="3" type="noConversion"/>
  <conditionalFormatting sqref="H40:H42 H44:H46 H48:H50 H52:H54 H56:H58 H60:H63 H68:H71 H73:H75 H77:H79 H81:H83 H85 H65:H66 H9:H10 H12:H13 H15:H16 H18:H19 H21:H22 H24:H25 H27:H28 H30:H31 H33:H34 H36:H37">
    <cfRule type="expression" dxfId="38" priority="6" stopIfTrue="1">
      <formula>$R$1="N"</formula>
    </cfRule>
  </conditionalFormatting>
  <conditionalFormatting sqref="I85 I40:I42 I44:I46 I48:I50 I52:I54 I56:I58 I60:I63 I68:I71 I73:I75 I77:I79 I81:I83 I65:I66 I9:I10 I12:I13 I15:I16 I18:I19 I21:I22 I24:I25 I27:I28 I30:I31 I33:I34 I36:I37">
    <cfRule type="expression" dxfId="37" priority="7" stopIfTrue="1">
      <formula>$R$1="P"</formula>
    </cfRule>
  </conditionalFormatting>
  <conditionalFormatting sqref="J85 J40:J42 J44:J46 J48:J50 J52:J54 J56:J58 J60:J63 J68:J71 J73:J75 J77:J79 J81:J83 J65:J66 J9:J10 J12:J13 J15:J16 J18:J19 J21:J22 J24:J25 J27:J28 J30:J31 J33:J34 J36:J37">
    <cfRule type="expression" dxfId="36" priority="8" stopIfTrue="1">
      <formula>$R$1="S"</formula>
    </cfRule>
  </conditionalFormatting>
  <conditionalFormatting sqref="K9:K10 K12:K13 K15:K16 K18:K19 K21:K22 K24:K25 K27:K28 K30:K31 K33:K34 K36:K37 K40:K42 K44:K46 K48:K50 K52:K54 K56:K58 K60:K63 K65:K66 K68:K71 K73:K75 K77:K79 K81:K83 K85">
    <cfRule type="expression" dxfId="35" priority="9" stopIfTrue="1">
      <formula>$R$1="C"</formula>
    </cfRule>
  </conditionalFormatting>
  <conditionalFormatting sqref="H7">
    <cfRule type="expression" dxfId="34" priority="5" stopIfTrue="1">
      <formula>$R$1="N"</formula>
    </cfRule>
  </conditionalFormatting>
  <conditionalFormatting sqref="I7">
    <cfRule type="expression" dxfId="33" priority="11" stopIfTrue="1">
      <formula>$R$1="P"</formula>
    </cfRule>
  </conditionalFormatting>
  <conditionalFormatting sqref="J7">
    <cfRule type="expression" dxfId="32" priority="12" stopIfTrue="1">
      <formula>$R$1="S"</formula>
    </cfRule>
  </conditionalFormatting>
  <conditionalFormatting sqref="L7">
    <cfRule type="expression" dxfId="31" priority="13" stopIfTrue="1">
      <formula>$R$1="PR"</formula>
    </cfRule>
  </conditionalFormatting>
  <conditionalFormatting sqref="K7">
    <cfRule type="expression" dxfId="30" priority="3" stopIfTrue="1">
      <formula>$R$1="C"</formula>
    </cfRule>
  </conditionalFormatting>
  <conditionalFormatting sqref="L9:L10 L12:L13 L15:L16 L18:L19 L21:L22 L24:L25 L27:L28 L30:L31 L33:L34 L36:L37 L40:L42 L44:L46 L48:L50 L52:L54 L56:L58 L60:L63 L65:L66 L68:L71 L73:L75 L77:L79 L81:L83">
    <cfRule type="expression" dxfId="29" priority="2" stopIfTrue="1">
      <formula>$R$1="PR"</formula>
    </cfRule>
  </conditionalFormatting>
  <conditionalFormatting sqref="L85">
    <cfRule type="expression" dxfId="28" priority="1" stopIfTrue="1">
      <formula>$R$1="PR"</formula>
    </cfRule>
  </conditionalFormatting>
  <dataValidations count="1">
    <dataValidation type="list" allowBlank="1" showInputMessage="1" showErrorMessage="1" sqref="C3:G3">
      <formula1>$B$411:$B$519</formula1>
    </dataValidation>
  </dataValidations>
  <pageMargins left="0" right="0" top="0" bottom="0" header="0" footer="0"/>
  <pageSetup paperSize="9" scale="5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110"/>
  <sheetViews>
    <sheetView workbookViewId="0">
      <pane xSplit="2" ySplit="5" topLeftCell="C6" activePane="bottomRight" state="frozen"/>
      <selection activeCell="P27" sqref="P27"/>
      <selection pane="topRight" activeCell="P27" sqref="P27"/>
      <selection pane="bottomLeft" activeCell="P27" sqref="P27"/>
      <selection pane="bottomRight" activeCell="P27" sqref="P27"/>
    </sheetView>
  </sheetViews>
  <sheetFormatPr defaultRowHeight="12.75"/>
  <cols>
    <col min="2" max="2" width="35.42578125" bestFit="1" customWidth="1"/>
    <col min="3" max="3" width="9" bestFit="1" customWidth="1"/>
    <col min="4" max="4" width="17.7109375" customWidth="1"/>
    <col min="5" max="5" width="8" bestFit="1" customWidth="1"/>
    <col min="6" max="6" width="10" bestFit="1" customWidth="1"/>
  </cols>
  <sheetData>
    <row r="1" spans="1:61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</row>
    <row r="3" spans="1:61">
      <c r="C3" s="238" t="s">
        <v>639</v>
      </c>
      <c r="D3" s="238" t="s">
        <v>640</v>
      </c>
      <c r="E3" s="238" t="s">
        <v>638</v>
      </c>
    </row>
    <row r="4" spans="1:61" ht="12.75" customHeight="1">
      <c r="A4" s="621" t="s">
        <v>218</v>
      </c>
      <c r="B4" s="622"/>
      <c r="C4" s="621" t="s">
        <v>386</v>
      </c>
      <c r="D4" s="622"/>
      <c r="E4" s="622"/>
      <c r="F4" s="623" t="s">
        <v>216</v>
      </c>
      <c r="G4" s="624"/>
      <c r="H4" s="624"/>
      <c r="I4" s="624"/>
      <c r="J4" s="624"/>
      <c r="K4" s="624"/>
      <c r="L4" s="624"/>
      <c r="M4" s="624"/>
      <c r="N4" s="624"/>
      <c r="O4" s="624"/>
      <c r="P4" s="624"/>
      <c r="Q4" s="624"/>
      <c r="R4" s="624"/>
      <c r="S4" s="624"/>
      <c r="T4" s="624"/>
      <c r="U4" s="624"/>
      <c r="V4" s="625"/>
      <c r="W4" s="626" t="s">
        <v>217</v>
      </c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8"/>
      <c r="BC4" s="629" t="s">
        <v>387</v>
      </c>
      <c r="BD4" s="630"/>
      <c r="BE4" s="630"/>
      <c r="BF4" s="630"/>
      <c r="BG4" s="630"/>
      <c r="BH4" s="630"/>
      <c r="BI4" s="630"/>
    </row>
    <row r="5" spans="1:61" ht="25.5">
      <c r="A5" s="69" t="s">
        <v>219</v>
      </c>
      <c r="B5" s="69" t="s">
        <v>133</v>
      </c>
      <c r="C5" s="70" t="s">
        <v>389</v>
      </c>
      <c r="D5" s="70" t="s">
        <v>390</v>
      </c>
      <c r="E5" s="70" t="s">
        <v>391</v>
      </c>
      <c r="F5" s="70" t="s">
        <v>220</v>
      </c>
      <c r="G5" s="70" t="s">
        <v>221</v>
      </c>
      <c r="H5" s="70" t="s">
        <v>222</v>
      </c>
      <c r="I5" s="70" t="s">
        <v>223</v>
      </c>
      <c r="J5" s="70" t="s">
        <v>224</v>
      </c>
      <c r="K5" s="70" t="s">
        <v>225</v>
      </c>
      <c r="L5" s="70" t="s">
        <v>226</v>
      </c>
      <c r="M5" s="70" t="s">
        <v>227</v>
      </c>
      <c r="N5" s="70" t="s">
        <v>228</v>
      </c>
      <c r="O5" s="70" t="s">
        <v>229</v>
      </c>
      <c r="P5" s="70" t="s">
        <v>230</v>
      </c>
      <c r="Q5" s="70" t="s">
        <v>231</v>
      </c>
      <c r="R5" s="70" t="s">
        <v>232</v>
      </c>
      <c r="S5" s="70" t="s">
        <v>233</v>
      </c>
      <c r="T5" s="70" t="s">
        <v>234</v>
      </c>
      <c r="U5" s="70" t="s">
        <v>235</v>
      </c>
      <c r="V5" s="69" t="s">
        <v>461</v>
      </c>
      <c r="W5" s="70" t="s">
        <v>236</v>
      </c>
      <c r="X5" s="70" t="s">
        <v>237</v>
      </c>
      <c r="Y5" s="70" t="s">
        <v>238</v>
      </c>
      <c r="Z5" s="70" t="s">
        <v>239</v>
      </c>
      <c r="AA5" s="70" t="s">
        <v>240</v>
      </c>
      <c r="AB5" s="70" t="s">
        <v>241</v>
      </c>
      <c r="AC5" s="70" t="s">
        <v>242</v>
      </c>
      <c r="AD5" s="70" t="s">
        <v>243</v>
      </c>
      <c r="AE5" s="70" t="s">
        <v>244</v>
      </c>
      <c r="AF5" s="70" t="s">
        <v>245</v>
      </c>
      <c r="AG5" s="70" t="s">
        <v>246</v>
      </c>
      <c r="AH5" s="70" t="s">
        <v>247</v>
      </c>
      <c r="AI5" s="70" t="s">
        <v>248</v>
      </c>
      <c r="AJ5" s="70" t="s">
        <v>249</v>
      </c>
      <c r="AK5" s="70" t="s">
        <v>250</v>
      </c>
      <c r="AL5" s="70" t="s">
        <v>251</v>
      </c>
      <c r="AM5" s="70" t="s">
        <v>252</v>
      </c>
      <c r="AN5" s="70" t="s">
        <v>253</v>
      </c>
      <c r="AO5" s="70" t="s">
        <v>254</v>
      </c>
      <c r="AP5" s="70" t="s">
        <v>255</v>
      </c>
      <c r="AQ5" s="70" t="s">
        <v>256</v>
      </c>
      <c r="AR5" s="70" t="s">
        <v>257</v>
      </c>
      <c r="AS5" s="70" t="s">
        <v>258</v>
      </c>
      <c r="AT5" s="70" t="s">
        <v>259</v>
      </c>
      <c r="AU5" s="70" t="s">
        <v>260</v>
      </c>
      <c r="AV5" s="70" t="s">
        <v>261</v>
      </c>
      <c r="AW5" s="70" t="s">
        <v>262</v>
      </c>
      <c r="AX5" s="70" t="s">
        <v>263</v>
      </c>
      <c r="AY5" s="70" t="s">
        <v>264</v>
      </c>
      <c r="AZ5" s="70" t="s">
        <v>265</v>
      </c>
      <c r="BA5" s="70" t="s">
        <v>266</v>
      </c>
      <c r="BB5" s="70" t="s">
        <v>267</v>
      </c>
      <c r="BC5" s="70" t="s">
        <v>392</v>
      </c>
      <c r="BD5" s="70" t="s">
        <v>393</v>
      </c>
      <c r="BE5" s="70" t="s">
        <v>394</v>
      </c>
      <c r="BF5" s="70" t="s">
        <v>395</v>
      </c>
      <c r="BG5" s="70" t="s">
        <v>396</v>
      </c>
      <c r="BH5" s="70" t="s">
        <v>397</v>
      </c>
      <c r="BI5" s="70" t="s">
        <v>398</v>
      </c>
    </row>
    <row r="6" spans="1:61">
      <c r="A6" s="131">
        <v>1000</v>
      </c>
      <c r="B6" s="131" t="s">
        <v>28</v>
      </c>
      <c r="C6" s="132">
        <v>144045</v>
      </c>
      <c r="D6" s="131"/>
      <c r="E6" s="71">
        <v>31927</v>
      </c>
      <c r="F6" s="72">
        <v>478215</v>
      </c>
      <c r="G6" s="72">
        <v>0</v>
      </c>
      <c r="H6" s="72">
        <v>23937</v>
      </c>
      <c r="I6" s="72">
        <v>3002</v>
      </c>
      <c r="J6" s="72">
        <v>0</v>
      </c>
      <c r="K6" s="72">
        <v>0</v>
      </c>
      <c r="L6" s="72">
        <v>1175</v>
      </c>
      <c r="M6" s="72">
        <v>51806.46</v>
      </c>
      <c r="N6" s="72">
        <v>4576.2299999999996</v>
      </c>
      <c r="O6" s="72">
        <v>18.170000000000002</v>
      </c>
      <c r="P6" s="72">
        <v>236.2</v>
      </c>
      <c r="Q6" s="72">
        <v>1624.6</v>
      </c>
      <c r="R6" s="72">
        <v>1591</v>
      </c>
      <c r="S6" s="72">
        <v>0</v>
      </c>
      <c r="T6" s="72">
        <v>0</v>
      </c>
      <c r="U6" s="72">
        <v>0</v>
      </c>
      <c r="V6" s="72">
        <v>0</v>
      </c>
      <c r="W6" s="72">
        <v>217918.27</v>
      </c>
      <c r="X6" s="72">
        <v>9239.7099999999991</v>
      </c>
      <c r="Y6" s="72">
        <v>149886.01999999999</v>
      </c>
      <c r="Z6" s="72">
        <v>22856.55</v>
      </c>
      <c r="AA6" s="72">
        <v>27243.27</v>
      </c>
      <c r="AB6" s="72">
        <v>0</v>
      </c>
      <c r="AC6" s="72">
        <v>17111.72</v>
      </c>
      <c r="AD6" s="72">
        <v>1683.12</v>
      </c>
      <c r="AE6" s="72">
        <v>2811.23</v>
      </c>
      <c r="AF6" s="72">
        <v>5643.33</v>
      </c>
      <c r="AG6" s="72">
        <v>1051.45</v>
      </c>
      <c r="AH6" s="133">
        <f>6599.3-2172.87</f>
        <v>4426.43</v>
      </c>
      <c r="AI6" s="72">
        <v>1680</v>
      </c>
      <c r="AJ6" s="72">
        <v>2536.85</v>
      </c>
      <c r="AK6" s="72">
        <v>711.68</v>
      </c>
      <c r="AL6" s="72">
        <v>1752.75</v>
      </c>
      <c r="AM6" s="72">
        <v>1867.5</v>
      </c>
      <c r="AN6" s="72">
        <v>2896.94</v>
      </c>
      <c r="AO6" s="72">
        <v>20048.310000000001</v>
      </c>
      <c r="AP6" s="72">
        <v>9437.49</v>
      </c>
      <c r="AQ6" s="72">
        <v>0</v>
      </c>
      <c r="AR6" s="72">
        <v>5926.01</v>
      </c>
      <c r="AS6" s="72">
        <v>1161.4000000000001</v>
      </c>
      <c r="AT6" s="72">
        <v>1089.6400000000001</v>
      </c>
      <c r="AU6" s="72">
        <v>5654.91</v>
      </c>
      <c r="AV6" s="72">
        <v>0</v>
      </c>
      <c r="AW6" s="72">
        <v>345</v>
      </c>
      <c r="AX6" s="72">
        <v>18231.87</v>
      </c>
      <c r="AY6" s="72">
        <v>0</v>
      </c>
      <c r="AZ6" s="72">
        <v>0</v>
      </c>
      <c r="BA6" s="72">
        <v>0</v>
      </c>
      <c r="BB6" s="72">
        <v>0</v>
      </c>
      <c r="BC6" s="72">
        <v>4823.5200000000004</v>
      </c>
      <c r="BD6" s="72">
        <v>0</v>
      </c>
      <c r="BE6" s="72">
        <v>0</v>
      </c>
      <c r="BF6" s="131">
        <v>0</v>
      </c>
      <c r="BG6" s="133">
        <f>-2172.87+2172.87</f>
        <v>0</v>
      </c>
      <c r="BH6" s="72">
        <v>0</v>
      </c>
      <c r="BI6" s="72">
        <v>0</v>
      </c>
    </row>
    <row r="7" spans="1:61">
      <c r="A7" s="131">
        <v>1001</v>
      </c>
      <c r="B7" s="131" t="s">
        <v>29</v>
      </c>
      <c r="C7" s="132">
        <v>91591</v>
      </c>
      <c r="D7" s="131"/>
      <c r="E7" s="71">
        <v>34173</v>
      </c>
      <c r="F7" s="72">
        <v>414206</v>
      </c>
      <c r="G7" s="72">
        <v>0</v>
      </c>
      <c r="H7" s="72">
        <v>16871</v>
      </c>
      <c r="I7" s="72">
        <v>1501</v>
      </c>
      <c r="J7" s="72">
        <v>0</v>
      </c>
      <c r="K7" s="72">
        <v>0</v>
      </c>
      <c r="L7" s="72">
        <v>19959.349999999999</v>
      </c>
      <c r="M7" s="72">
        <v>32914</v>
      </c>
      <c r="N7" s="72">
        <v>0</v>
      </c>
      <c r="O7" s="72">
        <v>0</v>
      </c>
      <c r="P7" s="72">
        <v>694.86</v>
      </c>
      <c r="Q7" s="72">
        <v>0</v>
      </c>
      <c r="R7" s="72">
        <v>0</v>
      </c>
      <c r="S7" s="72">
        <v>0</v>
      </c>
      <c r="T7" s="72">
        <v>212141.47</v>
      </c>
      <c r="U7" s="72">
        <v>12334.69</v>
      </c>
      <c r="V7" s="72">
        <v>0</v>
      </c>
      <c r="W7" s="72">
        <v>181267.68</v>
      </c>
      <c r="X7" s="72">
        <v>444.48</v>
      </c>
      <c r="Y7" s="72">
        <v>162324.06</v>
      </c>
      <c r="Z7" s="72">
        <v>18139.59</v>
      </c>
      <c r="AA7" s="72">
        <v>18785.72</v>
      </c>
      <c r="AB7" s="72">
        <v>0</v>
      </c>
      <c r="AC7" s="72">
        <v>18695.900000000001</v>
      </c>
      <c r="AD7" s="72">
        <v>2166.63</v>
      </c>
      <c r="AE7" s="72">
        <v>4256.08</v>
      </c>
      <c r="AF7" s="72">
        <v>3494.4</v>
      </c>
      <c r="AG7" s="72">
        <v>400</v>
      </c>
      <c r="AH7" s="72">
        <v>6009.69</v>
      </c>
      <c r="AI7" s="72">
        <v>680</v>
      </c>
      <c r="AJ7" s="72">
        <v>3702.9</v>
      </c>
      <c r="AK7" s="72">
        <v>1073.4100000000001</v>
      </c>
      <c r="AL7" s="72">
        <v>3490.48</v>
      </c>
      <c r="AM7" s="72">
        <v>9977.32</v>
      </c>
      <c r="AN7" s="72">
        <v>3340.28</v>
      </c>
      <c r="AO7" s="72">
        <v>10278.39</v>
      </c>
      <c r="AP7" s="72">
        <v>4873.34</v>
      </c>
      <c r="AQ7" s="72">
        <v>0</v>
      </c>
      <c r="AR7" s="72">
        <v>4545.26</v>
      </c>
      <c r="AS7" s="72">
        <v>400</v>
      </c>
      <c r="AT7" s="72">
        <v>0</v>
      </c>
      <c r="AU7" s="72">
        <v>338.66</v>
      </c>
      <c r="AV7" s="72">
        <v>260</v>
      </c>
      <c r="AW7" s="72">
        <v>1010</v>
      </c>
      <c r="AX7" s="72">
        <v>14334.9</v>
      </c>
      <c r="AY7" s="72">
        <v>0</v>
      </c>
      <c r="AZ7" s="72">
        <v>0</v>
      </c>
      <c r="BA7" s="72">
        <v>189302.72</v>
      </c>
      <c r="BB7" s="72">
        <v>35173.14</v>
      </c>
      <c r="BC7" s="72">
        <v>4661.5</v>
      </c>
      <c r="BD7" s="72">
        <v>0</v>
      </c>
      <c r="BE7" s="72">
        <v>0</v>
      </c>
      <c r="BF7" s="131">
        <v>0</v>
      </c>
      <c r="BG7" s="72">
        <v>24805</v>
      </c>
      <c r="BH7" s="72">
        <v>0</v>
      </c>
      <c r="BI7" s="72">
        <v>2197.9299999999998</v>
      </c>
    </row>
    <row r="8" spans="1:61">
      <c r="A8" s="131">
        <v>1002</v>
      </c>
      <c r="B8" s="131" t="s">
        <v>30</v>
      </c>
      <c r="C8" s="132">
        <v>85436</v>
      </c>
      <c r="D8" s="131"/>
      <c r="E8" s="71">
        <v>0</v>
      </c>
      <c r="F8" s="72">
        <v>517645</v>
      </c>
      <c r="G8" s="72">
        <v>0</v>
      </c>
      <c r="H8" s="72">
        <v>32938</v>
      </c>
      <c r="I8" s="72">
        <v>1051</v>
      </c>
      <c r="J8" s="72">
        <v>0</v>
      </c>
      <c r="K8" s="72">
        <v>5200</v>
      </c>
      <c r="L8" s="72">
        <v>447.5</v>
      </c>
      <c r="M8" s="72">
        <v>116356.41</v>
      </c>
      <c r="N8" s="72">
        <v>12775.68</v>
      </c>
      <c r="O8" s="72">
        <v>0</v>
      </c>
      <c r="P8" s="72">
        <v>1744</v>
      </c>
      <c r="Q8" s="72">
        <v>0</v>
      </c>
      <c r="R8" s="72">
        <v>2629.22</v>
      </c>
      <c r="S8" s="72">
        <v>0</v>
      </c>
      <c r="T8" s="72">
        <v>0</v>
      </c>
      <c r="U8" s="72">
        <v>0</v>
      </c>
      <c r="V8" s="72">
        <v>0</v>
      </c>
      <c r="W8" s="72">
        <v>230374.68</v>
      </c>
      <c r="X8" s="72">
        <v>120</v>
      </c>
      <c r="Y8" s="72">
        <v>247420.52</v>
      </c>
      <c r="Z8" s="72">
        <v>24533.59</v>
      </c>
      <c r="AA8" s="72">
        <v>34043.97</v>
      </c>
      <c r="AB8" s="72">
        <v>0</v>
      </c>
      <c r="AC8" s="72">
        <v>15711.9</v>
      </c>
      <c r="AD8" s="72">
        <v>4397.6899999999996</v>
      </c>
      <c r="AE8" s="72">
        <v>1532.58</v>
      </c>
      <c r="AF8" s="72">
        <v>824.2</v>
      </c>
      <c r="AG8" s="72">
        <v>5472.5</v>
      </c>
      <c r="AH8" s="72">
        <v>3791.75</v>
      </c>
      <c r="AI8" s="72">
        <v>2862.03</v>
      </c>
      <c r="AJ8" s="72">
        <v>941.35</v>
      </c>
      <c r="AK8" s="72">
        <v>1040.1400000000001</v>
      </c>
      <c r="AL8" s="72">
        <v>5379.66</v>
      </c>
      <c r="AM8" s="72">
        <v>4882.97</v>
      </c>
      <c r="AN8" s="72">
        <v>2319.7399999999998</v>
      </c>
      <c r="AO8" s="72">
        <v>13892.35</v>
      </c>
      <c r="AP8" s="72">
        <v>6986.24</v>
      </c>
      <c r="AQ8" s="72">
        <v>0</v>
      </c>
      <c r="AR8" s="72">
        <v>4466.6099999999997</v>
      </c>
      <c r="AS8" s="72">
        <v>1577</v>
      </c>
      <c r="AT8" s="72">
        <v>2409.83</v>
      </c>
      <c r="AU8" s="72">
        <v>15903.96</v>
      </c>
      <c r="AV8" s="72">
        <v>1485</v>
      </c>
      <c r="AW8" s="72">
        <v>1956.77</v>
      </c>
      <c r="AX8" s="72">
        <v>17368.830000000002</v>
      </c>
      <c r="AY8" s="72">
        <v>0</v>
      </c>
      <c r="AZ8" s="72">
        <v>0</v>
      </c>
      <c r="BA8" s="72">
        <v>0</v>
      </c>
      <c r="BB8" s="72">
        <v>0</v>
      </c>
      <c r="BC8" s="72">
        <v>4958.5200000000004</v>
      </c>
      <c r="BD8" s="72">
        <v>0</v>
      </c>
      <c r="BE8" s="72">
        <v>0</v>
      </c>
      <c r="BF8" s="131">
        <v>0</v>
      </c>
      <c r="BG8" s="72">
        <v>0</v>
      </c>
      <c r="BH8" s="72">
        <v>0</v>
      </c>
      <c r="BI8" s="72">
        <v>0</v>
      </c>
    </row>
    <row r="9" spans="1:61">
      <c r="A9" s="131">
        <v>1003</v>
      </c>
      <c r="B9" s="131" t="s">
        <v>31</v>
      </c>
      <c r="C9" s="132">
        <v>47611</v>
      </c>
      <c r="D9" s="131"/>
      <c r="E9" s="71">
        <v>38908</v>
      </c>
      <c r="F9" s="72">
        <v>550558</v>
      </c>
      <c r="G9" s="72">
        <v>0</v>
      </c>
      <c r="H9" s="72">
        <v>22036</v>
      </c>
      <c r="I9" s="72">
        <v>5403</v>
      </c>
      <c r="J9" s="72">
        <v>0</v>
      </c>
      <c r="K9" s="72">
        <v>9476</v>
      </c>
      <c r="L9" s="72">
        <v>0</v>
      </c>
      <c r="M9" s="72">
        <v>138892.57</v>
      </c>
      <c r="N9" s="72">
        <v>19014.8</v>
      </c>
      <c r="O9" s="72">
        <v>0</v>
      </c>
      <c r="P9" s="72">
        <v>0</v>
      </c>
      <c r="Q9" s="72">
        <v>0</v>
      </c>
      <c r="R9" s="72">
        <v>0</v>
      </c>
      <c r="S9" s="72">
        <v>0</v>
      </c>
      <c r="T9" s="72">
        <v>212427.05</v>
      </c>
      <c r="U9" s="72">
        <v>5152.1899999999996</v>
      </c>
      <c r="V9" s="72">
        <v>0</v>
      </c>
      <c r="W9" s="72">
        <v>295245.86</v>
      </c>
      <c r="X9" s="72">
        <v>7081.15</v>
      </c>
      <c r="Y9" s="72">
        <v>244554.18</v>
      </c>
      <c r="Z9" s="72">
        <v>17647.310000000001</v>
      </c>
      <c r="AA9" s="72">
        <v>29188.35</v>
      </c>
      <c r="AB9" s="72">
        <v>0</v>
      </c>
      <c r="AC9" s="72">
        <v>23194.46</v>
      </c>
      <c r="AD9" s="72">
        <v>1433.81</v>
      </c>
      <c r="AE9" s="72">
        <v>738</v>
      </c>
      <c r="AF9" s="72">
        <v>0</v>
      </c>
      <c r="AG9" s="72">
        <v>366.6</v>
      </c>
      <c r="AH9" s="72">
        <v>4228.5</v>
      </c>
      <c r="AI9" s="72">
        <v>235</v>
      </c>
      <c r="AJ9" s="72">
        <v>790.62</v>
      </c>
      <c r="AK9" s="72">
        <v>975.3</v>
      </c>
      <c r="AL9" s="72">
        <v>5551.74</v>
      </c>
      <c r="AM9" s="72">
        <v>7487.22</v>
      </c>
      <c r="AN9" s="72">
        <v>2444.66</v>
      </c>
      <c r="AO9" s="72">
        <v>6295.24</v>
      </c>
      <c r="AP9" s="72">
        <v>3205.07</v>
      </c>
      <c r="AQ9" s="72">
        <v>0</v>
      </c>
      <c r="AR9" s="72">
        <v>4925.63</v>
      </c>
      <c r="AS9" s="72">
        <v>1696.86</v>
      </c>
      <c r="AT9" s="72">
        <v>0</v>
      </c>
      <c r="AU9" s="72">
        <v>21232.11</v>
      </c>
      <c r="AV9" s="72">
        <v>0</v>
      </c>
      <c r="AW9" s="72">
        <v>0</v>
      </c>
      <c r="AX9" s="72">
        <v>29119.54</v>
      </c>
      <c r="AY9" s="72">
        <v>0</v>
      </c>
      <c r="AZ9" s="72">
        <v>0</v>
      </c>
      <c r="BA9" s="72">
        <v>181514.93</v>
      </c>
      <c r="BB9" s="72">
        <v>36064.31</v>
      </c>
      <c r="BC9" s="72">
        <v>4911.24</v>
      </c>
      <c r="BD9" s="72">
        <v>0</v>
      </c>
      <c r="BE9" s="72">
        <v>0</v>
      </c>
      <c r="BF9" s="131">
        <v>0</v>
      </c>
      <c r="BG9" s="72">
        <v>6737</v>
      </c>
      <c r="BH9" s="72">
        <v>5496.96</v>
      </c>
      <c r="BI9" s="72">
        <v>13754.27</v>
      </c>
    </row>
    <row r="10" spans="1:61">
      <c r="A10" s="131">
        <v>3520</v>
      </c>
      <c r="B10" s="131" t="s">
        <v>268</v>
      </c>
      <c r="C10" s="132">
        <v>32456</v>
      </c>
      <c r="D10" s="131"/>
      <c r="E10" s="71">
        <v>0</v>
      </c>
      <c r="F10" s="72">
        <v>1421008</v>
      </c>
      <c r="G10" s="72">
        <v>0</v>
      </c>
      <c r="H10" s="72">
        <v>94760</v>
      </c>
      <c r="I10" s="72">
        <v>150</v>
      </c>
      <c r="J10" s="72">
        <v>5607</v>
      </c>
      <c r="K10" s="72">
        <v>11067</v>
      </c>
      <c r="L10" s="72">
        <v>1220</v>
      </c>
      <c r="M10" s="72">
        <v>13898.57</v>
      </c>
      <c r="N10" s="72">
        <v>134525.57999999999</v>
      </c>
      <c r="O10" s="72">
        <v>15954.3</v>
      </c>
      <c r="P10" s="72">
        <v>1654.46</v>
      </c>
      <c r="Q10" s="72">
        <v>31114.799999999999</v>
      </c>
      <c r="R10" s="72">
        <v>199817.9</v>
      </c>
      <c r="S10" s="72">
        <v>0</v>
      </c>
      <c r="T10" s="72">
        <v>0</v>
      </c>
      <c r="U10" s="72">
        <v>0</v>
      </c>
      <c r="V10" s="72">
        <v>0</v>
      </c>
      <c r="W10" s="72">
        <v>813889.76</v>
      </c>
      <c r="X10" s="72">
        <v>4620.53</v>
      </c>
      <c r="Y10" s="72">
        <v>239089.7</v>
      </c>
      <c r="Z10" s="72">
        <v>25725.85</v>
      </c>
      <c r="AA10" s="72">
        <v>98075.05</v>
      </c>
      <c r="AB10" s="72">
        <v>0</v>
      </c>
      <c r="AC10" s="72">
        <v>8711.98</v>
      </c>
      <c r="AD10" s="72">
        <v>16681.03</v>
      </c>
      <c r="AE10" s="72">
        <v>9168.49</v>
      </c>
      <c r="AF10" s="72">
        <v>14004.96</v>
      </c>
      <c r="AG10" s="72">
        <v>2697.74</v>
      </c>
      <c r="AH10" s="72">
        <v>53952.87</v>
      </c>
      <c r="AI10" s="72">
        <v>19484.560000000001</v>
      </c>
      <c r="AJ10" s="72">
        <v>27372.66</v>
      </c>
      <c r="AK10" s="72">
        <v>3931.18</v>
      </c>
      <c r="AL10" s="72">
        <v>25961.43</v>
      </c>
      <c r="AM10" s="72">
        <v>0</v>
      </c>
      <c r="AN10" s="72">
        <v>113157.46</v>
      </c>
      <c r="AO10" s="72">
        <v>92900.53</v>
      </c>
      <c r="AP10" s="72">
        <v>13218.01</v>
      </c>
      <c r="AQ10" s="72">
        <v>0</v>
      </c>
      <c r="AR10" s="72">
        <v>17107.95</v>
      </c>
      <c r="AS10" s="72">
        <v>12812.82</v>
      </c>
      <c r="AT10" s="72">
        <v>5585.4</v>
      </c>
      <c r="AU10" s="72">
        <v>144297.65</v>
      </c>
      <c r="AV10" s="72">
        <v>84208</v>
      </c>
      <c r="AW10" s="72">
        <v>50162.239999999998</v>
      </c>
      <c r="AX10" s="72">
        <v>43237</v>
      </c>
      <c r="AY10" s="72">
        <v>0</v>
      </c>
      <c r="AZ10" s="72">
        <v>0</v>
      </c>
      <c r="BA10" s="72">
        <v>0</v>
      </c>
      <c r="BB10" s="72">
        <v>0</v>
      </c>
      <c r="BC10" s="72">
        <v>0</v>
      </c>
      <c r="BD10" s="72">
        <v>0</v>
      </c>
      <c r="BE10" s="72">
        <v>0</v>
      </c>
      <c r="BF10" s="131">
        <v>0</v>
      </c>
      <c r="BG10" s="72">
        <v>0</v>
      </c>
      <c r="BH10" s="72">
        <v>0</v>
      </c>
      <c r="BI10" s="72">
        <v>0</v>
      </c>
    </row>
    <row r="11" spans="1:61">
      <c r="A11" s="131">
        <v>3317</v>
      </c>
      <c r="B11" s="131" t="s">
        <v>33</v>
      </c>
      <c r="C11" s="132">
        <v>101961</v>
      </c>
      <c r="D11" s="131"/>
      <c r="E11" s="71">
        <v>0</v>
      </c>
      <c r="F11" s="72">
        <v>928098</v>
      </c>
      <c r="G11" s="72">
        <v>0</v>
      </c>
      <c r="H11" s="72">
        <v>106482</v>
      </c>
      <c r="I11" s="72">
        <v>2319</v>
      </c>
      <c r="J11" s="72">
        <v>23301</v>
      </c>
      <c r="K11" s="72">
        <v>9000</v>
      </c>
      <c r="L11" s="72">
        <v>5176</v>
      </c>
      <c r="M11" s="72">
        <v>17872.13</v>
      </c>
      <c r="N11" s="72">
        <v>38533.699999999997</v>
      </c>
      <c r="O11" s="72">
        <v>0</v>
      </c>
      <c r="P11" s="72">
        <v>15026.62</v>
      </c>
      <c r="Q11" s="72">
        <v>26503.200000000001</v>
      </c>
      <c r="R11" s="72">
        <v>13519.88</v>
      </c>
      <c r="S11" s="72">
        <v>0</v>
      </c>
      <c r="T11" s="72">
        <v>0</v>
      </c>
      <c r="U11" s="72">
        <v>0</v>
      </c>
      <c r="V11" s="72">
        <v>0</v>
      </c>
      <c r="W11" s="72">
        <v>491635.28</v>
      </c>
      <c r="X11" s="72">
        <v>0</v>
      </c>
      <c r="Y11" s="72">
        <v>230993.97</v>
      </c>
      <c r="Z11" s="72">
        <v>23787.77</v>
      </c>
      <c r="AA11" s="72">
        <v>47419.61</v>
      </c>
      <c r="AB11" s="72">
        <v>0</v>
      </c>
      <c r="AC11" s="72">
        <v>21534.91</v>
      </c>
      <c r="AD11" s="72">
        <v>6663</v>
      </c>
      <c r="AE11" s="72">
        <v>3433.19</v>
      </c>
      <c r="AF11" s="72">
        <v>7626.13</v>
      </c>
      <c r="AG11" s="72">
        <v>1066.71</v>
      </c>
      <c r="AH11" s="72">
        <v>44579.03</v>
      </c>
      <c r="AI11" s="72">
        <v>17112.990000000002</v>
      </c>
      <c r="AJ11" s="72">
        <v>20264.18</v>
      </c>
      <c r="AK11" s="72">
        <v>2974.03</v>
      </c>
      <c r="AL11" s="72">
        <v>21733.11</v>
      </c>
      <c r="AM11" s="72">
        <v>0</v>
      </c>
      <c r="AN11" s="72">
        <v>5545.52</v>
      </c>
      <c r="AO11" s="72">
        <v>53722.78</v>
      </c>
      <c r="AP11" s="72">
        <v>18821.060000000001</v>
      </c>
      <c r="AQ11" s="72">
        <v>0</v>
      </c>
      <c r="AR11" s="72">
        <v>7525.25</v>
      </c>
      <c r="AS11" s="72">
        <v>3266.66</v>
      </c>
      <c r="AT11" s="72">
        <v>2423.9299999999998</v>
      </c>
      <c r="AU11" s="72">
        <v>48637.71</v>
      </c>
      <c r="AV11" s="72">
        <v>36839.5</v>
      </c>
      <c r="AW11" s="72">
        <v>63629.39</v>
      </c>
      <c r="AX11" s="72">
        <v>18152.84</v>
      </c>
      <c r="AY11" s="72">
        <v>0</v>
      </c>
      <c r="AZ11" s="72">
        <v>0</v>
      </c>
      <c r="BA11" s="72">
        <v>0</v>
      </c>
      <c r="BB11" s="72">
        <v>0</v>
      </c>
      <c r="BC11" s="72">
        <v>0</v>
      </c>
      <c r="BD11" s="72">
        <v>0</v>
      </c>
      <c r="BE11" s="72">
        <v>0</v>
      </c>
      <c r="BF11" s="131">
        <v>0</v>
      </c>
      <c r="BG11" s="72">
        <v>0</v>
      </c>
      <c r="BH11" s="72">
        <v>0</v>
      </c>
      <c r="BI11" s="72">
        <v>0</v>
      </c>
    </row>
    <row r="12" spans="1:61">
      <c r="A12" s="131">
        <v>3300</v>
      </c>
      <c r="B12" s="131" t="s">
        <v>34</v>
      </c>
      <c r="C12" s="132">
        <v>124630</v>
      </c>
      <c r="D12" s="131"/>
      <c r="E12" s="71">
        <v>0</v>
      </c>
      <c r="F12" s="72">
        <v>809345</v>
      </c>
      <c r="G12" s="72">
        <v>0</v>
      </c>
      <c r="H12" s="72">
        <v>192892</v>
      </c>
      <c r="I12" s="72">
        <v>8828</v>
      </c>
      <c r="J12" s="72">
        <v>54824</v>
      </c>
      <c r="K12" s="72">
        <v>6100</v>
      </c>
      <c r="L12" s="72">
        <v>3167</v>
      </c>
      <c r="M12" s="72">
        <v>592.12</v>
      </c>
      <c r="N12" s="72">
        <v>26768.67</v>
      </c>
      <c r="O12" s="72">
        <v>8945.8799999999992</v>
      </c>
      <c r="P12" s="72">
        <v>10575.61</v>
      </c>
      <c r="Q12" s="72">
        <v>15854.16</v>
      </c>
      <c r="R12" s="72">
        <v>14602.93</v>
      </c>
      <c r="S12" s="72">
        <v>0</v>
      </c>
      <c r="T12" s="72">
        <v>0</v>
      </c>
      <c r="U12" s="72">
        <v>0</v>
      </c>
      <c r="V12" s="72">
        <v>0</v>
      </c>
      <c r="W12" s="72">
        <v>489505.55</v>
      </c>
      <c r="X12" s="72">
        <v>3824.81</v>
      </c>
      <c r="Y12" s="72">
        <v>189476.1</v>
      </c>
      <c r="Z12" s="72">
        <v>18024.54</v>
      </c>
      <c r="AA12" s="72">
        <v>23106.48</v>
      </c>
      <c r="AB12" s="72">
        <v>0</v>
      </c>
      <c r="AC12" s="72">
        <v>5522.38</v>
      </c>
      <c r="AD12" s="72">
        <v>2852.47</v>
      </c>
      <c r="AE12" s="72">
        <v>3409.72</v>
      </c>
      <c r="AF12" s="72">
        <v>6900.79</v>
      </c>
      <c r="AG12" s="72">
        <v>0</v>
      </c>
      <c r="AH12" s="72">
        <v>48719.79</v>
      </c>
      <c r="AI12" s="72">
        <v>2297.2399999999998</v>
      </c>
      <c r="AJ12" s="72">
        <v>14241.95</v>
      </c>
      <c r="AK12" s="72">
        <v>2253.29</v>
      </c>
      <c r="AL12" s="72">
        <v>8500.7099999999991</v>
      </c>
      <c r="AM12" s="72">
        <v>0</v>
      </c>
      <c r="AN12" s="72">
        <v>7463.19</v>
      </c>
      <c r="AO12" s="72">
        <v>51699.98</v>
      </c>
      <c r="AP12" s="72">
        <v>27652.97</v>
      </c>
      <c r="AQ12" s="72">
        <v>0</v>
      </c>
      <c r="AR12" s="72">
        <v>8125.8</v>
      </c>
      <c r="AS12" s="72">
        <v>4423.63</v>
      </c>
      <c r="AT12" s="72">
        <v>0</v>
      </c>
      <c r="AU12" s="72">
        <v>49067.19</v>
      </c>
      <c r="AV12" s="72">
        <v>59324.639999999999</v>
      </c>
      <c r="AW12" s="72">
        <v>38173.71</v>
      </c>
      <c r="AX12" s="72">
        <v>30586.240000000002</v>
      </c>
      <c r="AY12" s="72">
        <v>0</v>
      </c>
      <c r="AZ12" s="72">
        <v>8398.7999999999993</v>
      </c>
      <c r="BA12" s="72">
        <v>0</v>
      </c>
      <c r="BB12" s="72">
        <v>0</v>
      </c>
      <c r="BC12" s="72">
        <v>0</v>
      </c>
      <c r="BD12" s="72">
        <v>0</v>
      </c>
      <c r="BE12" s="72">
        <v>8398.7999999999993</v>
      </c>
      <c r="BF12" s="131">
        <v>0</v>
      </c>
      <c r="BG12" s="72">
        <v>0</v>
      </c>
      <c r="BH12" s="72">
        <v>0</v>
      </c>
      <c r="BI12" s="72">
        <v>8398.7999999999993</v>
      </c>
    </row>
    <row r="13" spans="1:61">
      <c r="A13" s="131">
        <v>3500</v>
      </c>
      <c r="B13" s="131" t="s">
        <v>35</v>
      </c>
      <c r="C13" s="132">
        <v>160898</v>
      </c>
      <c r="D13" s="131"/>
      <c r="E13" s="71">
        <v>0</v>
      </c>
      <c r="F13" s="72">
        <v>819685</v>
      </c>
      <c r="G13" s="72">
        <v>0</v>
      </c>
      <c r="H13" s="72">
        <v>105170</v>
      </c>
      <c r="I13" s="72">
        <v>7257</v>
      </c>
      <c r="J13" s="72">
        <v>14329</v>
      </c>
      <c r="K13" s="72">
        <v>5600</v>
      </c>
      <c r="L13" s="72">
        <v>1605</v>
      </c>
      <c r="M13" s="72">
        <v>94</v>
      </c>
      <c r="N13" s="72">
        <v>32246.15</v>
      </c>
      <c r="O13" s="72">
        <v>4959</v>
      </c>
      <c r="P13" s="72">
        <v>0</v>
      </c>
      <c r="Q13" s="72">
        <v>0</v>
      </c>
      <c r="R13" s="72">
        <v>0</v>
      </c>
      <c r="S13" s="72">
        <v>0</v>
      </c>
      <c r="T13" s="72">
        <v>0</v>
      </c>
      <c r="U13" s="72">
        <v>0</v>
      </c>
      <c r="V13" s="72">
        <v>0</v>
      </c>
      <c r="W13" s="72">
        <v>519679.93</v>
      </c>
      <c r="X13" s="72">
        <v>291.49</v>
      </c>
      <c r="Y13" s="72">
        <v>174628.79</v>
      </c>
      <c r="Z13" s="72">
        <v>28605.21</v>
      </c>
      <c r="AA13" s="72">
        <v>33340.519999999997</v>
      </c>
      <c r="AB13" s="72">
        <v>0</v>
      </c>
      <c r="AC13" s="72">
        <v>3534.67</v>
      </c>
      <c r="AD13" s="72">
        <v>8085.11</v>
      </c>
      <c r="AE13" s="72">
        <v>3919.17</v>
      </c>
      <c r="AF13" s="72">
        <v>7514.27</v>
      </c>
      <c r="AG13" s="72">
        <v>0</v>
      </c>
      <c r="AH13" s="72">
        <v>25060.75</v>
      </c>
      <c r="AI13" s="72">
        <v>2362.4699999999998</v>
      </c>
      <c r="AJ13" s="72">
        <v>2417.14</v>
      </c>
      <c r="AK13" s="72">
        <v>1815.56</v>
      </c>
      <c r="AL13" s="72">
        <v>10616.26</v>
      </c>
      <c r="AM13" s="72">
        <v>0</v>
      </c>
      <c r="AN13" s="72">
        <v>9354.9500000000007</v>
      </c>
      <c r="AO13" s="72">
        <v>36356.019999999997</v>
      </c>
      <c r="AP13" s="72">
        <v>13110.63</v>
      </c>
      <c r="AQ13" s="72">
        <v>0</v>
      </c>
      <c r="AR13" s="72">
        <v>3509.04</v>
      </c>
      <c r="AS13" s="72">
        <v>1735.72</v>
      </c>
      <c r="AT13" s="72">
        <v>0</v>
      </c>
      <c r="AU13" s="72">
        <v>39248.400000000001</v>
      </c>
      <c r="AV13" s="72">
        <v>0</v>
      </c>
      <c r="AW13" s="72">
        <v>5491.56</v>
      </c>
      <c r="AX13" s="72">
        <v>17173</v>
      </c>
      <c r="AY13" s="72">
        <v>0</v>
      </c>
      <c r="AZ13" s="72">
        <v>0</v>
      </c>
      <c r="BA13" s="72">
        <v>0</v>
      </c>
      <c r="BB13" s="72">
        <v>0</v>
      </c>
      <c r="BC13" s="72">
        <v>0</v>
      </c>
      <c r="BD13" s="72">
        <v>0</v>
      </c>
      <c r="BE13" s="72">
        <v>0</v>
      </c>
      <c r="BF13" s="131">
        <v>0</v>
      </c>
      <c r="BG13" s="72">
        <v>0</v>
      </c>
      <c r="BH13" s="72">
        <v>0</v>
      </c>
      <c r="BI13" s="72">
        <v>0</v>
      </c>
    </row>
    <row r="14" spans="1:61">
      <c r="A14" s="131">
        <v>3514</v>
      </c>
      <c r="B14" s="131" t="s">
        <v>36</v>
      </c>
      <c r="C14" s="132">
        <v>130503</v>
      </c>
      <c r="D14" s="131"/>
      <c r="E14" s="71">
        <v>0</v>
      </c>
      <c r="F14" s="72">
        <v>826438</v>
      </c>
      <c r="G14" s="72">
        <v>0</v>
      </c>
      <c r="H14" s="72">
        <v>115646</v>
      </c>
      <c r="I14" s="72">
        <v>9501</v>
      </c>
      <c r="J14" s="72">
        <v>31773</v>
      </c>
      <c r="K14" s="72">
        <v>0</v>
      </c>
      <c r="L14" s="72">
        <v>16244</v>
      </c>
      <c r="M14" s="72">
        <v>6287.05</v>
      </c>
      <c r="N14" s="72">
        <v>35489.370000000003</v>
      </c>
      <c r="O14" s="72">
        <v>3693.6</v>
      </c>
      <c r="P14" s="72">
        <v>0</v>
      </c>
      <c r="Q14" s="72">
        <v>19319.98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546959.37</v>
      </c>
      <c r="X14" s="72">
        <v>11483.52</v>
      </c>
      <c r="Y14" s="72">
        <v>105944.24</v>
      </c>
      <c r="Z14" s="72">
        <v>31047.05</v>
      </c>
      <c r="AA14" s="72">
        <v>20432.72</v>
      </c>
      <c r="AB14" s="72">
        <v>0</v>
      </c>
      <c r="AC14" s="72">
        <v>5062.8999999999996</v>
      </c>
      <c r="AD14" s="72">
        <v>10535.48</v>
      </c>
      <c r="AE14" s="72">
        <v>6342.19</v>
      </c>
      <c r="AF14" s="72">
        <v>7395.64</v>
      </c>
      <c r="AG14" s="72">
        <v>870</v>
      </c>
      <c r="AH14" s="72">
        <v>33968.61</v>
      </c>
      <c r="AI14" s="72">
        <v>12495.19</v>
      </c>
      <c r="AJ14" s="72">
        <v>1548.17</v>
      </c>
      <c r="AK14" s="72">
        <v>2157.64</v>
      </c>
      <c r="AL14" s="72">
        <v>9384.08</v>
      </c>
      <c r="AM14" s="72">
        <v>0</v>
      </c>
      <c r="AN14" s="72">
        <v>4883.09</v>
      </c>
      <c r="AO14" s="72">
        <v>43022.1</v>
      </c>
      <c r="AP14" s="72">
        <v>16443.060000000001</v>
      </c>
      <c r="AQ14" s="72">
        <v>0</v>
      </c>
      <c r="AR14" s="72">
        <v>3978.81</v>
      </c>
      <c r="AS14" s="72">
        <v>1873.76</v>
      </c>
      <c r="AT14" s="72">
        <v>4405.75</v>
      </c>
      <c r="AU14" s="72">
        <v>50489.94</v>
      </c>
      <c r="AV14" s="72">
        <v>66962.37</v>
      </c>
      <c r="AW14" s="72">
        <v>85164.82</v>
      </c>
      <c r="AX14" s="72">
        <v>24759.25</v>
      </c>
      <c r="AY14" s="72">
        <v>0</v>
      </c>
      <c r="AZ14" s="72">
        <v>13200</v>
      </c>
      <c r="BA14" s="72">
        <v>0</v>
      </c>
      <c r="BB14" s="72">
        <v>0</v>
      </c>
      <c r="BC14" s="72">
        <v>0</v>
      </c>
      <c r="BD14" s="72">
        <v>0</v>
      </c>
      <c r="BE14" s="72">
        <v>13200</v>
      </c>
      <c r="BF14" s="131">
        <v>0</v>
      </c>
      <c r="BG14" s="72">
        <v>13200</v>
      </c>
      <c r="BH14" s="72">
        <v>0</v>
      </c>
      <c r="BI14" s="72">
        <v>0</v>
      </c>
    </row>
    <row r="15" spans="1:61">
      <c r="A15" s="131">
        <v>2002</v>
      </c>
      <c r="B15" s="131" t="s">
        <v>37</v>
      </c>
      <c r="C15" s="132">
        <v>265629</v>
      </c>
      <c r="D15" s="131"/>
      <c r="E15" s="71">
        <v>2251</v>
      </c>
      <c r="F15" s="72">
        <v>1973359</v>
      </c>
      <c r="G15" s="72">
        <v>0</v>
      </c>
      <c r="H15" s="72">
        <v>486496</v>
      </c>
      <c r="I15" s="72">
        <v>24090</v>
      </c>
      <c r="J15" s="72">
        <v>172378.25</v>
      </c>
      <c r="K15" s="72">
        <v>5754.96</v>
      </c>
      <c r="L15" s="72">
        <v>29372.3</v>
      </c>
      <c r="M15" s="72">
        <v>30093.71</v>
      </c>
      <c r="N15" s="72">
        <v>42549.33</v>
      </c>
      <c r="O15" s="72">
        <v>0</v>
      </c>
      <c r="P15" s="72">
        <v>0</v>
      </c>
      <c r="Q15" s="72">
        <v>16168.95</v>
      </c>
      <c r="R15" s="72">
        <v>2707.13</v>
      </c>
      <c r="S15" s="72">
        <v>0</v>
      </c>
      <c r="T15" s="72">
        <v>316495.05</v>
      </c>
      <c r="U15" s="72">
        <v>9526.08</v>
      </c>
      <c r="V15" s="72">
        <v>0</v>
      </c>
      <c r="W15" s="72">
        <v>1218976.45</v>
      </c>
      <c r="X15" s="72">
        <v>6831.3</v>
      </c>
      <c r="Y15" s="72">
        <v>584492.61</v>
      </c>
      <c r="Z15" s="72">
        <v>33924.519999999997</v>
      </c>
      <c r="AA15" s="72">
        <v>48109.14</v>
      </c>
      <c r="AB15" s="72">
        <v>0</v>
      </c>
      <c r="AC15" s="72">
        <v>58086.239999999998</v>
      </c>
      <c r="AD15" s="72">
        <v>11454.1</v>
      </c>
      <c r="AE15" s="72">
        <v>25240.97</v>
      </c>
      <c r="AF15" s="72">
        <v>18116.73</v>
      </c>
      <c r="AG15" s="72">
        <v>2200</v>
      </c>
      <c r="AH15" s="72">
        <v>53655.48</v>
      </c>
      <c r="AI15" s="72">
        <v>0</v>
      </c>
      <c r="AJ15" s="72">
        <v>63255.03</v>
      </c>
      <c r="AK15" s="72">
        <v>2551.69</v>
      </c>
      <c r="AL15" s="72">
        <v>35238.65</v>
      </c>
      <c r="AM15" s="72">
        <v>24732</v>
      </c>
      <c r="AN15" s="72">
        <v>6127.73</v>
      </c>
      <c r="AO15" s="72">
        <v>108328.73</v>
      </c>
      <c r="AP15" s="72">
        <v>49827.89</v>
      </c>
      <c r="AQ15" s="72">
        <v>0</v>
      </c>
      <c r="AR15" s="72">
        <v>24904.57</v>
      </c>
      <c r="AS15" s="72">
        <v>10112.85</v>
      </c>
      <c r="AT15" s="72">
        <v>20302.310000000001</v>
      </c>
      <c r="AU15" s="72">
        <v>102342.7</v>
      </c>
      <c r="AV15" s="72">
        <v>71014.740000000005</v>
      </c>
      <c r="AW15" s="72">
        <v>118843.84</v>
      </c>
      <c r="AX15" s="72">
        <v>36116.01</v>
      </c>
      <c r="AY15" s="72">
        <v>0</v>
      </c>
      <c r="AZ15" s="72">
        <v>107924</v>
      </c>
      <c r="BA15" s="72">
        <v>266772.28999999998</v>
      </c>
      <c r="BB15" s="72">
        <v>59248.51</v>
      </c>
      <c r="BC15" s="72">
        <v>9726.24</v>
      </c>
      <c r="BD15" s="72">
        <v>0</v>
      </c>
      <c r="BE15" s="72">
        <v>107924</v>
      </c>
      <c r="BF15" s="131">
        <v>0</v>
      </c>
      <c r="BG15" s="72">
        <v>22536.04</v>
      </c>
      <c r="BH15" s="72">
        <v>34690</v>
      </c>
      <c r="BI15" s="72">
        <v>16541</v>
      </c>
    </row>
    <row r="16" spans="1:61">
      <c r="A16" s="131">
        <v>2079</v>
      </c>
      <c r="B16" s="131" t="s">
        <v>38</v>
      </c>
      <c r="C16" s="132">
        <v>13072</v>
      </c>
      <c r="D16" s="131"/>
      <c r="E16" s="71">
        <v>0</v>
      </c>
      <c r="F16" s="72">
        <v>1741485</v>
      </c>
      <c r="G16" s="72">
        <v>0</v>
      </c>
      <c r="H16" s="72">
        <v>117194</v>
      </c>
      <c r="I16" s="72">
        <v>0</v>
      </c>
      <c r="J16" s="72">
        <v>11214</v>
      </c>
      <c r="K16" s="72">
        <v>24918</v>
      </c>
      <c r="L16" s="72">
        <v>0</v>
      </c>
      <c r="M16" s="72">
        <v>0</v>
      </c>
      <c r="N16" s="72">
        <v>39146.800000000003</v>
      </c>
      <c r="O16" s="72">
        <v>23153.4</v>
      </c>
      <c r="P16" s="72">
        <v>1965.6</v>
      </c>
      <c r="Q16" s="72">
        <v>0</v>
      </c>
      <c r="R16" s="72">
        <v>96889.37</v>
      </c>
      <c r="S16" s="72">
        <v>0</v>
      </c>
      <c r="T16" s="72">
        <v>0</v>
      </c>
      <c r="U16" s="72">
        <v>0</v>
      </c>
      <c r="V16" s="72">
        <v>0</v>
      </c>
      <c r="W16" s="72">
        <v>1298226.48</v>
      </c>
      <c r="X16" s="72">
        <v>286.04000000000002</v>
      </c>
      <c r="Y16" s="72">
        <v>124848.14</v>
      </c>
      <c r="Z16" s="72">
        <v>30056.16</v>
      </c>
      <c r="AA16" s="72">
        <v>92986.62</v>
      </c>
      <c r="AB16" s="72">
        <v>0</v>
      </c>
      <c r="AC16" s="72">
        <v>56979.29</v>
      </c>
      <c r="AD16" s="72">
        <v>4637.13</v>
      </c>
      <c r="AE16" s="72">
        <v>23543.3</v>
      </c>
      <c r="AF16" s="72">
        <v>14801.46</v>
      </c>
      <c r="AG16" s="72">
        <v>0</v>
      </c>
      <c r="AH16" s="72">
        <v>15398.92</v>
      </c>
      <c r="AI16" s="72">
        <v>0</v>
      </c>
      <c r="AJ16" s="72">
        <v>56616.11</v>
      </c>
      <c r="AK16" s="72">
        <v>3823.2</v>
      </c>
      <c r="AL16" s="72">
        <v>38766.07</v>
      </c>
      <c r="AM16" s="72">
        <v>13288.4</v>
      </c>
      <c r="AN16" s="72">
        <v>15920.05</v>
      </c>
      <c r="AO16" s="72">
        <v>98291.65</v>
      </c>
      <c r="AP16" s="72">
        <v>19860.150000000001</v>
      </c>
      <c r="AQ16" s="72">
        <v>0</v>
      </c>
      <c r="AR16" s="72">
        <v>53123.49</v>
      </c>
      <c r="AS16" s="72">
        <v>0</v>
      </c>
      <c r="AT16" s="72">
        <v>3177.29</v>
      </c>
      <c r="AU16" s="72">
        <v>44768.4</v>
      </c>
      <c r="AV16" s="72">
        <v>0</v>
      </c>
      <c r="AW16" s="72">
        <v>20176</v>
      </c>
      <c r="AX16" s="72">
        <v>29165.98</v>
      </c>
      <c r="AY16" s="72">
        <v>0</v>
      </c>
      <c r="AZ16" s="72">
        <v>6264</v>
      </c>
      <c r="BA16" s="72">
        <v>0</v>
      </c>
      <c r="BB16" s="72">
        <v>0</v>
      </c>
      <c r="BC16" s="72">
        <v>0</v>
      </c>
      <c r="BD16" s="72">
        <v>0</v>
      </c>
      <c r="BE16" s="72">
        <v>6264</v>
      </c>
      <c r="BF16" s="131">
        <v>0</v>
      </c>
      <c r="BG16" s="72">
        <v>0</v>
      </c>
      <c r="BH16" s="72">
        <v>0</v>
      </c>
      <c r="BI16" s="72">
        <v>6264</v>
      </c>
    </row>
    <row r="17" spans="1:61">
      <c r="A17" s="131">
        <v>3524</v>
      </c>
      <c r="B17" s="131" t="s">
        <v>456</v>
      </c>
      <c r="C17" s="132">
        <v>47479</v>
      </c>
      <c r="D17" s="131"/>
      <c r="E17" s="71">
        <v>0</v>
      </c>
      <c r="F17" s="72">
        <v>764668</v>
      </c>
      <c r="G17" s="72">
        <v>0</v>
      </c>
      <c r="H17" s="72">
        <v>57791</v>
      </c>
      <c r="I17" s="72">
        <v>0</v>
      </c>
      <c r="J17" s="72">
        <v>10591</v>
      </c>
      <c r="K17" s="72">
        <v>2270</v>
      </c>
      <c r="L17" s="72">
        <v>1780</v>
      </c>
      <c r="M17" s="72">
        <v>8</v>
      </c>
      <c r="N17" s="72">
        <v>42681.99</v>
      </c>
      <c r="O17" s="72">
        <v>0</v>
      </c>
      <c r="P17" s="72">
        <v>0</v>
      </c>
      <c r="Q17" s="72">
        <v>21490.5</v>
      </c>
      <c r="R17" s="72">
        <v>25000</v>
      </c>
      <c r="S17" s="72">
        <v>0</v>
      </c>
      <c r="T17" s="72">
        <v>0</v>
      </c>
      <c r="U17" s="72">
        <v>0</v>
      </c>
      <c r="V17" s="72">
        <v>0</v>
      </c>
      <c r="W17" s="72">
        <v>470072.39</v>
      </c>
      <c r="X17" s="72">
        <v>0</v>
      </c>
      <c r="Y17" s="72">
        <v>137524.26999999999</v>
      </c>
      <c r="Z17" s="72">
        <v>0</v>
      </c>
      <c r="AA17" s="72">
        <v>39740.629999999997</v>
      </c>
      <c r="AB17" s="72">
        <v>0</v>
      </c>
      <c r="AC17" s="72">
        <v>0</v>
      </c>
      <c r="AD17" s="72">
        <v>23460.43</v>
      </c>
      <c r="AE17" s="72">
        <v>4968.8</v>
      </c>
      <c r="AF17" s="72">
        <v>0</v>
      </c>
      <c r="AG17" s="72">
        <v>2631.4</v>
      </c>
      <c r="AH17" s="72">
        <v>5414.57</v>
      </c>
      <c r="AI17" s="72">
        <v>0</v>
      </c>
      <c r="AJ17" s="72">
        <v>25292.31</v>
      </c>
      <c r="AK17" s="72">
        <v>1783.08</v>
      </c>
      <c r="AL17" s="72">
        <v>11226.32</v>
      </c>
      <c r="AM17" s="72">
        <v>0</v>
      </c>
      <c r="AN17" s="72">
        <v>4287.49</v>
      </c>
      <c r="AO17" s="72">
        <v>51458.53</v>
      </c>
      <c r="AP17" s="72">
        <v>8166.96</v>
      </c>
      <c r="AQ17" s="72">
        <v>0</v>
      </c>
      <c r="AR17" s="72">
        <v>12821.75</v>
      </c>
      <c r="AS17" s="72">
        <v>5018.6000000000004</v>
      </c>
      <c r="AT17" s="72">
        <v>0</v>
      </c>
      <c r="AU17" s="72">
        <v>44531.7</v>
      </c>
      <c r="AV17" s="72">
        <v>35165.339999999997</v>
      </c>
      <c r="AW17" s="72">
        <v>4988.55</v>
      </c>
      <c r="AX17" s="72">
        <v>15951.66</v>
      </c>
      <c r="AY17" s="72">
        <v>0</v>
      </c>
      <c r="AZ17" s="72">
        <v>0</v>
      </c>
      <c r="BA17" s="72">
        <v>0</v>
      </c>
      <c r="BB17" s="72">
        <v>0</v>
      </c>
      <c r="BC17" s="72">
        <v>0</v>
      </c>
      <c r="BD17" s="72">
        <v>0</v>
      </c>
      <c r="BE17" s="72">
        <v>0</v>
      </c>
      <c r="BF17" s="131">
        <v>0</v>
      </c>
      <c r="BG17" s="72">
        <v>0</v>
      </c>
      <c r="BH17" s="72">
        <v>0</v>
      </c>
      <c r="BI17" s="72">
        <v>0</v>
      </c>
    </row>
    <row r="18" spans="1:61">
      <c r="A18" s="131">
        <v>2003</v>
      </c>
      <c r="B18" s="131" t="s">
        <v>39</v>
      </c>
      <c r="C18" s="132">
        <v>191647</v>
      </c>
      <c r="D18" s="131"/>
      <c r="E18" s="71">
        <v>0</v>
      </c>
      <c r="F18" s="72">
        <v>1583345</v>
      </c>
      <c r="G18" s="72">
        <v>0</v>
      </c>
      <c r="H18" s="72">
        <v>387948</v>
      </c>
      <c r="I18" s="72">
        <v>16010</v>
      </c>
      <c r="J18" s="72">
        <v>100926</v>
      </c>
      <c r="K18" s="72">
        <v>5300</v>
      </c>
      <c r="L18" s="72">
        <v>3242.16</v>
      </c>
      <c r="M18" s="72">
        <v>51002.84</v>
      </c>
      <c r="N18" s="72">
        <v>36080.19</v>
      </c>
      <c r="O18" s="72">
        <v>25992</v>
      </c>
      <c r="P18" s="72">
        <v>0</v>
      </c>
      <c r="Q18" s="72">
        <v>13727.4</v>
      </c>
      <c r="R18" s="72">
        <v>2669.16</v>
      </c>
      <c r="S18" s="72">
        <v>0</v>
      </c>
      <c r="T18" s="72">
        <v>255166.52</v>
      </c>
      <c r="U18" s="72">
        <v>5252.47</v>
      </c>
      <c r="V18" s="72">
        <v>0</v>
      </c>
      <c r="W18" s="72">
        <v>889648.74</v>
      </c>
      <c r="X18" s="72">
        <v>23109.51</v>
      </c>
      <c r="Y18" s="72">
        <v>437894.57</v>
      </c>
      <c r="Z18" s="72">
        <v>66373.98</v>
      </c>
      <c r="AA18" s="72">
        <v>62160.05</v>
      </c>
      <c r="AB18" s="72">
        <v>0</v>
      </c>
      <c r="AC18" s="72">
        <v>41551.39</v>
      </c>
      <c r="AD18" s="72">
        <v>15831.34</v>
      </c>
      <c r="AE18" s="72">
        <v>28170.74</v>
      </c>
      <c r="AF18" s="72">
        <v>16821.53</v>
      </c>
      <c r="AG18" s="72">
        <v>1980</v>
      </c>
      <c r="AH18" s="72">
        <v>55022.12</v>
      </c>
      <c r="AI18" s="72">
        <v>28248.720000000001</v>
      </c>
      <c r="AJ18" s="72">
        <v>2952.57</v>
      </c>
      <c r="AK18" s="72">
        <v>3605.65</v>
      </c>
      <c r="AL18" s="72">
        <v>26193.45</v>
      </c>
      <c r="AM18" s="72">
        <v>19579.5</v>
      </c>
      <c r="AN18" s="72">
        <v>4198.8599999999997</v>
      </c>
      <c r="AO18" s="72">
        <v>94063.51</v>
      </c>
      <c r="AP18" s="72">
        <v>22255.72</v>
      </c>
      <c r="AQ18" s="72">
        <v>0</v>
      </c>
      <c r="AR18" s="72">
        <v>16346.82</v>
      </c>
      <c r="AS18" s="72">
        <v>5130</v>
      </c>
      <c r="AT18" s="72">
        <v>11630.43</v>
      </c>
      <c r="AU18" s="72">
        <v>77578.710000000006</v>
      </c>
      <c r="AV18" s="72">
        <v>67860.75</v>
      </c>
      <c r="AW18" s="72">
        <v>84340.67</v>
      </c>
      <c r="AX18" s="72">
        <v>52227.53</v>
      </c>
      <c r="AY18" s="72">
        <v>0</v>
      </c>
      <c r="AZ18" s="72">
        <v>57686.01</v>
      </c>
      <c r="BA18" s="72">
        <v>213267.54</v>
      </c>
      <c r="BB18" s="72">
        <v>47151.7</v>
      </c>
      <c r="BC18" s="72">
        <v>8502.24</v>
      </c>
      <c r="BD18" s="72">
        <v>0</v>
      </c>
      <c r="BE18" s="72">
        <v>57686.01</v>
      </c>
      <c r="BF18" s="131">
        <v>0</v>
      </c>
      <c r="BG18" s="72">
        <v>11985</v>
      </c>
      <c r="BH18" s="72">
        <v>0</v>
      </c>
      <c r="BI18" s="72">
        <v>54203.25</v>
      </c>
    </row>
    <row r="19" spans="1:61">
      <c r="A19" s="131">
        <v>3511</v>
      </c>
      <c r="B19" s="131" t="s">
        <v>40</v>
      </c>
      <c r="C19" s="132">
        <v>174478</v>
      </c>
      <c r="D19" s="131"/>
      <c r="E19" s="71">
        <v>12200</v>
      </c>
      <c r="F19" s="72">
        <v>986664</v>
      </c>
      <c r="G19" s="72">
        <v>0</v>
      </c>
      <c r="H19" s="72">
        <v>221737</v>
      </c>
      <c r="I19" s="72">
        <v>11372</v>
      </c>
      <c r="J19" s="72">
        <v>44856</v>
      </c>
      <c r="K19" s="72">
        <v>4600</v>
      </c>
      <c r="L19" s="72">
        <v>32674.73</v>
      </c>
      <c r="M19" s="72">
        <v>4721.59</v>
      </c>
      <c r="N19" s="72">
        <v>36334.14</v>
      </c>
      <c r="O19" s="72">
        <v>1980</v>
      </c>
      <c r="P19" s="72">
        <v>695</v>
      </c>
      <c r="Q19" s="72">
        <v>17878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537138.44999999995</v>
      </c>
      <c r="X19" s="72">
        <v>27768.560000000001</v>
      </c>
      <c r="Y19" s="72">
        <v>210423.29</v>
      </c>
      <c r="Z19" s="72">
        <v>21372.47</v>
      </c>
      <c r="AA19" s="72">
        <v>55982.51</v>
      </c>
      <c r="AB19" s="72">
        <v>0</v>
      </c>
      <c r="AC19" s="72">
        <v>39730.93</v>
      </c>
      <c r="AD19" s="72">
        <v>9080.39</v>
      </c>
      <c r="AE19" s="72">
        <v>17396.18</v>
      </c>
      <c r="AF19" s="72">
        <v>6659.65</v>
      </c>
      <c r="AG19" s="72">
        <v>1539.12</v>
      </c>
      <c r="AH19" s="72">
        <v>26051.11</v>
      </c>
      <c r="AI19" s="72">
        <v>8462.1299999999992</v>
      </c>
      <c r="AJ19" s="72">
        <v>11737.33</v>
      </c>
      <c r="AK19" s="72">
        <v>2013.79</v>
      </c>
      <c r="AL19" s="72">
        <v>12684.42</v>
      </c>
      <c r="AM19" s="72">
        <v>144.53</v>
      </c>
      <c r="AN19" s="72">
        <v>18948.7</v>
      </c>
      <c r="AO19" s="72">
        <v>79212.350000000006</v>
      </c>
      <c r="AP19" s="72">
        <v>30410.25</v>
      </c>
      <c r="AQ19" s="72">
        <v>0</v>
      </c>
      <c r="AR19" s="72">
        <v>9932.1299999999992</v>
      </c>
      <c r="AS19" s="72">
        <v>6000</v>
      </c>
      <c r="AT19" s="72">
        <v>14122.05</v>
      </c>
      <c r="AU19" s="72">
        <v>68692.98</v>
      </c>
      <c r="AV19" s="72">
        <v>51357.08</v>
      </c>
      <c r="AW19" s="72">
        <v>15543.66</v>
      </c>
      <c r="AX19" s="72">
        <v>13983.7</v>
      </c>
      <c r="AY19" s="72">
        <v>0</v>
      </c>
      <c r="AZ19" s="72">
        <v>61895</v>
      </c>
      <c r="BA19" s="72">
        <v>0</v>
      </c>
      <c r="BB19" s="72">
        <v>0</v>
      </c>
      <c r="BC19" s="72">
        <v>0</v>
      </c>
      <c r="BD19" s="72">
        <v>41753</v>
      </c>
      <c r="BE19" s="72">
        <v>61895</v>
      </c>
      <c r="BF19" s="131">
        <v>0</v>
      </c>
      <c r="BG19" s="72">
        <v>95152.46</v>
      </c>
      <c r="BH19" s="72">
        <v>0</v>
      </c>
      <c r="BI19" s="72">
        <v>28622.400000000001</v>
      </c>
    </row>
    <row r="20" spans="1:61">
      <c r="A20" s="131">
        <v>3519</v>
      </c>
      <c r="B20" s="131" t="s">
        <v>41</v>
      </c>
      <c r="C20" s="132">
        <v>244467</v>
      </c>
      <c r="D20" s="131"/>
      <c r="E20" s="71">
        <v>0</v>
      </c>
      <c r="F20" s="72">
        <v>2148018</v>
      </c>
      <c r="G20" s="72">
        <v>0</v>
      </c>
      <c r="H20" s="72">
        <v>912075.74</v>
      </c>
      <c r="I20" s="72">
        <v>21845</v>
      </c>
      <c r="J20" s="72">
        <v>138248.01</v>
      </c>
      <c r="K20" s="72">
        <v>59514</v>
      </c>
      <c r="L20" s="72">
        <v>4587.5</v>
      </c>
      <c r="M20" s="72">
        <v>64480.87</v>
      </c>
      <c r="N20" s="72">
        <v>53276.46</v>
      </c>
      <c r="O20" s="72">
        <v>25534.73</v>
      </c>
      <c r="P20" s="72">
        <v>6122.09</v>
      </c>
      <c r="Q20" s="72">
        <v>31017.64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1468976.09</v>
      </c>
      <c r="X20" s="72">
        <v>19792.349999999999</v>
      </c>
      <c r="Y20" s="72">
        <v>870997.05</v>
      </c>
      <c r="Z20" s="72">
        <v>73761.990000000005</v>
      </c>
      <c r="AA20" s="72">
        <v>51904.89</v>
      </c>
      <c r="AB20" s="72">
        <v>0</v>
      </c>
      <c r="AC20" s="72">
        <v>90097.37</v>
      </c>
      <c r="AD20" s="72">
        <v>12100.13</v>
      </c>
      <c r="AE20" s="72">
        <v>23511.51</v>
      </c>
      <c r="AF20" s="72">
        <v>26854.13</v>
      </c>
      <c r="AG20" s="72">
        <v>4070</v>
      </c>
      <c r="AH20" s="72">
        <v>25738.5</v>
      </c>
      <c r="AI20" s="72">
        <v>14702.74</v>
      </c>
      <c r="AJ20" s="72">
        <v>3867.87</v>
      </c>
      <c r="AK20" s="72">
        <v>3935.34</v>
      </c>
      <c r="AL20" s="72">
        <v>32116.2</v>
      </c>
      <c r="AM20" s="72">
        <v>33221</v>
      </c>
      <c r="AN20" s="72">
        <v>14765.42</v>
      </c>
      <c r="AO20" s="72">
        <v>130560.38</v>
      </c>
      <c r="AP20" s="72">
        <v>20623.09</v>
      </c>
      <c r="AQ20" s="72">
        <v>0</v>
      </c>
      <c r="AR20" s="72">
        <v>37292.19</v>
      </c>
      <c r="AS20" s="72">
        <v>14216</v>
      </c>
      <c r="AT20" s="72">
        <v>8938.65</v>
      </c>
      <c r="AU20" s="72">
        <v>102074.85</v>
      </c>
      <c r="AV20" s="72">
        <v>8710</v>
      </c>
      <c r="AW20" s="72">
        <v>52351.88</v>
      </c>
      <c r="AX20" s="72">
        <v>49171.19</v>
      </c>
      <c r="AY20" s="72">
        <v>0</v>
      </c>
      <c r="AZ20" s="72">
        <v>38636</v>
      </c>
      <c r="BA20" s="72">
        <v>0</v>
      </c>
      <c r="BB20" s="72">
        <v>0</v>
      </c>
      <c r="BC20" s="72">
        <v>9980.52</v>
      </c>
      <c r="BD20" s="72">
        <v>0</v>
      </c>
      <c r="BE20" s="72">
        <v>38636</v>
      </c>
      <c r="BF20" s="131">
        <v>0</v>
      </c>
      <c r="BG20" s="72">
        <v>0</v>
      </c>
      <c r="BH20" s="72">
        <v>33371</v>
      </c>
      <c r="BI20" s="72">
        <v>15245.77</v>
      </c>
    </row>
    <row r="21" spans="1:61">
      <c r="A21" s="131">
        <v>2008</v>
      </c>
      <c r="B21" s="131" t="s">
        <v>42</v>
      </c>
      <c r="C21" s="132">
        <v>85992</v>
      </c>
      <c r="D21" s="131"/>
      <c r="E21" s="71">
        <v>0</v>
      </c>
      <c r="F21" s="72">
        <v>1112877</v>
      </c>
      <c r="G21" s="72">
        <v>0</v>
      </c>
      <c r="H21" s="72">
        <v>143849</v>
      </c>
      <c r="I21" s="72">
        <v>2469</v>
      </c>
      <c r="J21" s="72">
        <v>21805</v>
      </c>
      <c r="K21" s="72">
        <v>4600</v>
      </c>
      <c r="L21" s="72">
        <v>0</v>
      </c>
      <c r="M21" s="72">
        <v>26874.44</v>
      </c>
      <c r="N21" s="72">
        <v>52077.93</v>
      </c>
      <c r="O21" s="72">
        <v>8550</v>
      </c>
      <c r="P21" s="72">
        <v>631.94000000000005</v>
      </c>
      <c r="Q21" s="72">
        <v>21872.29</v>
      </c>
      <c r="R21" s="72">
        <v>4106</v>
      </c>
      <c r="S21" s="72">
        <v>0</v>
      </c>
      <c r="T21" s="72">
        <v>0</v>
      </c>
      <c r="U21" s="72">
        <v>0</v>
      </c>
      <c r="V21" s="72">
        <v>0</v>
      </c>
      <c r="W21" s="72">
        <v>656604.79</v>
      </c>
      <c r="X21" s="72">
        <v>0</v>
      </c>
      <c r="Y21" s="72">
        <v>287051.55</v>
      </c>
      <c r="Z21" s="72">
        <v>29512.93</v>
      </c>
      <c r="AA21" s="72">
        <v>61931.73</v>
      </c>
      <c r="AB21" s="72">
        <v>0</v>
      </c>
      <c r="AC21" s="72">
        <v>31230.34</v>
      </c>
      <c r="AD21" s="72">
        <v>10661.33</v>
      </c>
      <c r="AE21" s="72">
        <v>9172.2099999999991</v>
      </c>
      <c r="AF21" s="72">
        <v>10588.45</v>
      </c>
      <c r="AG21" s="72">
        <v>1000</v>
      </c>
      <c r="AH21" s="72">
        <v>23319.66</v>
      </c>
      <c r="AI21" s="72">
        <v>4190.07</v>
      </c>
      <c r="AJ21" s="72">
        <v>15197.72</v>
      </c>
      <c r="AK21" s="72">
        <v>3703.37</v>
      </c>
      <c r="AL21" s="72">
        <v>24605.88</v>
      </c>
      <c r="AM21" s="72">
        <v>15535</v>
      </c>
      <c r="AN21" s="72">
        <v>6576.95</v>
      </c>
      <c r="AO21" s="72">
        <v>48648.14</v>
      </c>
      <c r="AP21" s="72">
        <v>45896.46</v>
      </c>
      <c r="AQ21" s="72">
        <v>0</v>
      </c>
      <c r="AR21" s="72">
        <v>14451.34</v>
      </c>
      <c r="AS21" s="72">
        <v>3000</v>
      </c>
      <c r="AT21" s="72">
        <v>10417.5</v>
      </c>
      <c r="AU21" s="72">
        <v>56601.61</v>
      </c>
      <c r="AV21" s="72">
        <v>25398.66</v>
      </c>
      <c r="AW21" s="72">
        <v>15972</v>
      </c>
      <c r="AX21" s="72">
        <v>29786.76</v>
      </c>
      <c r="AY21" s="72">
        <v>0</v>
      </c>
      <c r="AZ21" s="72">
        <v>335.49</v>
      </c>
      <c r="BA21" s="72">
        <v>0</v>
      </c>
      <c r="BB21" s="72">
        <v>0</v>
      </c>
      <c r="BC21" s="72">
        <v>7388.52</v>
      </c>
      <c r="BD21" s="72">
        <v>0</v>
      </c>
      <c r="BE21" s="72">
        <v>335.49</v>
      </c>
      <c r="BF21" s="131">
        <v>0</v>
      </c>
      <c r="BG21" s="72">
        <v>3061.51</v>
      </c>
      <c r="BH21" s="72">
        <v>0</v>
      </c>
      <c r="BI21" s="72">
        <v>4662.5</v>
      </c>
    </row>
    <row r="22" spans="1:61">
      <c r="A22" s="131">
        <v>2007</v>
      </c>
      <c r="B22" s="131" t="s">
        <v>43</v>
      </c>
      <c r="C22" s="132">
        <v>147552</v>
      </c>
      <c r="D22" s="131"/>
      <c r="E22" s="71">
        <v>16848</v>
      </c>
      <c r="F22" s="72">
        <v>1296332</v>
      </c>
      <c r="G22" s="72">
        <v>0</v>
      </c>
      <c r="H22" s="72">
        <v>202106</v>
      </c>
      <c r="I22" s="72">
        <v>2394</v>
      </c>
      <c r="J22" s="72">
        <v>28658</v>
      </c>
      <c r="K22" s="72">
        <v>4218</v>
      </c>
      <c r="L22" s="72">
        <v>4243.3100000000004</v>
      </c>
      <c r="M22" s="72">
        <v>32584.59</v>
      </c>
      <c r="N22" s="72">
        <v>55366.3</v>
      </c>
      <c r="O22" s="72">
        <v>5301</v>
      </c>
      <c r="P22" s="72">
        <v>9043.76</v>
      </c>
      <c r="Q22" s="72">
        <v>69665.62</v>
      </c>
      <c r="R22" s="72">
        <v>20254.22</v>
      </c>
      <c r="S22" s="72">
        <v>0</v>
      </c>
      <c r="T22" s="72">
        <v>0</v>
      </c>
      <c r="U22" s="72">
        <v>0</v>
      </c>
      <c r="V22" s="72">
        <v>0</v>
      </c>
      <c r="W22" s="72">
        <v>815469.6</v>
      </c>
      <c r="X22" s="72">
        <v>0</v>
      </c>
      <c r="Y22" s="72">
        <v>277775.82</v>
      </c>
      <c r="Z22" s="72">
        <v>34447.61</v>
      </c>
      <c r="AA22" s="72">
        <v>43375.91</v>
      </c>
      <c r="AB22" s="72">
        <v>0</v>
      </c>
      <c r="AC22" s="72">
        <v>24525.01</v>
      </c>
      <c r="AD22" s="72">
        <v>6382.04</v>
      </c>
      <c r="AE22" s="72">
        <v>15986.93</v>
      </c>
      <c r="AF22" s="72">
        <v>11327.34</v>
      </c>
      <c r="AG22" s="72">
        <v>1400</v>
      </c>
      <c r="AH22" s="72">
        <v>47501.13</v>
      </c>
      <c r="AI22" s="72">
        <v>5491.42</v>
      </c>
      <c r="AJ22" s="72">
        <v>17596.21</v>
      </c>
      <c r="AK22" s="72">
        <v>3879.79</v>
      </c>
      <c r="AL22" s="72">
        <v>24251.46</v>
      </c>
      <c r="AM22" s="72">
        <v>15535</v>
      </c>
      <c r="AN22" s="72">
        <v>7223.73</v>
      </c>
      <c r="AO22" s="72">
        <v>89377.52</v>
      </c>
      <c r="AP22" s="72">
        <v>21025.18</v>
      </c>
      <c r="AQ22" s="72">
        <v>0</v>
      </c>
      <c r="AR22" s="72">
        <v>15995.39</v>
      </c>
      <c r="AS22" s="72">
        <v>4500</v>
      </c>
      <c r="AT22" s="72">
        <v>1349.65</v>
      </c>
      <c r="AU22" s="72">
        <v>64287.33</v>
      </c>
      <c r="AV22" s="72">
        <v>33456.74</v>
      </c>
      <c r="AW22" s="72">
        <v>120088.56</v>
      </c>
      <c r="AX22" s="72">
        <v>31117.62</v>
      </c>
      <c r="AY22" s="72">
        <v>0</v>
      </c>
      <c r="AZ22" s="72">
        <v>0</v>
      </c>
      <c r="BA22" s="72">
        <v>0</v>
      </c>
      <c r="BB22" s="72">
        <v>0</v>
      </c>
      <c r="BC22" s="72">
        <v>8050</v>
      </c>
      <c r="BD22" s="72">
        <v>0</v>
      </c>
      <c r="BE22" s="72">
        <v>0</v>
      </c>
      <c r="BF22" s="131">
        <v>0</v>
      </c>
      <c r="BG22" s="72">
        <v>0</v>
      </c>
      <c r="BH22" s="72">
        <v>0</v>
      </c>
      <c r="BI22" s="72">
        <v>13561.16</v>
      </c>
    </row>
    <row r="23" spans="1:61">
      <c r="A23" s="131">
        <v>2009</v>
      </c>
      <c r="B23" s="131" t="s">
        <v>44</v>
      </c>
      <c r="C23" s="132">
        <v>158692</v>
      </c>
      <c r="D23" s="131"/>
      <c r="E23" s="71">
        <v>7477</v>
      </c>
      <c r="F23" s="72">
        <v>1143122</v>
      </c>
      <c r="G23" s="72">
        <v>0</v>
      </c>
      <c r="H23" s="72">
        <v>228293</v>
      </c>
      <c r="I23" s="72">
        <v>7556</v>
      </c>
      <c r="J23" s="72">
        <v>64289.33</v>
      </c>
      <c r="K23" s="72">
        <v>49500</v>
      </c>
      <c r="L23" s="72">
        <v>3150.54</v>
      </c>
      <c r="M23" s="72">
        <v>26731.98</v>
      </c>
      <c r="N23" s="72">
        <v>30793.7</v>
      </c>
      <c r="O23" s="72">
        <v>13437.49</v>
      </c>
      <c r="P23" s="72">
        <v>0</v>
      </c>
      <c r="Q23" s="72">
        <v>12704.45</v>
      </c>
      <c r="R23" s="72">
        <v>5039.18</v>
      </c>
      <c r="S23" s="72">
        <v>0</v>
      </c>
      <c r="T23" s="72">
        <v>0</v>
      </c>
      <c r="U23" s="72">
        <v>0</v>
      </c>
      <c r="V23" s="72">
        <v>0</v>
      </c>
      <c r="W23" s="72">
        <v>731588.93</v>
      </c>
      <c r="X23" s="72">
        <v>0</v>
      </c>
      <c r="Y23" s="72">
        <v>369245.69</v>
      </c>
      <c r="Z23" s="72">
        <v>27307</v>
      </c>
      <c r="AA23" s="72">
        <v>58250.26</v>
      </c>
      <c r="AB23" s="72">
        <v>0</v>
      </c>
      <c r="AC23" s="72">
        <v>19516.75</v>
      </c>
      <c r="AD23" s="72">
        <v>10531.88</v>
      </c>
      <c r="AE23" s="72">
        <v>6988.13</v>
      </c>
      <c r="AF23" s="72">
        <v>11503.58</v>
      </c>
      <c r="AG23" s="72">
        <v>1000</v>
      </c>
      <c r="AH23" s="72">
        <v>24318.23</v>
      </c>
      <c r="AI23" s="72">
        <v>2975.5</v>
      </c>
      <c r="AJ23" s="72">
        <v>20226.419999999998</v>
      </c>
      <c r="AK23" s="72">
        <v>892.77</v>
      </c>
      <c r="AL23" s="72">
        <v>16473.59</v>
      </c>
      <c r="AM23" s="72">
        <v>10575</v>
      </c>
      <c r="AN23" s="72">
        <v>6565.17</v>
      </c>
      <c r="AO23" s="72">
        <v>77592.960000000006</v>
      </c>
      <c r="AP23" s="72">
        <v>20911.25</v>
      </c>
      <c r="AQ23" s="72">
        <v>0</v>
      </c>
      <c r="AR23" s="72">
        <v>8282.06</v>
      </c>
      <c r="AS23" s="72">
        <v>3300</v>
      </c>
      <c r="AT23" s="72">
        <v>10594.91</v>
      </c>
      <c r="AU23" s="72">
        <v>59845.72</v>
      </c>
      <c r="AV23" s="72">
        <v>8062.92</v>
      </c>
      <c r="AW23" s="72">
        <v>16961.900000000001</v>
      </c>
      <c r="AX23" s="72">
        <v>30848.46</v>
      </c>
      <c r="AY23" s="72">
        <v>0</v>
      </c>
      <c r="AZ23" s="72">
        <v>17351</v>
      </c>
      <c r="BA23" s="72">
        <v>0</v>
      </c>
      <c r="BB23" s="72">
        <v>0</v>
      </c>
      <c r="BC23" s="72">
        <v>6864.24</v>
      </c>
      <c r="BD23" s="72">
        <v>0</v>
      </c>
      <c r="BE23" s="72">
        <v>17351</v>
      </c>
      <c r="BF23" s="131">
        <v>0</v>
      </c>
      <c r="BG23" s="72">
        <v>12410</v>
      </c>
      <c r="BH23" s="72">
        <v>0</v>
      </c>
      <c r="BI23" s="72">
        <v>19282.400000000001</v>
      </c>
    </row>
    <row r="24" spans="1:61">
      <c r="A24" s="131">
        <v>2067</v>
      </c>
      <c r="B24" s="131" t="s">
        <v>45</v>
      </c>
      <c r="C24" s="132">
        <v>122044</v>
      </c>
      <c r="D24" s="131"/>
      <c r="E24" s="71">
        <v>28642</v>
      </c>
      <c r="F24" s="72">
        <v>821261</v>
      </c>
      <c r="G24" s="72">
        <v>0</v>
      </c>
      <c r="H24" s="72">
        <v>129441</v>
      </c>
      <c r="I24" s="72">
        <v>2394</v>
      </c>
      <c r="J24" s="72">
        <v>37785.75</v>
      </c>
      <c r="K24" s="72">
        <v>4700</v>
      </c>
      <c r="L24" s="72">
        <v>13125</v>
      </c>
      <c r="M24" s="72">
        <v>14976.96</v>
      </c>
      <c r="N24" s="72">
        <v>31511.360000000001</v>
      </c>
      <c r="O24" s="72">
        <v>0</v>
      </c>
      <c r="P24" s="72">
        <v>239.09</v>
      </c>
      <c r="Q24" s="72">
        <v>13905.39</v>
      </c>
      <c r="R24" s="72">
        <v>13980.31</v>
      </c>
      <c r="S24" s="72">
        <v>0</v>
      </c>
      <c r="T24" s="72">
        <v>0</v>
      </c>
      <c r="U24" s="72">
        <v>0</v>
      </c>
      <c r="V24" s="72">
        <v>0</v>
      </c>
      <c r="W24" s="72">
        <v>510998.09</v>
      </c>
      <c r="X24" s="72">
        <v>0</v>
      </c>
      <c r="Y24" s="72">
        <v>150691</v>
      </c>
      <c r="Z24" s="72">
        <v>23955.16</v>
      </c>
      <c r="AA24" s="72">
        <v>40266.78</v>
      </c>
      <c r="AB24" s="72">
        <v>0</v>
      </c>
      <c r="AC24" s="72">
        <v>13904.27</v>
      </c>
      <c r="AD24" s="72">
        <v>3383.11</v>
      </c>
      <c r="AE24" s="72">
        <v>5104.1000000000004</v>
      </c>
      <c r="AF24" s="72">
        <v>6568.64</v>
      </c>
      <c r="AG24" s="72">
        <v>1500</v>
      </c>
      <c r="AH24" s="72">
        <v>30787.119999999999</v>
      </c>
      <c r="AI24" s="72">
        <v>4347.1099999999997</v>
      </c>
      <c r="AJ24" s="72">
        <v>18576.68</v>
      </c>
      <c r="AK24" s="72">
        <v>2602.5100000000002</v>
      </c>
      <c r="AL24" s="72">
        <v>16756.150000000001</v>
      </c>
      <c r="AM24" s="72">
        <v>13969</v>
      </c>
      <c r="AN24" s="72">
        <v>8016.44</v>
      </c>
      <c r="AO24" s="72">
        <v>40722.07</v>
      </c>
      <c r="AP24" s="72">
        <v>17228.98</v>
      </c>
      <c r="AQ24" s="72">
        <v>0</v>
      </c>
      <c r="AR24" s="72">
        <v>7232.54</v>
      </c>
      <c r="AS24" s="72">
        <v>4000</v>
      </c>
      <c r="AT24" s="72">
        <v>12627.22</v>
      </c>
      <c r="AU24" s="72">
        <v>41375.07</v>
      </c>
      <c r="AV24" s="72">
        <v>54685</v>
      </c>
      <c r="AW24" s="72">
        <v>16951.95</v>
      </c>
      <c r="AX24" s="72">
        <v>21486.79</v>
      </c>
      <c r="AY24" s="72">
        <v>0</v>
      </c>
      <c r="AZ24" s="72">
        <v>6500</v>
      </c>
      <c r="BA24" s="72">
        <v>0</v>
      </c>
      <c r="BB24" s="72">
        <v>0</v>
      </c>
      <c r="BC24" s="72">
        <v>6283.76</v>
      </c>
      <c r="BD24" s="72">
        <v>0</v>
      </c>
      <c r="BE24" s="72">
        <v>6500</v>
      </c>
      <c r="BF24" s="131">
        <v>0</v>
      </c>
      <c r="BG24" s="72">
        <v>33339.47</v>
      </c>
      <c r="BH24" s="72">
        <v>0</v>
      </c>
      <c r="BI24" s="72">
        <v>8074</v>
      </c>
    </row>
    <row r="25" spans="1:61">
      <c r="A25" s="131">
        <v>2010</v>
      </c>
      <c r="B25" s="131" t="s">
        <v>46</v>
      </c>
      <c r="C25" s="132">
        <v>279095</v>
      </c>
      <c r="D25" s="131"/>
      <c r="E25" s="71">
        <v>0</v>
      </c>
      <c r="F25" s="72">
        <v>1467882</v>
      </c>
      <c r="G25" s="72">
        <v>0</v>
      </c>
      <c r="H25" s="72">
        <v>762072.79</v>
      </c>
      <c r="I25" s="72">
        <v>13317</v>
      </c>
      <c r="J25" s="72">
        <v>106956</v>
      </c>
      <c r="K25" s="72">
        <v>18210</v>
      </c>
      <c r="L25" s="72">
        <v>52591.81</v>
      </c>
      <c r="M25" s="72">
        <v>14450.56</v>
      </c>
      <c r="N25" s="72">
        <v>27625.599999999999</v>
      </c>
      <c r="O25" s="72">
        <v>513</v>
      </c>
      <c r="P25" s="72">
        <v>10172.719999999999</v>
      </c>
      <c r="Q25" s="72">
        <v>17834.439999999999</v>
      </c>
      <c r="R25" s="72">
        <v>4311.6899999999996</v>
      </c>
      <c r="S25" s="72">
        <v>0</v>
      </c>
      <c r="T25" s="72">
        <v>220730.15</v>
      </c>
      <c r="U25" s="72">
        <v>2892.69</v>
      </c>
      <c r="V25" s="72">
        <v>0</v>
      </c>
      <c r="W25" s="72">
        <v>1022754.86</v>
      </c>
      <c r="X25" s="72">
        <v>0</v>
      </c>
      <c r="Y25" s="72">
        <v>615274.34</v>
      </c>
      <c r="Z25" s="72">
        <v>66887.460000000006</v>
      </c>
      <c r="AA25" s="72">
        <v>70602.27</v>
      </c>
      <c r="AB25" s="72">
        <v>0</v>
      </c>
      <c r="AC25" s="72">
        <v>36648.06</v>
      </c>
      <c r="AD25" s="72">
        <v>31121.37</v>
      </c>
      <c r="AE25" s="72">
        <v>12439.87</v>
      </c>
      <c r="AF25" s="72">
        <v>19092.96</v>
      </c>
      <c r="AG25" s="72">
        <v>1400</v>
      </c>
      <c r="AH25" s="72">
        <v>41438.15</v>
      </c>
      <c r="AI25" s="72">
        <v>5339.51</v>
      </c>
      <c r="AJ25" s="72">
        <v>2799.04</v>
      </c>
      <c r="AK25" s="72">
        <v>2770.94</v>
      </c>
      <c r="AL25" s="72">
        <v>9263.15</v>
      </c>
      <c r="AM25" s="72">
        <v>20421.419999999998</v>
      </c>
      <c r="AN25" s="72">
        <v>9442.17</v>
      </c>
      <c r="AO25" s="72">
        <v>77985.179999999993</v>
      </c>
      <c r="AP25" s="72">
        <v>39571.379999999997</v>
      </c>
      <c r="AQ25" s="72">
        <v>0</v>
      </c>
      <c r="AR25" s="72">
        <v>12553.44</v>
      </c>
      <c r="AS25" s="72">
        <v>8000</v>
      </c>
      <c r="AT25" s="72">
        <v>12273.07</v>
      </c>
      <c r="AU25" s="72">
        <v>69737.899999999994</v>
      </c>
      <c r="AV25" s="72">
        <v>59652</v>
      </c>
      <c r="AW25" s="72">
        <v>244293</v>
      </c>
      <c r="AX25" s="72">
        <v>39516.5</v>
      </c>
      <c r="AY25" s="72">
        <v>0</v>
      </c>
      <c r="AZ25" s="72">
        <v>61130</v>
      </c>
      <c r="BA25" s="72">
        <v>187336.28</v>
      </c>
      <c r="BB25" s="72">
        <v>36286.92</v>
      </c>
      <c r="BC25" s="72">
        <v>7973.52</v>
      </c>
      <c r="BD25" s="72">
        <v>0</v>
      </c>
      <c r="BE25" s="72">
        <v>61130</v>
      </c>
      <c r="BF25" s="131">
        <v>0</v>
      </c>
      <c r="BG25" s="72">
        <v>52113.760000000002</v>
      </c>
      <c r="BH25" s="72">
        <v>0</v>
      </c>
      <c r="BI25" s="72">
        <v>16989</v>
      </c>
    </row>
    <row r="26" spans="1:61">
      <c r="A26" s="131">
        <v>3302</v>
      </c>
      <c r="B26" s="131" t="s">
        <v>47</v>
      </c>
      <c r="C26" s="132">
        <v>70328</v>
      </c>
      <c r="D26" s="131"/>
      <c r="E26" s="71">
        <v>0</v>
      </c>
      <c r="F26" s="72">
        <v>879398</v>
      </c>
      <c r="G26" s="72">
        <v>0</v>
      </c>
      <c r="H26" s="72">
        <v>58768</v>
      </c>
      <c r="I26" s="72">
        <v>898</v>
      </c>
      <c r="J26" s="72">
        <v>13083</v>
      </c>
      <c r="K26" s="72">
        <v>1200</v>
      </c>
      <c r="L26" s="72">
        <v>376</v>
      </c>
      <c r="M26" s="72">
        <v>17962.810000000001</v>
      </c>
      <c r="N26" s="72">
        <v>46707.54</v>
      </c>
      <c r="O26" s="72">
        <v>0</v>
      </c>
      <c r="P26" s="72">
        <v>3562.99</v>
      </c>
      <c r="Q26" s="72">
        <v>38728.75</v>
      </c>
      <c r="R26" s="72">
        <v>3175.2</v>
      </c>
      <c r="S26" s="72">
        <v>0</v>
      </c>
      <c r="T26" s="72">
        <v>0</v>
      </c>
      <c r="U26" s="72">
        <v>0</v>
      </c>
      <c r="V26" s="72">
        <v>0</v>
      </c>
      <c r="W26" s="72">
        <v>513585.51</v>
      </c>
      <c r="X26" s="72">
        <v>48538.78</v>
      </c>
      <c r="Y26" s="72">
        <v>165389.53</v>
      </c>
      <c r="Z26" s="72">
        <v>47690.43</v>
      </c>
      <c r="AA26" s="72">
        <v>33012.879999999997</v>
      </c>
      <c r="AB26" s="72">
        <v>0</v>
      </c>
      <c r="AC26" s="72">
        <v>21450.75</v>
      </c>
      <c r="AD26" s="72">
        <v>9542.2000000000007</v>
      </c>
      <c r="AE26" s="72">
        <v>7616.13</v>
      </c>
      <c r="AF26" s="72">
        <v>5826.2</v>
      </c>
      <c r="AG26" s="72">
        <v>450</v>
      </c>
      <c r="AH26" s="72">
        <v>25871.68</v>
      </c>
      <c r="AI26" s="72">
        <v>4938.4399999999996</v>
      </c>
      <c r="AJ26" s="72">
        <v>1799.39</v>
      </c>
      <c r="AK26" s="72">
        <v>1865.08</v>
      </c>
      <c r="AL26" s="72">
        <v>14450.21</v>
      </c>
      <c r="AM26" s="72">
        <v>0</v>
      </c>
      <c r="AN26" s="72">
        <v>3282.83</v>
      </c>
      <c r="AO26" s="72">
        <v>44509.4</v>
      </c>
      <c r="AP26" s="72">
        <v>13653.56</v>
      </c>
      <c r="AQ26" s="72">
        <v>0</v>
      </c>
      <c r="AR26" s="72">
        <v>5158.34</v>
      </c>
      <c r="AS26" s="72">
        <v>1765.51</v>
      </c>
      <c r="AT26" s="72">
        <v>4546.8599999999997</v>
      </c>
      <c r="AU26" s="72">
        <v>52058.85</v>
      </c>
      <c r="AV26" s="72">
        <v>0</v>
      </c>
      <c r="AW26" s="72">
        <v>24671.119999999999</v>
      </c>
      <c r="AX26" s="72">
        <v>21023.200000000001</v>
      </c>
      <c r="AY26" s="72">
        <v>0</v>
      </c>
      <c r="AZ26" s="72">
        <v>17937</v>
      </c>
      <c r="BA26" s="72">
        <v>0</v>
      </c>
      <c r="BB26" s="72">
        <v>0</v>
      </c>
      <c r="BC26" s="72">
        <v>0</v>
      </c>
      <c r="BD26" s="72">
        <v>7000</v>
      </c>
      <c r="BE26" s="72">
        <v>17937</v>
      </c>
      <c r="BF26" s="131">
        <v>0</v>
      </c>
      <c r="BG26" s="72">
        <v>0</v>
      </c>
      <c r="BH26" s="72">
        <v>0</v>
      </c>
      <c r="BI26" s="72">
        <v>24937</v>
      </c>
    </row>
    <row r="27" spans="1:61">
      <c r="A27" s="131">
        <v>2011</v>
      </c>
      <c r="B27" s="131" t="s">
        <v>48</v>
      </c>
      <c r="C27" s="132">
        <v>87796</v>
      </c>
      <c r="D27" s="131"/>
      <c r="E27" s="71">
        <v>11312</v>
      </c>
      <c r="F27" s="72">
        <v>889668</v>
      </c>
      <c r="G27" s="72">
        <v>0</v>
      </c>
      <c r="H27" s="72">
        <v>91516</v>
      </c>
      <c r="I27" s="72">
        <v>823</v>
      </c>
      <c r="J27" s="72">
        <v>18067</v>
      </c>
      <c r="K27" s="72">
        <v>700</v>
      </c>
      <c r="L27" s="72">
        <v>14275</v>
      </c>
      <c r="M27" s="72">
        <v>15864.43</v>
      </c>
      <c r="N27" s="72">
        <v>47566.09</v>
      </c>
      <c r="O27" s="72">
        <v>0</v>
      </c>
      <c r="P27" s="72">
        <v>665.31</v>
      </c>
      <c r="Q27" s="72">
        <v>29891.5</v>
      </c>
      <c r="R27" s="72">
        <v>8047.25</v>
      </c>
      <c r="S27" s="72">
        <v>0</v>
      </c>
      <c r="T27" s="72">
        <v>0</v>
      </c>
      <c r="U27" s="72">
        <v>0</v>
      </c>
      <c r="V27" s="72">
        <v>0</v>
      </c>
      <c r="W27" s="72">
        <v>548613.93000000005</v>
      </c>
      <c r="X27" s="72">
        <v>0</v>
      </c>
      <c r="Y27" s="72">
        <v>201598.66</v>
      </c>
      <c r="Z27" s="72">
        <v>28689.040000000001</v>
      </c>
      <c r="AA27" s="72">
        <v>47628.33</v>
      </c>
      <c r="AB27" s="72">
        <v>0</v>
      </c>
      <c r="AC27" s="72">
        <v>23897.81</v>
      </c>
      <c r="AD27" s="72">
        <v>3595.41</v>
      </c>
      <c r="AE27" s="72">
        <v>3745.3</v>
      </c>
      <c r="AF27" s="72">
        <v>8632.7800000000007</v>
      </c>
      <c r="AG27" s="72">
        <v>1000</v>
      </c>
      <c r="AH27" s="72">
        <v>12604.3</v>
      </c>
      <c r="AI27" s="72">
        <v>1667.39</v>
      </c>
      <c r="AJ27" s="72">
        <v>12199.95</v>
      </c>
      <c r="AK27" s="72">
        <v>2155.0500000000002</v>
      </c>
      <c r="AL27" s="72">
        <v>15777.43</v>
      </c>
      <c r="AM27" s="72">
        <v>14427</v>
      </c>
      <c r="AN27" s="72">
        <v>4661.78</v>
      </c>
      <c r="AO27" s="72">
        <v>59281.01</v>
      </c>
      <c r="AP27" s="72">
        <v>15204.08</v>
      </c>
      <c r="AQ27" s="72">
        <v>0</v>
      </c>
      <c r="AR27" s="72">
        <v>4239.9799999999996</v>
      </c>
      <c r="AS27" s="72">
        <v>7336.6</v>
      </c>
      <c r="AT27" s="72">
        <v>6241.2</v>
      </c>
      <c r="AU27" s="72">
        <v>56070.7</v>
      </c>
      <c r="AV27" s="72">
        <v>17752.8</v>
      </c>
      <c r="AW27" s="72">
        <v>18868.5</v>
      </c>
      <c r="AX27" s="72">
        <v>23633.119999999999</v>
      </c>
      <c r="AY27" s="72">
        <v>0</v>
      </c>
      <c r="AZ27" s="72">
        <v>0</v>
      </c>
      <c r="BA27" s="72">
        <v>0</v>
      </c>
      <c r="BB27" s="72">
        <v>0</v>
      </c>
      <c r="BC27" s="72">
        <v>6520</v>
      </c>
      <c r="BD27" s="72">
        <v>24755.52</v>
      </c>
      <c r="BE27" s="72">
        <v>0</v>
      </c>
      <c r="BF27" s="131">
        <v>0</v>
      </c>
      <c r="BG27" s="72">
        <v>6593.17</v>
      </c>
      <c r="BH27" s="72">
        <v>24755.52</v>
      </c>
      <c r="BI27" s="72">
        <v>0</v>
      </c>
    </row>
    <row r="28" spans="1:61">
      <c r="A28" s="131">
        <v>3522</v>
      </c>
      <c r="B28" s="131" t="s">
        <v>49</v>
      </c>
      <c r="C28" s="132">
        <v>276689</v>
      </c>
      <c r="D28" s="131"/>
      <c r="E28" s="71">
        <v>1597</v>
      </c>
      <c r="F28" s="72">
        <v>1655144</v>
      </c>
      <c r="G28" s="72">
        <v>0</v>
      </c>
      <c r="H28" s="72">
        <v>424400</v>
      </c>
      <c r="I28" s="72">
        <v>13092</v>
      </c>
      <c r="J28" s="72">
        <v>135614</v>
      </c>
      <c r="K28" s="72">
        <v>9500</v>
      </c>
      <c r="L28" s="72">
        <v>3714.28</v>
      </c>
      <c r="M28" s="72">
        <v>5557.24</v>
      </c>
      <c r="N28" s="72">
        <v>18983.650000000001</v>
      </c>
      <c r="O28" s="72">
        <v>0</v>
      </c>
      <c r="P28" s="72">
        <v>3800</v>
      </c>
      <c r="Q28" s="72">
        <v>3319.24</v>
      </c>
      <c r="R28" s="72">
        <v>1496.66</v>
      </c>
      <c r="S28" s="72">
        <v>0</v>
      </c>
      <c r="T28" s="72">
        <v>0</v>
      </c>
      <c r="U28" s="72">
        <v>0</v>
      </c>
      <c r="V28" s="72">
        <v>0</v>
      </c>
      <c r="W28" s="72">
        <v>871595.48</v>
      </c>
      <c r="X28" s="72">
        <v>8269.19</v>
      </c>
      <c r="Y28" s="72">
        <v>310200.33</v>
      </c>
      <c r="Z28" s="72">
        <v>65359.94</v>
      </c>
      <c r="AA28" s="72">
        <v>59328.959999999999</v>
      </c>
      <c r="AB28" s="72">
        <v>0</v>
      </c>
      <c r="AC28" s="72">
        <v>3322.14</v>
      </c>
      <c r="AD28" s="72">
        <v>26155.55</v>
      </c>
      <c r="AE28" s="72">
        <v>8625.02</v>
      </c>
      <c r="AF28" s="72">
        <v>6020.6</v>
      </c>
      <c r="AG28" s="72">
        <v>8387.4</v>
      </c>
      <c r="AH28" s="72">
        <v>116670</v>
      </c>
      <c r="AI28" s="72">
        <v>3400.08</v>
      </c>
      <c r="AJ28" s="72">
        <v>4498.8500000000004</v>
      </c>
      <c r="AK28" s="133">
        <f>-2337.5+2337.5</f>
        <v>0</v>
      </c>
      <c r="AL28" s="133">
        <f>32145.01-2337.5</f>
        <v>29807.51</v>
      </c>
      <c r="AM28" s="72">
        <v>17404</v>
      </c>
      <c r="AN28" s="72">
        <v>11914.21</v>
      </c>
      <c r="AO28" s="72">
        <v>56450.44</v>
      </c>
      <c r="AP28" s="72">
        <v>28041.94</v>
      </c>
      <c r="AQ28" s="72">
        <v>0</v>
      </c>
      <c r="AR28" s="72">
        <v>15375.24</v>
      </c>
      <c r="AS28" s="72">
        <v>6400</v>
      </c>
      <c r="AT28" s="72">
        <v>12778.32</v>
      </c>
      <c r="AU28" s="72">
        <v>81166.149999999994</v>
      </c>
      <c r="AV28" s="72">
        <v>152793.19</v>
      </c>
      <c r="AW28" s="72">
        <v>307248.15999999997</v>
      </c>
      <c r="AX28" s="72">
        <v>27156.560000000001</v>
      </c>
      <c r="AY28" s="72">
        <v>0</v>
      </c>
      <c r="AZ28" s="72">
        <v>15366</v>
      </c>
      <c r="BA28" s="72">
        <v>0</v>
      </c>
      <c r="BB28" s="72">
        <v>0</v>
      </c>
      <c r="BC28" s="72">
        <v>8473</v>
      </c>
      <c r="BD28" s="72">
        <v>0</v>
      </c>
      <c r="BE28" s="72">
        <v>15366</v>
      </c>
      <c r="BF28" s="131">
        <v>0</v>
      </c>
      <c r="BG28" s="72">
        <v>0</v>
      </c>
      <c r="BH28" s="72">
        <v>0</v>
      </c>
      <c r="BI28" s="72">
        <v>23839.33</v>
      </c>
    </row>
    <row r="29" spans="1:61">
      <c r="A29" s="131">
        <v>2014</v>
      </c>
      <c r="B29" s="131" t="s">
        <v>50</v>
      </c>
      <c r="C29" s="132">
        <v>492979</v>
      </c>
      <c r="D29" s="131"/>
      <c r="E29" s="71">
        <v>0</v>
      </c>
      <c r="F29" s="72">
        <v>2161111</v>
      </c>
      <c r="G29" s="72">
        <v>0</v>
      </c>
      <c r="H29" s="72">
        <v>549493</v>
      </c>
      <c r="I29" s="72">
        <v>12718</v>
      </c>
      <c r="J29" s="72">
        <v>93450</v>
      </c>
      <c r="K29" s="72">
        <v>7100</v>
      </c>
      <c r="L29" s="72">
        <v>50</v>
      </c>
      <c r="M29" s="72">
        <v>16162.25</v>
      </c>
      <c r="N29" s="72">
        <v>64017.23</v>
      </c>
      <c r="O29" s="72">
        <v>16929</v>
      </c>
      <c r="P29" s="72">
        <v>5975.75</v>
      </c>
      <c r="Q29" s="72">
        <v>21889.98</v>
      </c>
      <c r="R29" s="72">
        <v>50</v>
      </c>
      <c r="S29" s="72">
        <v>0</v>
      </c>
      <c r="T29" s="72">
        <v>0</v>
      </c>
      <c r="U29" s="72">
        <v>0</v>
      </c>
      <c r="V29" s="72">
        <v>0</v>
      </c>
      <c r="W29" s="72">
        <v>1323546.6200000001</v>
      </c>
      <c r="X29" s="72">
        <v>0</v>
      </c>
      <c r="Y29" s="72">
        <v>553778.31000000006</v>
      </c>
      <c r="Z29" s="72">
        <v>68085.61</v>
      </c>
      <c r="AA29" s="72">
        <v>47669.33</v>
      </c>
      <c r="AB29" s="72">
        <v>0</v>
      </c>
      <c r="AC29" s="72">
        <v>53899.81</v>
      </c>
      <c r="AD29" s="72">
        <v>32946.559999999998</v>
      </c>
      <c r="AE29" s="72">
        <v>5932.07</v>
      </c>
      <c r="AF29" s="72">
        <v>16753.34</v>
      </c>
      <c r="AG29" s="72">
        <v>7314</v>
      </c>
      <c r="AH29" s="72">
        <v>25954.97</v>
      </c>
      <c r="AI29" s="72">
        <v>7085.1</v>
      </c>
      <c r="AJ29" s="72">
        <v>4663.88</v>
      </c>
      <c r="AK29" s="72">
        <v>6669.58</v>
      </c>
      <c r="AL29" s="72">
        <v>37465.89</v>
      </c>
      <c r="AM29" s="72">
        <v>21640.5</v>
      </c>
      <c r="AN29" s="72">
        <v>12976.08</v>
      </c>
      <c r="AO29" s="72">
        <v>83406.490000000005</v>
      </c>
      <c r="AP29" s="72">
        <v>19473.96</v>
      </c>
      <c r="AQ29" s="72">
        <v>0</v>
      </c>
      <c r="AR29" s="72">
        <v>24743.27</v>
      </c>
      <c r="AS29" s="72">
        <v>9117.15</v>
      </c>
      <c r="AT29" s="72">
        <v>2769.46</v>
      </c>
      <c r="AU29" s="72">
        <v>87856.61</v>
      </c>
      <c r="AV29" s="72">
        <v>109060.75</v>
      </c>
      <c r="AW29" s="72">
        <v>211479.26</v>
      </c>
      <c r="AX29" s="72">
        <v>49473.27</v>
      </c>
      <c r="AY29" s="72">
        <v>0</v>
      </c>
      <c r="AZ29" s="72">
        <v>141646.17000000001</v>
      </c>
      <c r="BA29" s="72">
        <v>0</v>
      </c>
      <c r="BB29" s="72">
        <v>0</v>
      </c>
      <c r="BC29" s="72">
        <v>10246</v>
      </c>
      <c r="BD29" s="72">
        <v>0</v>
      </c>
      <c r="BE29" s="72">
        <v>141646.17000000001</v>
      </c>
      <c r="BF29" s="131">
        <v>0</v>
      </c>
      <c r="BG29" s="72">
        <v>91645.87</v>
      </c>
      <c r="BH29" s="72">
        <v>0</v>
      </c>
      <c r="BI29" s="72">
        <v>60246</v>
      </c>
    </row>
    <row r="30" spans="1:61">
      <c r="A30" s="131">
        <v>2015</v>
      </c>
      <c r="B30" s="131" t="s">
        <v>51</v>
      </c>
      <c r="C30" s="132">
        <v>185917</v>
      </c>
      <c r="D30" s="131"/>
      <c r="E30" s="71">
        <v>17430</v>
      </c>
      <c r="F30" s="72">
        <v>1150148</v>
      </c>
      <c r="G30" s="72">
        <v>0</v>
      </c>
      <c r="H30" s="72">
        <f>441779+6259</f>
        <v>448038</v>
      </c>
      <c r="I30" s="72">
        <v>8753</v>
      </c>
      <c r="J30" s="72">
        <v>59808</v>
      </c>
      <c r="K30" s="72">
        <v>0</v>
      </c>
      <c r="L30" s="72">
        <v>199834.77</v>
      </c>
      <c r="M30" s="72">
        <v>1836.18</v>
      </c>
      <c r="N30" s="72">
        <v>28508.76</v>
      </c>
      <c r="O30" s="72">
        <v>14022</v>
      </c>
      <c r="P30" s="72">
        <v>0</v>
      </c>
      <c r="Q30" s="72">
        <v>13879.16</v>
      </c>
      <c r="R30" s="72">
        <v>9179.7099999999991</v>
      </c>
      <c r="S30" s="72">
        <v>0</v>
      </c>
      <c r="T30" s="72">
        <v>361465.03</v>
      </c>
      <c r="U30" s="72">
        <v>53185.13</v>
      </c>
      <c r="V30" s="72">
        <v>0</v>
      </c>
      <c r="W30" s="72">
        <v>727031.94</v>
      </c>
      <c r="X30" s="72">
        <v>10676.47</v>
      </c>
      <c r="Y30" s="72">
        <v>439330.02</v>
      </c>
      <c r="Z30" s="72">
        <v>23607.69</v>
      </c>
      <c r="AA30" s="72">
        <v>61042.239999999998</v>
      </c>
      <c r="AB30" s="72">
        <v>0</v>
      </c>
      <c r="AC30" s="72">
        <v>13919.8</v>
      </c>
      <c r="AD30" s="72">
        <v>8080.46</v>
      </c>
      <c r="AE30" s="72">
        <v>8578.93</v>
      </c>
      <c r="AF30" s="72">
        <v>13604.84</v>
      </c>
      <c r="AG30" s="72">
        <v>1500</v>
      </c>
      <c r="AH30" s="72">
        <v>255580.35</v>
      </c>
      <c r="AI30" s="72">
        <v>7504.5</v>
      </c>
      <c r="AJ30" s="72">
        <v>26136.89</v>
      </c>
      <c r="AK30" s="72">
        <v>1305.71</v>
      </c>
      <c r="AL30" s="72">
        <v>9150.1</v>
      </c>
      <c r="AM30" s="72">
        <v>16373.5</v>
      </c>
      <c r="AN30" s="72">
        <v>9188.67</v>
      </c>
      <c r="AO30" s="72">
        <v>112680.72</v>
      </c>
      <c r="AP30" s="72">
        <v>50526.65</v>
      </c>
      <c r="AQ30" s="72">
        <v>0</v>
      </c>
      <c r="AR30" s="72">
        <v>7035.13</v>
      </c>
      <c r="AS30" s="72">
        <v>2500</v>
      </c>
      <c r="AT30" s="72">
        <v>2788.55</v>
      </c>
      <c r="AU30" s="72">
        <v>53450.14</v>
      </c>
      <c r="AV30" s="72">
        <v>30249.99</v>
      </c>
      <c r="AW30" s="72">
        <v>13517.54</v>
      </c>
      <c r="AX30" s="72">
        <v>27344</v>
      </c>
      <c r="AY30" s="72">
        <v>0</v>
      </c>
      <c r="AZ30" s="72">
        <v>0</v>
      </c>
      <c r="BA30" s="72">
        <v>331868.17</v>
      </c>
      <c r="BB30" s="72">
        <v>82782.27</v>
      </c>
      <c r="BC30" s="72">
        <v>6646</v>
      </c>
      <c r="BD30" s="72">
        <v>0</v>
      </c>
      <c r="BE30" s="72">
        <v>0</v>
      </c>
      <c r="BF30" s="131">
        <v>0</v>
      </c>
      <c r="BG30" s="72">
        <v>7466</v>
      </c>
      <c r="BH30" s="72">
        <v>0</v>
      </c>
      <c r="BI30" s="72">
        <v>0</v>
      </c>
    </row>
    <row r="31" spans="1:61">
      <c r="A31" s="131">
        <v>2016</v>
      </c>
      <c r="B31" s="131" t="s">
        <v>53</v>
      </c>
      <c r="C31" s="132">
        <f>75637+D31</f>
        <v>75551</v>
      </c>
      <c r="D31" s="131">
        <v>-86</v>
      </c>
      <c r="E31" s="71">
        <v>-9</v>
      </c>
      <c r="F31" s="72">
        <v>845448</v>
      </c>
      <c r="G31" s="72">
        <v>0</v>
      </c>
      <c r="H31" s="72">
        <v>106620</v>
      </c>
      <c r="I31" s="72">
        <v>2918</v>
      </c>
      <c r="J31" s="72">
        <v>24556.59</v>
      </c>
      <c r="K31" s="72">
        <v>5100</v>
      </c>
      <c r="L31" s="72">
        <v>0</v>
      </c>
      <c r="M31" s="72">
        <v>3123.6</v>
      </c>
      <c r="N31" s="72">
        <v>34658.839999999997</v>
      </c>
      <c r="O31" s="72">
        <v>9234</v>
      </c>
      <c r="P31" s="72">
        <v>3298.57</v>
      </c>
      <c r="Q31" s="72">
        <v>17473.53</v>
      </c>
      <c r="R31" s="72">
        <v>6186.47</v>
      </c>
      <c r="S31" s="72">
        <v>0</v>
      </c>
      <c r="T31" s="72">
        <v>0</v>
      </c>
      <c r="U31" s="72">
        <v>0</v>
      </c>
      <c r="V31" s="72">
        <v>0</v>
      </c>
      <c r="W31" s="72">
        <v>483661.98</v>
      </c>
      <c r="X31" s="72">
        <v>2800.33</v>
      </c>
      <c r="Y31" s="72">
        <v>198465.77</v>
      </c>
      <c r="Z31" s="72">
        <v>23387.26</v>
      </c>
      <c r="AA31" s="72">
        <v>35035.07</v>
      </c>
      <c r="AB31" s="72">
        <v>0</v>
      </c>
      <c r="AC31" s="72">
        <v>25504.13</v>
      </c>
      <c r="AD31" s="72">
        <v>4405.99</v>
      </c>
      <c r="AE31" s="72">
        <v>5181.62</v>
      </c>
      <c r="AF31" s="72">
        <v>8019.29</v>
      </c>
      <c r="AG31" s="72">
        <v>900</v>
      </c>
      <c r="AH31" s="72">
        <v>20272.54</v>
      </c>
      <c r="AI31" s="72">
        <v>4550</v>
      </c>
      <c r="AJ31" s="72">
        <v>10329.799999999999</v>
      </c>
      <c r="AK31" s="72">
        <v>2091.3200000000002</v>
      </c>
      <c r="AL31" s="72">
        <v>16559.689999999999</v>
      </c>
      <c r="AM31" s="72">
        <v>14671.5</v>
      </c>
      <c r="AN31" s="72">
        <v>4917.46</v>
      </c>
      <c r="AO31" s="72">
        <v>37877.32</v>
      </c>
      <c r="AP31" s="72">
        <v>13557.28</v>
      </c>
      <c r="AQ31" s="72">
        <v>0</v>
      </c>
      <c r="AR31" s="72">
        <v>9606.2999999999993</v>
      </c>
      <c r="AS31" s="72">
        <v>5267</v>
      </c>
      <c r="AT31" s="72">
        <v>2710.78</v>
      </c>
      <c r="AU31" s="72">
        <v>48827.77</v>
      </c>
      <c r="AV31" s="72">
        <v>20912</v>
      </c>
      <c r="AW31" s="72">
        <v>39509.01</v>
      </c>
      <c r="AX31" s="72">
        <v>26301.97</v>
      </c>
      <c r="AY31" s="72">
        <v>24</v>
      </c>
      <c r="AZ31" s="72">
        <v>9</v>
      </c>
      <c r="BA31" s="72">
        <v>525.16999999999996</v>
      </c>
      <c r="BB31" s="72">
        <v>0</v>
      </c>
      <c r="BC31" s="72">
        <v>0</v>
      </c>
      <c r="BD31" s="72">
        <v>2715</v>
      </c>
      <c r="BE31" s="72">
        <v>9</v>
      </c>
      <c r="BF31" s="131">
        <v>0</v>
      </c>
      <c r="BG31" s="72">
        <v>0</v>
      </c>
      <c r="BH31" s="72">
        <v>0</v>
      </c>
      <c r="BI31" s="72">
        <v>2600.9699999999998</v>
      </c>
    </row>
    <row r="32" spans="1:61">
      <c r="A32" s="131">
        <v>2017</v>
      </c>
      <c r="B32" s="131" t="s">
        <v>54</v>
      </c>
      <c r="C32" s="132">
        <v>128203</v>
      </c>
      <c r="D32" s="131"/>
      <c r="E32" s="71">
        <v>15996</v>
      </c>
      <c r="F32" s="72">
        <v>1476846</v>
      </c>
      <c r="G32" s="72">
        <v>0</v>
      </c>
      <c r="H32" s="72">
        <v>214786</v>
      </c>
      <c r="I32" s="72">
        <v>4713</v>
      </c>
      <c r="J32" s="72">
        <v>74207.42</v>
      </c>
      <c r="K32" s="72">
        <v>11244</v>
      </c>
      <c r="L32" s="72">
        <v>1000</v>
      </c>
      <c r="M32" s="72">
        <v>54838.53</v>
      </c>
      <c r="N32" s="72">
        <v>41581.449999999997</v>
      </c>
      <c r="O32" s="72">
        <v>21690.32</v>
      </c>
      <c r="P32" s="72">
        <v>6749.46</v>
      </c>
      <c r="Q32" s="72">
        <v>60063.33</v>
      </c>
      <c r="R32" s="72">
        <v>3780.13</v>
      </c>
      <c r="S32" s="72">
        <v>0</v>
      </c>
      <c r="T32" s="72">
        <v>0</v>
      </c>
      <c r="U32" s="72">
        <v>0</v>
      </c>
      <c r="V32" s="72">
        <v>0</v>
      </c>
      <c r="W32" s="72">
        <v>915326.4</v>
      </c>
      <c r="X32" s="72">
        <v>0</v>
      </c>
      <c r="Y32" s="72">
        <v>306275.39</v>
      </c>
      <c r="Z32" s="72">
        <v>34376.019999999997</v>
      </c>
      <c r="AA32" s="72">
        <v>46040.38</v>
      </c>
      <c r="AB32" s="72">
        <v>0</v>
      </c>
      <c r="AC32" s="72">
        <v>71075.81</v>
      </c>
      <c r="AD32" s="72">
        <v>5815.52</v>
      </c>
      <c r="AE32" s="72">
        <v>15510.95</v>
      </c>
      <c r="AF32" s="72">
        <v>14032.07</v>
      </c>
      <c r="AG32" s="72">
        <v>1200</v>
      </c>
      <c r="AH32" s="72">
        <v>34853.26</v>
      </c>
      <c r="AI32" s="72">
        <v>2933.97</v>
      </c>
      <c r="AJ32" s="72">
        <v>23062.16</v>
      </c>
      <c r="AK32" s="72">
        <v>7912.31</v>
      </c>
      <c r="AL32" s="72">
        <v>37825</v>
      </c>
      <c r="AM32" s="72">
        <v>18892.5</v>
      </c>
      <c r="AN32" s="72">
        <v>9244.59</v>
      </c>
      <c r="AO32" s="72">
        <v>102330.56</v>
      </c>
      <c r="AP32" s="72">
        <v>22063.38</v>
      </c>
      <c r="AQ32" s="72">
        <v>0</v>
      </c>
      <c r="AR32" s="72">
        <v>15883.31</v>
      </c>
      <c r="AS32" s="72">
        <v>5750</v>
      </c>
      <c r="AT32" s="72">
        <v>8633.57</v>
      </c>
      <c r="AU32" s="72">
        <v>73349.5</v>
      </c>
      <c r="AV32" s="72">
        <v>14182.94</v>
      </c>
      <c r="AW32" s="72">
        <v>52469.61</v>
      </c>
      <c r="AX32" s="72">
        <v>42327.75</v>
      </c>
      <c r="AY32" s="72">
        <v>0</v>
      </c>
      <c r="AZ32" s="72">
        <v>0</v>
      </c>
      <c r="BA32" s="72">
        <v>0</v>
      </c>
      <c r="BB32" s="72">
        <v>0</v>
      </c>
      <c r="BC32" s="72">
        <v>8466.24</v>
      </c>
      <c r="BD32" s="72">
        <v>0</v>
      </c>
      <c r="BE32" s="72">
        <v>0</v>
      </c>
      <c r="BF32" s="131">
        <v>0</v>
      </c>
      <c r="BG32" s="72">
        <v>5945</v>
      </c>
      <c r="BH32" s="72">
        <v>0</v>
      </c>
      <c r="BI32" s="72">
        <v>6370</v>
      </c>
    </row>
    <row r="33" spans="1:61">
      <c r="A33" s="131">
        <v>2073</v>
      </c>
      <c r="B33" s="131" t="s">
        <v>55</v>
      </c>
      <c r="C33" s="132">
        <f>281034+D33</f>
        <v>279840</v>
      </c>
      <c r="D33" s="131">
        <v>-1194</v>
      </c>
      <c r="E33" s="71">
        <v>79945</v>
      </c>
      <c r="F33" s="72">
        <v>2314124</v>
      </c>
      <c r="G33" s="72">
        <v>0</v>
      </c>
      <c r="H33" s="72">
        <v>393861</v>
      </c>
      <c r="I33" s="72">
        <v>14289</v>
      </c>
      <c r="J33" s="72">
        <v>107779</v>
      </c>
      <c r="K33" s="72">
        <v>0</v>
      </c>
      <c r="L33" s="72">
        <v>5230.25</v>
      </c>
      <c r="M33" s="72">
        <v>95504.97</v>
      </c>
      <c r="N33" s="72">
        <v>111469.56</v>
      </c>
      <c r="O33" s="72">
        <v>32148</v>
      </c>
      <c r="P33" s="72">
        <v>5963.05</v>
      </c>
      <c r="Q33" s="72">
        <v>58854.81</v>
      </c>
      <c r="R33" s="72">
        <v>35637.699999999997</v>
      </c>
      <c r="S33" s="72">
        <v>0</v>
      </c>
      <c r="T33" s="72">
        <v>0</v>
      </c>
      <c r="U33" s="72">
        <v>0</v>
      </c>
      <c r="V33" s="72">
        <v>0</v>
      </c>
      <c r="W33" s="72">
        <v>1303732.46</v>
      </c>
      <c r="X33" s="72">
        <v>0</v>
      </c>
      <c r="Y33" s="72">
        <v>572985.89</v>
      </c>
      <c r="Z33" s="72">
        <v>110658.73</v>
      </c>
      <c r="AA33" s="72">
        <v>92217.07</v>
      </c>
      <c r="AB33" s="72">
        <v>76360.240000000005</v>
      </c>
      <c r="AC33" s="72">
        <v>149776.9</v>
      </c>
      <c r="AD33" s="72">
        <v>16163.46</v>
      </c>
      <c r="AE33" s="72">
        <v>14582.24</v>
      </c>
      <c r="AF33" s="72">
        <v>17564.32</v>
      </c>
      <c r="AG33" s="72">
        <v>6676.8</v>
      </c>
      <c r="AH33" s="72">
        <v>236462.24</v>
      </c>
      <c r="AI33" s="72">
        <v>42896.29</v>
      </c>
      <c r="AJ33" s="72">
        <v>6501.52</v>
      </c>
      <c r="AK33" s="72">
        <v>5123.97</v>
      </c>
      <c r="AL33" s="72">
        <v>44139.22</v>
      </c>
      <c r="AM33" s="72">
        <v>36809</v>
      </c>
      <c r="AN33" s="72">
        <v>12731</v>
      </c>
      <c r="AO33" s="72">
        <v>158764.57</v>
      </c>
      <c r="AP33" s="72">
        <v>48528.41</v>
      </c>
      <c r="AQ33" s="72">
        <v>0</v>
      </c>
      <c r="AR33" s="72">
        <v>29618.43</v>
      </c>
      <c r="AS33" s="72">
        <v>7000</v>
      </c>
      <c r="AT33" s="72">
        <v>15431.27</v>
      </c>
      <c r="AU33" s="72">
        <v>90363.54</v>
      </c>
      <c r="AV33" s="72">
        <v>122899.8</v>
      </c>
      <c r="AW33" s="72">
        <v>18527.830000000002</v>
      </c>
      <c r="AX33" s="72">
        <v>17746.080000000002</v>
      </c>
      <c r="AY33" s="72">
        <v>0</v>
      </c>
      <c r="AZ33" s="72">
        <v>0</v>
      </c>
      <c r="BA33" s="72">
        <v>1682.5</v>
      </c>
      <c r="BB33" s="72">
        <v>0</v>
      </c>
      <c r="BC33" s="72">
        <v>11335</v>
      </c>
      <c r="BD33" s="72">
        <v>0</v>
      </c>
      <c r="BE33" s="72">
        <v>0</v>
      </c>
      <c r="BF33" s="131">
        <v>0</v>
      </c>
      <c r="BG33" s="72">
        <v>79945</v>
      </c>
      <c r="BH33" s="72">
        <v>0</v>
      </c>
      <c r="BI33" s="72">
        <v>0</v>
      </c>
    </row>
    <row r="34" spans="1:61">
      <c r="A34" s="131">
        <v>2019</v>
      </c>
      <c r="B34" s="131" t="s">
        <v>56</v>
      </c>
      <c r="C34" s="132">
        <v>194190</v>
      </c>
      <c r="D34" s="131"/>
      <c r="E34" s="71">
        <v>0</v>
      </c>
      <c r="F34" s="72">
        <v>1345793</v>
      </c>
      <c r="G34" s="72">
        <v>0</v>
      </c>
      <c r="H34" s="72">
        <v>313368</v>
      </c>
      <c r="I34" s="72">
        <v>15412</v>
      </c>
      <c r="J34" s="72">
        <v>86856.59</v>
      </c>
      <c r="K34" s="72">
        <v>29200</v>
      </c>
      <c r="L34" s="72">
        <v>1050</v>
      </c>
      <c r="M34" s="72">
        <v>7340.17</v>
      </c>
      <c r="N34" s="72">
        <v>33687.75</v>
      </c>
      <c r="O34" s="72">
        <v>15834.6</v>
      </c>
      <c r="P34" s="72">
        <v>2496.35</v>
      </c>
      <c r="Q34" s="72">
        <v>5552.9</v>
      </c>
      <c r="R34" s="72">
        <v>0</v>
      </c>
      <c r="S34" s="72">
        <v>0</v>
      </c>
      <c r="T34" s="72">
        <v>0</v>
      </c>
      <c r="U34" s="72">
        <v>0</v>
      </c>
      <c r="V34" s="72">
        <v>0</v>
      </c>
      <c r="W34" s="72">
        <v>795662.17</v>
      </c>
      <c r="X34" s="72">
        <v>0</v>
      </c>
      <c r="Y34" s="72">
        <v>456105.93</v>
      </c>
      <c r="Z34" s="72">
        <v>28922.02</v>
      </c>
      <c r="AA34" s="72">
        <v>46199.86</v>
      </c>
      <c r="AB34" s="72">
        <v>0</v>
      </c>
      <c r="AC34" s="72">
        <v>41209.25</v>
      </c>
      <c r="AD34" s="72">
        <v>12002.87</v>
      </c>
      <c r="AE34" s="72">
        <v>3931.95</v>
      </c>
      <c r="AF34" s="72">
        <v>10769.24</v>
      </c>
      <c r="AG34" s="72">
        <v>1000</v>
      </c>
      <c r="AH34" s="72">
        <v>43085.5</v>
      </c>
      <c r="AI34" s="72">
        <v>10790.23</v>
      </c>
      <c r="AJ34" s="72">
        <v>2079.37</v>
      </c>
      <c r="AK34" s="72">
        <v>3194.65</v>
      </c>
      <c r="AL34" s="72">
        <v>18657.34</v>
      </c>
      <c r="AM34" s="72">
        <v>13503.5</v>
      </c>
      <c r="AN34" s="72">
        <v>7388.3</v>
      </c>
      <c r="AO34" s="72">
        <v>52447.22</v>
      </c>
      <c r="AP34" s="72">
        <v>25365.599999999999</v>
      </c>
      <c r="AQ34" s="72">
        <v>0</v>
      </c>
      <c r="AR34" s="72">
        <v>23723.27</v>
      </c>
      <c r="AS34" s="72">
        <v>3200</v>
      </c>
      <c r="AT34" s="72">
        <v>12707.56</v>
      </c>
      <c r="AU34" s="72">
        <v>56448.72</v>
      </c>
      <c r="AV34" s="72">
        <v>47979</v>
      </c>
      <c r="AW34" s="72">
        <v>16158.44</v>
      </c>
      <c r="AX34" s="72">
        <v>47662.13</v>
      </c>
      <c r="AY34" s="72">
        <v>0</v>
      </c>
      <c r="AZ34" s="72">
        <v>5972.13</v>
      </c>
      <c r="BA34" s="72">
        <v>0</v>
      </c>
      <c r="BB34" s="72">
        <v>0</v>
      </c>
      <c r="BC34" s="72">
        <v>7867.76</v>
      </c>
      <c r="BD34" s="72">
        <v>0</v>
      </c>
      <c r="BE34" s="72">
        <v>5972.13</v>
      </c>
      <c r="BF34" s="131">
        <v>0</v>
      </c>
      <c r="BG34" s="72">
        <v>9850</v>
      </c>
      <c r="BH34" s="72">
        <v>0</v>
      </c>
      <c r="BI34" s="72">
        <v>3989.89</v>
      </c>
    </row>
    <row r="35" spans="1:61">
      <c r="A35" s="131">
        <v>2018</v>
      </c>
      <c r="B35" s="131" t="s">
        <v>57</v>
      </c>
      <c r="C35" s="132">
        <v>46194</v>
      </c>
      <c r="D35" s="131"/>
      <c r="E35" s="71">
        <v>11198</v>
      </c>
      <c r="F35" s="72">
        <v>1429061</v>
      </c>
      <c r="G35" s="72">
        <v>0</v>
      </c>
      <c r="H35" s="72">
        <v>358023</v>
      </c>
      <c r="I35" s="72">
        <v>13541</v>
      </c>
      <c r="J35" s="72">
        <v>121065</v>
      </c>
      <c r="K35" s="72">
        <v>52600</v>
      </c>
      <c r="L35" s="72">
        <v>711.5</v>
      </c>
      <c r="M35" s="72">
        <v>450</v>
      </c>
      <c r="N35" s="72">
        <v>47215.76</v>
      </c>
      <c r="O35" s="72">
        <v>18160</v>
      </c>
      <c r="P35" s="72">
        <v>775</v>
      </c>
      <c r="Q35" s="72">
        <v>19600.87</v>
      </c>
      <c r="R35" s="72">
        <v>0</v>
      </c>
      <c r="S35" s="72">
        <v>1167</v>
      </c>
      <c r="T35" s="72">
        <v>0</v>
      </c>
      <c r="U35" s="72">
        <v>0</v>
      </c>
      <c r="V35" s="72">
        <v>0</v>
      </c>
      <c r="W35" s="72">
        <v>877490.68</v>
      </c>
      <c r="X35" s="72">
        <v>0</v>
      </c>
      <c r="Y35" s="72">
        <v>472496.04</v>
      </c>
      <c r="Z35" s="72">
        <v>16087.85</v>
      </c>
      <c r="AA35" s="72">
        <v>89937.06</v>
      </c>
      <c r="AB35" s="72">
        <v>0</v>
      </c>
      <c r="AC35" s="72">
        <v>48690.83</v>
      </c>
      <c r="AD35" s="72">
        <v>3222.25</v>
      </c>
      <c r="AE35" s="72">
        <v>14246.07</v>
      </c>
      <c r="AF35" s="72">
        <v>0</v>
      </c>
      <c r="AG35" s="72">
        <v>19611.52</v>
      </c>
      <c r="AH35" s="72">
        <v>40963.57</v>
      </c>
      <c r="AI35" s="72">
        <v>8201.33</v>
      </c>
      <c r="AJ35" s="72">
        <v>21279.53</v>
      </c>
      <c r="AK35" s="72">
        <v>2284.08</v>
      </c>
      <c r="AL35" s="72">
        <v>22820.54</v>
      </c>
      <c r="AM35" s="72">
        <v>13503.5</v>
      </c>
      <c r="AN35" s="72">
        <v>6192.97</v>
      </c>
      <c r="AO35" s="72">
        <v>113061.3</v>
      </c>
      <c r="AP35" s="72">
        <v>40311.440000000002</v>
      </c>
      <c r="AQ35" s="72">
        <v>0</v>
      </c>
      <c r="AR35" s="72">
        <v>27036.41</v>
      </c>
      <c r="AS35" s="72">
        <v>2900</v>
      </c>
      <c r="AT35" s="72">
        <v>13439.42</v>
      </c>
      <c r="AU35" s="72">
        <v>77190.41</v>
      </c>
      <c r="AV35" s="72">
        <v>14958.33</v>
      </c>
      <c r="AW35" s="72">
        <v>63238.62</v>
      </c>
      <c r="AX35" s="72">
        <v>26836.35</v>
      </c>
      <c r="AY35" s="72">
        <v>0</v>
      </c>
      <c r="AZ35" s="72">
        <v>0</v>
      </c>
      <c r="BA35" s="72">
        <v>0</v>
      </c>
      <c r="BB35" s="72">
        <v>0</v>
      </c>
      <c r="BC35" s="72">
        <v>8027.52</v>
      </c>
      <c r="BD35" s="72">
        <v>0</v>
      </c>
      <c r="BE35" s="72">
        <v>0</v>
      </c>
      <c r="BF35" s="131">
        <v>0</v>
      </c>
      <c r="BG35" s="72">
        <v>15654.23</v>
      </c>
      <c r="BH35" s="72">
        <v>0</v>
      </c>
      <c r="BI35" s="72">
        <v>3291.57</v>
      </c>
    </row>
    <row r="36" spans="1:61">
      <c r="A36" s="131">
        <v>2021</v>
      </c>
      <c r="B36" s="131" t="s">
        <v>58</v>
      </c>
      <c r="C36" s="132">
        <v>141560</v>
      </c>
      <c r="D36" s="131"/>
      <c r="E36" s="71">
        <v>4358</v>
      </c>
      <c r="F36" s="72">
        <v>1202093</v>
      </c>
      <c r="G36" s="72">
        <v>0</v>
      </c>
      <c r="H36" s="72">
        <v>334990</v>
      </c>
      <c r="I36" s="72">
        <v>14140</v>
      </c>
      <c r="J36" s="72">
        <v>75642.59</v>
      </c>
      <c r="K36" s="133">
        <f>44600-20002.56</f>
        <v>24597.439999999999</v>
      </c>
      <c r="L36" s="133">
        <f>-20002.56+20002.56</f>
        <v>0</v>
      </c>
      <c r="M36" s="72">
        <v>14175.19</v>
      </c>
      <c r="N36" s="72">
        <v>31862.33</v>
      </c>
      <c r="O36" s="72">
        <v>1539</v>
      </c>
      <c r="P36" s="72">
        <v>23992.76</v>
      </c>
      <c r="Q36" s="72">
        <v>12093.3</v>
      </c>
      <c r="R36" s="72">
        <v>732.53</v>
      </c>
      <c r="S36" s="72">
        <v>0</v>
      </c>
      <c r="T36" s="72">
        <v>0</v>
      </c>
      <c r="U36" s="72">
        <v>0</v>
      </c>
      <c r="V36" s="72">
        <v>0</v>
      </c>
      <c r="W36" s="72">
        <v>806444.73</v>
      </c>
      <c r="X36" s="72">
        <v>3343.42</v>
      </c>
      <c r="Y36" s="72">
        <v>468815.05</v>
      </c>
      <c r="Z36" s="72">
        <v>26748.69</v>
      </c>
      <c r="AA36" s="72">
        <v>72544</v>
      </c>
      <c r="AB36" s="72">
        <v>0</v>
      </c>
      <c r="AC36" s="72">
        <v>15089.35</v>
      </c>
      <c r="AD36" s="72">
        <v>6187.55</v>
      </c>
      <c r="AE36" s="72">
        <v>14191.9</v>
      </c>
      <c r="AF36" s="72">
        <v>7648.7</v>
      </c>
      <c r="AG36" s="72">
        <v>8898</v>
      </c>
      <c r="AH36" s="72">
        <v>31961.95</v>
      </c>
      <c r="AI36" s="72">
        <v>5591.25</v>
      </c>
      <c r="AJ36" s="72">
        <v>15846.76</v>
      </c>
      <c r="AK36" s="72">
        <v>3340.31</v>
      </c>
      <c r="AL36" s="72">
        <v>23328.880000000001</v>
      </c>
      <c r="AM36" s="72">
        <v>18320</v>
      </c>
      <c r="AN36" s="72">
        <v>10019.41</v>
      </c>
      <c r="AO36" s="72">
        <v>52332.5</v>
      </c>
      <c r="AP36" s="72">
        <v>14325.35</v>
      </c>
      <c r="AQ36" s="72">
        <v>0</v>
      </c>
      <c r="AR36" s="72">
        <v>14486.46</v>
      </c>
      <c r="AS36" s="72">
        <v>3800</v>
      </c>
      <c r="AT36" s="72">
        <v>1970.1</v>
      </c>
      <c r="AU36" s="72">
        <v>65638.86</v>
      </c>
      <c r="AV36" s="72">
        <v>31873</v>
      </c>
      <c r="AW36" s="72">
        <v>35308.449999999997</v>
      </c>
      <c r="AX36" s="72">
        <v>27653.87</v>
      </c>
      <c r="AY36" s="72">
        <v>0</v>
      </c>
      <c r="AZ36" s="72">
        <v>3000</v>
      </c>
      <c r="BA36" s="72">
        <v>0</v>
      </c>
      <c r="BB36" s="72">
        <v>0</v>
      </c>
      <c r="BC36" s="72">
        <v>7512.24</v>
      </c>
      <c r="BD36" s="72">
        <v>0</v>
      </c>
      <c r="BE36" s="72">
        <v>3000</v>
      </c>
      <c r="BF36" s="131">
        <v>0</v>
      </c>
      <c r="BG36" s="72">
        <v>18296</v>
      </c>
      <c r="BH36" s="72">
        <v>0</v>
      </c>
      <c r="BI36" s="72">
        <v>0</v>
      </c>
    </row>
    <row r="37" spans="1:61">
      <c r="A37" s="131">
        <v>5200</v>
      </c>
      <c r="B37" s="131" t="s">
        <v>59</v>
      </c>
      <c r="C37" s="132">
        <v>43386</v>
      </c>
      <c r="D37" s="131"/>
      <c r="E37" s="71">
        <v>437</v>
      </c>
      <c r="F37" s="72">
        <v>1250859</v>
      </c>
      <c r="G37" s="72">
        <v>0</v>
      </c>
      <c r="H37" s="72">
        <v>372475</v>
      </c>
      <c r="I37" s="72">
        <v>13840</v>
      </c>
      <c r="J37" s="72">
        <v>109907.6</v>
      </c>
      <c r="K37" s="72">
        <v>1500</v>
      </c>
      <c r="L37" s="72">
        <v>600</v>
      </c>
      <c r="M37" s="72">
        <v>26469.48</v>
      </c>
      <c r="N37" s="72">
        <v>39832.339999999997</v>
      </c>
      <c r="O37" s="72">
        <v>20383.2</v>
      </c>
      <c r="P37" s="72">
        <v>1435.67</v>
      </c>
      <c r="Q37" s="72">
        <v>11313.33</v>
      </c>
      <c r="R37" s="72">
        <v>565.96</v>
      </c>
      <c r="S37" s="72">
        <v>0</v>
      </c>
      <c r="T37" s="72">
        <v>0</v>
      </c>
      <c r="U37" s="72">
        <v>0</v>
      </c>
      <c r="V37" s="72">
        <v>0</v>
      </c>
      <c r="W37" s="72">
        <v>828461.21</v>
      </c>
      <c r="X37" s="72">
        <v>0</v>
      </c>
      <c r="Y37" s="72">
        <v>341172.4</v>
      </c>
      <c r="Z37" s="72">
        <v>62395.94</v>
      </c>
      <c r="AA37" s="72">
        <v>69870.47</v>
      </c>
      <c r="AB37" s="72">
        <v>0</v>
      </c>
      <c r="AC37" s="72">
        <v>20800.490000000002</v>
      </c>
      <c r="AD37" s="72">
        <v>4735.78</v>
      </c>
      <c r="AE37" s="72">
        <v>4177.45</v>
      </c>
      <c r="AF37" s="72">
        <v>4290.99</v>
      </c>
      <c r="AG37" s="72">
        <v>10912</v>
      </c>
      <c r="AH37" s="72">
        <v>25042.48</v>
      </c>
      <c r="AI37" s="72">
        <v>2903</v>
      </c>
      <c r="AJ37" s="72">
        <v>2380.1999999999998</v>
      </c>
      <c r="AK37" s="72">
        <v>10948.13</v>
      </c>
      <c r="AL37" s="72">
        <v>29558.94</v>
      </c>
      <c r="AM37" s="72">
        <v>0</v>
      </c>
      <c r="AN37" s="72">
        <v>7558.53</v>
      </c>
      <c r="AO37" s="72">
        <v>42309.08</v>
      </c>
      <c r="AP37" s="72">
        <v>15155.94</v>
      </c>
      <c r="AQ37" s="72">
        <v>0</v>
      </c>
      <c r="AR37" s="72">
        <v>7368.9</v>
      </c>
      <c r="AS37" s="72">
        <v>7845</v>
      </c>
      <c r="AT37" s="72">
        <v>373</v>
      </c>
      <c r="AU37" s="72">
        <v>75645.78</v>
      </c>
      <c r="AV37" s="72">
        <v>79129.990000000005</v>
      </c>
      <c r="AW37" s="72">
        <v>114629.79</v>
      </c>
      <c r="AX37" s="72">
        <v>28595.77</v>
      </c>
      <c r="AY37" s="72">
        <v>0</v>
      </c>
      <c r="AZ37" s="72">
        <v>33103</v>
      </c>
      <c r="BA37" s="72">
        <v>0</v>
      </c>
      <c r="BB37" s="72">
        <v>0</v>
      </c>
      <c r="BC37" s="72">
        <v>7768.74</v>
      </c>
      <c r="BD37" s="72">
        <v>0</v>
      </c>
      <c r="BE37" s="72">
        <v>33103</v>
      </c>
      <c r="BF37" s="131">
        <v>0</v>
      </c>
      <c r="BG37" s="72">
        <v>5272</v>
      </c>
      <c r="BH37" s="72">
        <v>0</v>
      </c>
      <c r="BI37" s="72">
        <v>36037.449999999997</v>
      </c>
    </row>
    <row r="38" spans="1:61">
      <c r="A38" s="131">
        <v>2023</v>
      </c>
      <c r="B38" s="131" t="s">
        <v>60</v>
      </c>
      <c r="C38" s="132">
        <v>71839</v>
      </c>
      <c r="D38" s="131"/>
      <c r="E38" s="71">
        <v>2352</v>
      </c>
      <c r="F38" s="72">
        <v>1293841</v>
      </c>
      <c r="G38" s="72">
        <v>0</v>
      </c>
      <c r="H38" s="72">
        <v>305074</v>
      </c>
      <c r="I38" s="72">
        <v>8978</v>
      </c>
      <c r="J38" s="72">
        <v>63234.5</v>
      </c>
      <c r="K38" s="72">
        <v>36330</v>
      </c>
      <c r="L38" s="72">
        <v>10946.31</v>
      </c>
      <c r="M38" s="72">
        <v>26169.02</v>
      </c>
      <c r="N38" s="72">
        <v>31549.279999999999</v>
      </c>
      <c r="O38" s="72">
        <v>5000</v>
      </c>
      <c r="P38" s="72">
        <v>4564.2</v>
      </c>
      <c r="Q38" s="72">
        <v>0</v>
      </c>
      <c r="R38" s="72">
        <v>1272.8699999999999</v>
      </c>
      <c r="S38" s="72">
        <v>0</v>
      </c>
      <c r="T38" s="72">
        <v>0</v>
      </c>
      <c r="U38" s="72">
        <v>0</v>
      </c>
      <c r="V38" s="72">
        <v>0</v>
      </c>
      <c r="W38" s="72">
        <v>881483.31</v>
      </c>
      <c r="X38" s="72">
        <v>0</v>
      </c>
      <c r="Y38" s="72">
        <v>410600.64</v>
      </c>
      <c r="Z38" s="72">
        <v>20513.11</v>
      </c>
      <c r="AA38" s="72">
        <v>68654.399999999994</v>
      </c>
      <c r="AB38" s="72">
        <v>0</v>
      </c>
      <c r="AC38" s="72">
        <v>42312.91</v>
      </c>
      <c r="AD38" s="72">
        <v>5477.53</v>
      </c>
      <c r="AE38" s="72">
        <v>4002.85</v>
      </c>
      <c r="AF38" s="72">
        <v>0</v>
      </c>
      <c r="AG38" s="72">
        <v>16726.490000000002</v>
      </c>
      <c r="AH38" s="72">
        <v>23956.02</v>
      </c>
      <c r="AI38" s="72">
        <v>5289.54</v>
      </c>
      <c r="AJ38" s="72">
        <v>23410.080000000002</v>
      </c>
      <c r="AK38" s="72">
        <v>9091.76</v>
      </c>
      <c r="AL38" s="72">
        <v>17202.12</v>
      </c>
      <c r="AM38" s="72">
        <v>8759.25</v>
      </c>
      <c r="AN38" s="72">
        <v>7784.19</v>
      </c>
      <c r="AO38" s="72">
        <v>60367.28</v>
      </c>
      <c r="AP38" s="72">
        <v>12533.57</v>
      </c>
      <c r="AQ38" s="72">
        <v>0</v>
      </c>
      <c r="AR38" s="72">
        <v>5379.09</v>
      </c>
      <c r="AS38" s="72">
        <v>0</v>
      </c>
      <c r="AT38" s="72">
        <v>0</v>
      </c>
      <c r="AU38" s="72">
        <v>54664.5</v>
      </c>
      <c r="AV38" s="72">
        <v>16829.52</v>
      </c>
      <c r="AW38" s="72">
        <v>12988.58</v>
      </c>
      <c r="AX38" s="72">
        <v>30323.38</v>
      </c>
      <c r="AY38" s="72">
        <v>0</v>
      </c>
      <c r="AZ38" s="72">
        <v>0</v>
      </c>
      <c r="BA38" s="72">
        <v>0</v>
      </c>
      <c r="BB38" s="72">
        <v>0</v>
      </c>
      <c r="BC38" s="72">
        <v>7586.52</v>
      </c>
      <c r="BD38" s="72">
        <v>0</v>
      </c>
      <c r="BE38" s="72">
        <v>0</v>
      </c>
      <c r="BF38" s="131">
        <v>0</v>
      </c>
      <c r="BG38" s="72">
        <v>4302.82</v>
      </c>
      <c r="BH38" s="72">
        <v>0</v>
      </c>
      <c r="BI38" s="72">
        <v>0</v>
      </c>
    </row>
    <row r="39" spans="1:61">
      <c r="A39" s="131">
        <v>2022</v>
      </c>
      <c r="B39" s="131" t="s">
        <v>61</v>
      </c>
      <c r="C39" s="132">
        <v>141820</v>
      </c>
      <c r="D39" s="131"/>
      <c r="E39" s="71">
        <v>490</v>
      </c>
      <c r="F39" s="72">
        <v>1292836</v>
      </c>
      <c r="G39" s="72">
        <v>0</v>
      </c>
      <c r="H39" s="72">
        <v>411963</v>
      </c>
      <c r="I39" s="72">
        <v>11596</v>
      </c>
      <c r="J39" s="72">
        <v>98122.5</v>
      </c>
      <c r="K39" s="72">
        <v>23676</v>
      </c>
      <c r="L39" s="72">
        <v>0</v>
      </c>
      <c r="M39" s="72">
        <v>5565.5</v>
      </c>
      <c r="N39" s="72">
        <v>41084.42</v>
      </c>
      <c r="O39" s="72">
        <v>1560</v>
      </c>
      <c r="P39" s="72">
        <v>2094.4699999999998</v>
      </c>
      <c r="Q39" s="72">
        <v>40046.65</v>
      </c>
      <c r="R39" s="72">
        <v>0</v>
      </c>
      <c r="S39" s="72">
        <v>0</v>
      </c>
      <c r="T39" s="72">
        <v>0</v>
      </c>
      <c r="U39" s="72">
        <v>0</v>
      </c>
      <c r="V39" s="72">
        <v>0</v>
      </c>
      <c r="W39" s="72">
        <v>827481.59999999998</v>
      </c>
      <c r="X39" s="72">
        <v>1760.76</v>
      </c>
      <c r="Y39" s="72">
        <v>308671.18</v>
      </c>
      <c r="Z39" s="72">
        <v>16115.07</v>
      </c>
      <c r="AA39" s="72">
        <v>56006.28</v>
      </c>
      <c r="AB39" s="72">
        <v>0</v>
      </c>
      <c r="AC39" s="72">
        <v>29251.54</v>
      </c>
      <c r="AD39" s="72">
        <v>19674.77</v>
      </c>
      <c r="AE39" s="72">
        <v>13514.23</v>
      </c>
      <c r="AF39" s="72">
        <v>17725.560000000001</v>
      </c>
      <c r="AG39" s="72">
        <v>1500</v>
      </c>
      <c r="AH39" s="72">
        <v>11207.02</v>
      </c>
      <c r="AI39" s="72">
        <v>6038</v>
      </c>
      <c r="AJ39" s="72">
        <v>26629.35</v>
      </c>
      <c r="AK39" s="72">
        <v>4990.91</v>
      </c>
      <c r="AL39" s="72">
        <v>19682.93</v>
      </c>
      <c r="AM39" s="72">
        <v>8759.25</v>
      </c>
      <c r="AN39" s="72">
        <v>15142.04</v>
      </c>
      <c r="AO39" s="72">
        <v>87229.5</v>
      </c>
      <c r="AP39" s="72">
        <v>15093.67</v>
      </c>
      <c r="AQ39" s="72">
        <v>0</v>
      </c>
      <c r="AR39" s="72">
        <v>8251.31</v>
      </c>
      <c r="AS39" s="72">
        <v>5912</v>
      </c>
      <c r="AT39" s="72">
        <v>8871.09</v>
      </c>
      <c r="AU39" s="72">
        <v>79796.92</v>
      </c>
      <c r="AV39" s="72">
        <v>191647.39</v>
      </c>
      <c r="AW39" s="72">
        <v>40028.879999999997</v>
      </c>
      <c r="AX39" s="72">
        <v>28478.82</v>
      </c>
      <c r="AY39" s="72">
        <v>0</v>
      </c>
      <c r="AZ39" s="72">
        <v>45163</v>
      </c>
      <c r="BA39" s="72">
        <v>0</v>
      </c>
      <c r="BB39" s="72">
        <v>0</v>
      </c>
      <c r="BC39" s="72">
        <v>7645</v>
      </c>
      <c r="BD39" s="72">
        <v>0</v>
      </c>
      <c r="BE39" s="72">
        <v>45163</v>
      </c>
      <c r="BF39" s="131">
        <v>0</v>
      </c>
      <c r="BG39" s="72">
        <v>50997.77</v>
      </c>
      <c r="BH39" s="72">
        <v>0</v>
      </c>
      <c r="BI39" s="72">
        <v>2300</v>
      </c>
    </row>
    <row r="40" spans="1:61">
      <c r="A40" s="131">
        <v>2024</v>
      </c>
      <c r="B40" s="131" t="s">
        <v>62</v>
      </c>
      <c r="C40" s="132">
        <v>180767</v>
      </c>
      <c r="D40" s="131"/>
      <c r="E40" s="71">
        <v>52553</v>
      </c>
      <c r="F40" s="72">
        <v>1045676</v>
      </c>
      <c r="G40" s="72">
        <v>0</v>
      </c>
      <c r="H40" s="72">
        <v>187582</v>
      </c>
      <c r="I40" s="72">
        <v>7107</v>
      </c>
      <c r="J40" s="72">
        <v>50463</v>
      </c>
      <c r="K40" s="72">
        <v>16996.82</v>
      </c>
      <c r="L40" s="72">
        <v>16900</v>
      </c>
      <c r="M40" s="72">
        <v>16675.650000000001</v>
      </c>
      <c r="N40" s="72">
        <v>20228.650000000001</v>
      </c>
      <c r="O40" s="72">
        <v>2806.32</v>
      </c>
      <c r="P40" s="72">
        <v>1117.27</v>
      </c>
      <c r="Q40" s="72">
        <v>14320.99</v>
      </c>
      <c r="R40" s="72">
        <v>25</v>
      </c>
      <c r="S40" s="72">
        <v>0</v>
      </c>
      <c r="T40" s="72">
        <v>500742.1</v>
      </c>
      <c r="U40" s="72">
        <v>140827.73000000001</v>
      </c>
      <c r="V40" s="72">
        <v>0</v>
      </c>
      <c r="W40" s="72">
        <v>588296.37</v>
      </c>
      <c r="X40" s="72">
        <v>1263.57</v>
      </c>
      <c r="Y40" s="72">
        <v>241653.72</v>
      </c>
      <c r="Z40" s="72">
        <v>27514.27</v>
      </c>
      <c r="AA40" s="72">
        <v>71937.929999999993</v>
      </c>
      <c r="AB40" s="72">
        <v>0</v>
      </c>
      <c r="AC40" s="72">
        <v>26712.68</v>
      </c>
      <c r="AD40" s="72">
        <v>8303.76</v>
      </c>
      <c r="AE40" s="72">
        <v>5582.02</v>
      </c>
      <c r="AF40" s="133">
        <f>-1672.07+1672.07</f>
        <v>0</v>
      </c>
      <c r="AG40" s="133">
        <f>9647.16-1672.07</f>
        <v>7975.09</v>
      </c>
      <c r="AH40" s="72">
        <v>91605.24</v>
      </c>
      <c r="AI40" s="72">
        <v>1339.35</v>
      </c>
      <c r="AJ40" s="72">
        <v>13974.09</v>
      </c>
      <c r="AK40" s="72">
        <v>1379.78</v>
      </c>
      <c r="AL40" s="72">
        <v>21701.15</v>
      </c>
      <c r="AM40" s="72">
        <v>11909</v>
      </c>
      <c r="AN40" s="72">
        <v>2681.1</v>
      </c>
      <c r="AO40" s="72">
        <v>84015.679999999993</v>
      </c>
      <c r="AP40" s="72">
        <v>15301.04</v>
      </c>
      <c r="AQ40" s="72">
        <v>0</v>
      </c>
      <c r="AR40" s="133">
        <f>15210.26-3115.45</f>
        <v>12094.810000000001</v>
      </c>
      <c r="AS40" s="133">
        <f>-3115.45+3115.45</f>
        <v>0</v>
      </c>
      <c r="AT40" s="72">
        <v>11936.08</v>
      </c>
      <c r="AU40" s="72">
        <v>36366.85</v>
      </c>
      <c r="AV40" s="72">
        <v>51565.97</v>
      </c>
      <c r="AW40" s="72">
        <v>41782.300000000003</v>
      </c>
      <c r="AX40" s="72">
        <v>17840.79</v>
      </c>
      <c r="AY40" s="72">
        <v>0</v>
      </c>
      <c r="AZ40" s="72">
        <v>36315</v>
      </c>
      <c r="BA40" s="72">
        <v>541777.51</v>
      </c>
      <c r="BB40" s="72">
        <v>99792.44</v>
      </c>
      <c r="BC40" s="72">
        <v>6695.52</v>
      </c>
      <c r="BD40" s="72">
        <v>0</v>
      </c>
      <c r="BE40" s="72">
        <v>36315</v>
      </c>
      <c r="BF40" s="131">
        <v>0</v>
      </c>
      <c r="BG40" s="72">
        <v>57182</v>
      </c>
      <c r="BH40" s="72">
        <v>0</v>
      </c>
      <c r="BI40" s="72">
        <v>0</v>
      </c>
    </row>
    <row r="41" spans="1:61">
      <c r="A41" s="131">
        <v>2025</v>
      </c>
      <c r="B41" s="131" t="s">
        <v>63</v>
      </c>
      <c r="C41" s="132">
        <v>104519</v>
      </c>
      <c r="D41" s="131"/>
      <c r="E41" s="71">
        <v>40487</v>
      </c>
      <c r="F41" s="72">
        <v>1176366</v>
      </c>
      <c r="G41" s="72">
        <v>0</v>
      </c>
      <c r="H41" s="72">
        <v>74704</v>
      </c>
      <c r="I41" s="72">
        <v>1721</v>
      </c>
      <c r="J41" s="72">
        <v>11837</v>
      </c>
      <c r="K41" s="72">
        <v>15600</v>
      </c>
      <c r="L41" s="72">
        <v>1000</v>
      </c>
      <c r="M41" s="72">
        <v>38744.04</v>
      </c>
      <c r="N41" s="72">
        <v>57099.59</v>
      </c>
      <c r="O41" s="72">
        <v>19887.48</v>
      </c>
      <c r="P41" s="72">
        <v>1898.04</v>
      </c>
      <c r="Q41" s="72">
        <v>42581.98</v>
      </c>
      <c r="R41" s="72">
        <v>13416.41</v>
      </c>
      <c r="S41" s="72">
        <v>0</v>
      </c>
      <c r="T41" s="72">
        <v>0</v>
      </c>
      <c r="U41" s="72">
        <v>0</v>
      </c>
      <c r="V41" s="72">
        <v>0</v>
      </c>
      <c r="W41" s="72">
        <v>693725.93</v>
      </c>
      <c r="X41" s="72">
        <v>11887.13</v>
      </c>
      <c r="Y41" s="72">
        <v>218033.13</v>
      </c>
      <c r="Z41" s="72">
        <v>48559.46</v>
      </c>
      <c r="AA41" s="72">
        <v>40138.9</v>
      </c>
      <c r="AB41" s="72">
        <v>0</v>
      </c>
      <c r="AC41" s="72">
        <v>28439.29</v>
      </c>
      <c r="AD41" s="72">
        <v>18978.82</v>
      </c>
      <c r="AE41" s="72">
        <v>10089.08</v>
      </c>
      <c r="AF41" s="72">
        <v>10849.44</v>
      </c>
      <c r="AG41" s="72">
        <v>1300</v>
      </c>
      <c r="AH41" s="72">
        <v>26016.01</v>
      </c>
      <c r="AI41" s="72">
        <v>688.12</v>
      </c>
      <c r="AJ41" s="72">
        <v>3016.04</v>
      </c>
      <c r="AK41" s="72">
        <v>6747.06</v>
      </c>
      <c r="AL41" s="72">
        <v>23297.09</v>
      </c>
      <c r="AM41" s="72">
        <v>19923</v>
      </c>
      <c r="AN41" s="72">
        <v>4291.1499999999996</v>
      </c>
      <c r="AO41" s="72">
        <v>55858.48</v>
      </c>
      <c r="AP41" s="72">
        <v>18374.5</v>
      </c>
      <c r="AQ41" s="72">
        <v>0</v>
      </c>
      <c r="AR41" s="72">
        <v>6196.47</v>
      </c>
      <c r="AS41" s="72">
        <v>4000</v>
      </c>
      <c r="AT41" s="72">
        <v>7361.33</v>
      </c>
      <c r="AU41" s="72">
        <v>63245.48</v>
      </c>
      <c r="AV41" s="72">
        <v>75442.2</v>
      </c>
      <c r="AW41" s="72">
        <v>34228.370000000003</v>
      </c>
      <c r="AX41" s="72">
        <v>32038.12</v>
      </c>
      <c r="AY41" s="72">
        <v>0</v>
      </c>
      <c r="AZ41" s="72">
        <v>0</v>
      </c>
      <c r="BA41" s="72">
        <v>0</v>
      </c>
      <c r="BB41" s="72">
        <v>0</v>
      </c>
      <c r="BC41" s="72">
        <v>7532.52</v>
      </c>
      <c r="BD41" s="72">
        <v>0</v>
      </c>
      <c r="BE41" s="72">
        <v>0</v>
      </c>
      <c r="BF41" s="131">
        <v>0</v>
      </c>
      <c r="BG41" s="72">
        <v>27802</v>
      </c>
      <c r="BH41" s="72">
        <v>0</v>
      </c>
      <c r="BI41" s="72">
        <v>2240</v>
      </c>
    </row>
    <row r="42" spans="1:61">
      <c r="A42" s="131">
        <v>2026</v>
      </c>
      <c r="B42" s="131" t="s">
        <v>64</v>
      </c>
      <c r="C42" s="132">
        <v>130443</v>
      </c>
      <c r="D42" s="131"/>
      <c r="E42" s="71">
        <v>649</v>
      </c>
      <c r="F42" s="72">
        <v>2446819</v>
      </c>
      <c r="G42" s="72">
        <v>0</v>
      </c>
      <c r="H42" s="72">
        <v>286401</v>
      </c>
      <c r="I42" s="72">
        <v>12195</v>
      </c>
      <c r="J42" s="72">
        <v>76473.25</v>
      </c>
      <c r="K42" s="72">
        <v>15500</v>
      </c>
      <c r="L42" s="72">
        <v>7263.94</v>
      </c>
      <c r="M42" s="72">
        <v>68410.320000000007</v>
      </c>
      <c r="N42" s="72">
        <v>98934.68</v>
      </c>
      <c r="O42" s="72">
        <v>4617</v>
      </c>
      <c r="P42" s="72">
        <v>2370</v>
      </c>
      <c r="Q42" s="72">
        <v>77840.19</v>
      </c>
      <c r="R42" s="72">
        <v>3417.89</v>
      </c>
      <c r="S42" s="72">
        <v>0</v>
      </c>
      <c r="T42" s="72">
        <v>0</v>
      </c>
      <c r="U42" s="72">
        <v>0</v>
      </c>
      <c r="V42" s="72">
        <v>0</v>
      </c>
      <c r="W42" s="72">
        <v>1622917.89</v>
      </c>
      <c r="X42" s="72">
        <v>38780.93</v>
      </c>
      <c r="Y42" s="72">
        <v>452616.71</v>
      </c>
      <c r="Z42" s="72">
        <v>53340.91</v>
      </c>
      <c r="AA42" s="72">
        <v>90796.02</v>
      </c>
      <c r="AB42" s="72">
        <v>0</v>
      </c>
      <c r="AC42" s="72">
        <v>73684.160000000003</v>
      </c>
      <c r="AD42" s="72">
        <v>14308.38</v>
      </c>
      <c r="AE42" s="72">
        <v>9370.59</v>
      </c>
      <c r="AF42" s="72">
        <v>20149.91</v>
      </c>
      <c r="AG42" s="72">
        <v>2500</v>
      </c>
      <c r="AH42" s="72">
        <v>36828</v>
      </c>
      <c r="AI42" s="72">
        <v>7796.48</v>
      </c>
      <c r="AJ42" s="72">
        <v>41351.050000000003</v>
      </c>
      <c r="AK42" s="72">
        <v>4829.0200000000004</v>
      </c>
      <c r="AL42" s="72">
        <v>49356.47</v>
      </c>
      <c r="AM42" s="72">
        <v>37045</v>
      </c>
      <c r="AN42" s="72">
        <v>16974.03</v>
      </c>
      <c r="AO42" s="72">
        <v>117078.55</v>
      </c>
      <c r="AP42" s="72">
        <v>33604.410000000003</v>
      </c>
      <c r="AQ42" s="72">
        <v>0</v>
      </c>
      <c r="AR42" s="72">
        <v>20924.009999999998</v>
      </c>
      <c r="AS42" s="72">
        <v>8000</v>
      </c>
      <c r="AT42" s="72">
        <v>5933.58</v>
      </c>
      <c r="AU42" s="72">
        <v>121004.02</v>
      </c>
      <c r="AV42" s="72">
        <v>66818</v>
      </c>
      <c r="AW42" s="72">
        <v>101720.46</v>
      </c>
      <c r="AX42" s="72">
        <v>39431.67</v>
      </c>
      <c r="AY42" s="72">
        <v>0</v>
      </c>
      <c r="AZ42" s="72">
        <v>45948</v>
      </c>
      <c r="BA42" s="72">
        <v>0</v>
      </c>
      <c r="BB42" s="72">
        <v>0</v>
      </c>
      <c r="BC42" s="72">
        <v>11542</v>
      </c>
      <c r="BD42" s="72">
        <v>0</v>
      </c>
      <c r="BE42" s="72">
        <v>45948</v>
      </c>
      <c r="BF42" s="131">
        <v>0</v>
      </c>
      <c r="BG42" s="72">
        <v>34758</v>
      </c>
      <c r="BH42" s="72">
        <v>0</v>
      </c>
      <c r="BI42" s="72">
        <v>23383.360000000001</v>
      </c>
    </row>
    <row r="43" spans="1:61">
      <c r="A43" s="131">
        <v>2028</v>
      </c>
      <c r="B43" s="131" t="s">
        <v>65</v>
      </c>
      <c r="C43" s="132">
        <v>49591</v>
      </c>
      <c r="D43" s="131"/>
      <c r="E43" s="71">
        <v>0</v>
      </c>
      <c r="F43" s="72">
        <v>985979</v>
      </c>
      <c r="G43" s="72">
        <v>0</v>
      </c>
      <c r="H43" s="72">
        <v>172803</v>
      </c>
      <c r="I43" s="72">
        <v>2768</v>
      </c>
      <c r="J43" s="72">
        <v>25543</v>
      </c>
      <c r="K43" s="72">
        <v>10000</v>
      </c>
      <c r="L43" s="72">
        <v>0</v>
      </c>
      <c r="M43" s="72">
        <v>5276.37</v>
      </c>
      <c r="N43" s="72">
        <v>54576.17</v>
      </c>
      <c r="O43" s="72">
        <v>0</v>
      </c>
      <c r="P43" s="72">
        <v>0</v>
      </c>
      <c r="Q43" s="72">
        <v>1189</v>
      </c>
      <c r="R43" s="72">
        <v>6230.61</v>
      </c>
      <c r="S43" s="72">
        <v>0</v>
      </c>
      <c r="T43" s="72">
        <v>0</v>
      </c>
      <c r="U43" s="72">
        <v>0</v>
      </c>
      <c r="V43" s="72">
        <v>0</v>
      </c>
      <c r="W43" s="72">
        <v>651658.81999999995</v>
      </c>
      <c r="X43" s="72">
        <v>194.03</v>
      </c>
      <c r="Y43" s="72">
        <v>260634.17</v>
      </c>
      <c r="Z43" s="72">
        <v>19406.53</v>
      </c>
      <c r="AA43" s="72">
        <v>31015.63</v>
      </c>
      <c r="AB43" s="72">
        <v>0</v>
      </c>
      <c r="AC43" s="72">
        <v>23370.52</v>
      </c>
      <c r="AD43" s="72">
        <v>6430.53</v>
      </c>
      <c r="AE43" s="72">
        <v>2176</v>
      </c>
      <c r="AF43" s="72">
        <v>8402.2900000000009</v>
      </c>
      <c r="AG43" s="72">
        <v>1200</v>
      </c>
      <c r="AH43" s="72">
        <v>13241.53</v>
      </c>
      <c r="AI43" s="72">
        <v>2517.2399999999998</v>
      </c>
      <c r="AJ43" s="72">
        <v>18884.810000000001</v>
      </c>
      <c r="AK43" s="72">
        <v>701.74</v>
      </c>
      <c r="AL43" s="72">
        <v>13096.54</v>
      </c>
      <c r="AM43" s="72">
        <v>16371.5</v>
      </c>
      <c r="AN43" s="72">
        <v>6635.36</v>
      </c>
      <c r="AO43" s="72">
        <v>27107.56</v>
      </c>
      <c r="AP43" s="72">
        <v>12795.91</v>
      </c>
      <c r="AQ43" s="72">
        <v>0</v>
      </c>
      <c r="AR43" s="72">
        <v>10969.1</v>
      </c>
      <c r="AS43" s="72">
        <v>3600</v>
      </c>
      <c r="AT43" s="72">
        <v>15.19</v>
      </c>
      <c r="AU43" s="72">
        <v>64083.93</v>
      </c>
      <c r="AV43" s="72">
        <v>12180</v>
      </c>
      <c r="AW43" s="72">
        <v>13526.13</v>
      </c>
      <c r="AX43" s="72">
        <v>23353.599999999999</v>
      </c>
      <c r="AY43" s="72">
        <v>0</v>
      </c>
      <c r="AZ43" s="72">
        <v>8976.4500000000007</v>
      </c>
      <c r="BA43" s="72">
        <v>0</v>
      </c>
      <c r="BB43" s="72">
        <v>0</v>
      </c>
      <c r="BC43" s="72">
        <v>7037.52</v>
      </c>
      <c r="BD43" s="72">
        <v>11835.2</v>
      </c>
      <c r="BE43" s="72">
        <v>8976.4500000000007</v>
      </c>
      <c r="BF43" s="131">
        <v>0</v>
      </c>
      <c r="BG43" s="72">
        <v>22829.65</v>
      </c>
      <c r="BH43" s="72">
        <v>2830</v>
      </c>
      <c r="BI43" s="72">
        <v>2190</v>
      </c>
    </row>
    <row r="44" spans="1:61">
      <c r="A44" s="131">
        <v>2027</v>
      </c>
      <c r="B44" s="131" t="s">
        <v>66</v>
      </c>
      <c r="C44" s="132">
        <v>158474</v>
      </c>
      <c r="D44" s="131"/>
      <c r="E44" s="71">
        <v>0</v>
      </c>
      <c r="F44" s="72">
        <v>1273115</v>
      </c>
      <c r="G44" s="72">
        <v>0</v>
      </c>
      <c r="H44" s="72">
        <v>212138</v>
      </c>
      <c r="I44" s="72">
        <v>3666</v>
      </c>
      <c r="J44" s="72">
        <v>44233</v>
      </c>
      <c r="K44" s="72">
        <v>2737</v>
      </c>
      <c r="L44" s="72">
        <v>0</v>
      </c>
      <c r="M44" s="72">
        <v>9276.43</v>
      </c>
      <c r="N44" s="72">
        <v>68585.37</v>
      </c>
      <c r="O44" s="72">
        <v>8550</v>
      </c>
      <c r="P44" s="72">
        <v>75</v>
      </c>
      <c r="Q44" s="72">
        <v>28844.01</v>
      </c>
      <c r="R44" s="72">
        <v>1434.63</v>
      </c>
      <c r="S44" s="72">
        <v>0</v>
      </c>
      <c r="T44" s="72">
        <v>0</v>
      </c>
      <c r="U44" s="72">
        <v>0</v>
      </c>
      <c r="V44" s="72">
        <v>0</v>
      </c>
      <c r="W44" s="72">
        <v>863638.65</v>
      </c>
      <c r="X44" s="72">
        <v>0</v>
      </c>
      <c r="Y44" s="72">
        <v>216879.2</v>
      </c>
      <c r="Z44" s="72">
        <v>19159.66</v>
      </c>
      <c r="AA44" s="72">
        <v>42249.08</v>
      </c>
      <c r="AB44" s="72">
        <v>0</v>
      </c>
      <c r="AC44" s="72">
        <v>22547.49</v>
      </c>
      <c r="AD44" s="72">
        <v>7437.87</v>
      </c>
      <c r="AE44" s="72">
        <v>5751.53</v>
      </c>
      <c r="AF44" s="72">
        <v>10663.02</v>
      </c>
      <c r="AG44" s="72">
        <v>1500</v>
      </c>
      <c r="AH44" s="72">
        <v>14133.1</v>
      </c>
      <c r="AI44" s="72">
        <v>3166.62</v>
      </c>
      <c r="AJ44" s="72">
        <v>23438.35</v>
      </c>
      <c r="AK44" s="72">
        <v>1230</v>
      </c>
      <c r="AL44" s="72">
        <v>18925.72</v>
      </c>
      <c r="AM44" s="72">
        <v>16371.5</v>
      </c>
      <c r="AN44" s="72">
        <v>7224.15</v>
      </c>
      <c r="AO44" s="72">
        <v>67508.11</v>
      </c>
      <c r="AP44" s="72">
        <v>13296.17</v>
      </c>
      <c r="AQ44" s="72">
        <v>0</v>
      </c>
      <c r="AR44" s="72">
        <v>12503.31</v>
      </c>
      <c r="AS44" s="72">
        <v>6000</v>
      </c>
      <c r="AT44" s="72">
        <v>6763.92</v>
      </c>
      <c r="AU44" s="72">
        <v>85089.76</v>
      </c>
      <c r="AV44" s="72">
        <v>27896</v>
      </c>
      <c r="AW44" s="72">
        <v>109642.18</v>
      </c>
      <c r="AX44" s="72">
        <v>29383.08</v>
      </c>
      <c r="AY44" s="72">
        <v>0</v>
      </c>
      <c r="AZ44" s="72">
        <v>28162.69</v>
      </c>
      <c r="BA44" s="72">
        <v>0</v>
      </c>
      <c r="BB44" s="72">
        <v>0</v>
      </c>
      <c r="BC44" s="72">
        <v>8005</v>
      </c>
      <c r="BD44" s="72">
        <v>0</v>
      </c>
      <c r="BE44" s="72">
        <v>28162.69</v>
      </c>
      <c r="BF44" s="131">
        <v>0</v>
      </c>
      <c r="BG44" s="72">
        <v>21957.89</v>
      </c>
      <c r="BH44" s="72">
        <v>2830</v>
      </c>
      <c r="BI44" s="72">
        <v>11380</v>
      </c>
    </row>
    <row r="45" spans="1:61">
      <c r="A45" s="131">
        <v>2029</v>
      </c>
      <c r="B45" s="131" t="s">
        <v>67</v>
      </c>
      <c r="C45" s="132">
        <v>94981</v>
      </c>
      <c r="D45" s="131"/>
      <c r="E45" s="71">
        <v>465</v>
      </c>
      <c r="F45" s="72">
        <v>1715724</v>
      </c>
      <c r="G45" s="72">
        <v>0</v>
      </c>
      <c r="H45" s="72">
        <v>372599</v>
      </c>
      <c r="I45" s="72">
        <v>22220</v>
      </c>
      <c r="J45" s="72">
        <v>136902</v>
      </c>
      <c r="K45" s="72">
        <v>9300</v>
      </c>
      <c r="L45" s="72">
        <v>0</v>
      </c>
      <c r="M45" s="72">
        <v>13299.78</v>
      </c>
      <c r="N45" s="72">
        <v>23636.51</v>
      </c>
      <c r="O45" s="72">
        <v>3000</v>
      </c>
      <c r="P45" s="72">
        <v>0</v>
      </c>
      <c r="Q45" s="72">
        <v>17256.560000000001</v>
      </c>
      <c r="R45" s="72">
        <v>1110.19</v>
      </c>
      <c r="S45" s="72">
        <v>0</v>
      </c>
      <c r="T45" s="72">
        <v>0</v>
      </c>
      <c r="U45" s="72">
        <v>0</v>
      </c>
      <c r="V45" s="72">
        <v>0</v>
      </c>
      <c r="W45" s="72">
        <v>910884.68</v>
      </c>
      <c r="X45" s="72">
        <v>5111.76</v>
      </c>
      <c r="Y45" s="72">
        <v>364971.33</v>
      </c>
      <c r="Z45" s="72">
        <v>25686.28</v>
      </c>
      <c r="AA45" s="72">
        <v>64631.32</v>
      </c>
      <c r="AB45" s="72">
        <v>0</v>
      </c>
      <c r="AC45" s="72">
        <v>77805.570000000007</v>
      </c>
      <c r="AD45" s="72">
        <v>6132.46</v>
      </c>
      <c r="AE45" s="72">
        <v>6716.9</v>
      </c>
      <c r="AF45" s="72">
        <v>14973.33</v>
      </c>
      <c r="AG45" s="72">
        <v>2000</v>
      </c>
      <c r="AH45" s="72">
        <v>33270.519999999997</v>
      </c>
      <c r="AI45" s="72">
        <v>0</v>
      </c>
      <c r="AJ45" s="72">
        <v>27582.42</v>
      </c>
      <c r="AK45" s="72">
        <v>4890.3100000000004</v>
      </c>
      <c r="AL45" s="72">
        <v>34274.71</v>
      </c>
      <c r="AM45" s="72">
        <v>20953.5</v>
      </c>
      <c r="AN45" s="72">
        <v>10907.07</v>
      </c>
      <c r="AO45" s="72">
        <v>87904.38</v>
      </c>
      <c r="AP45" s="72">
        <v>22042.639999999999</v>
      </c>
      <c r="AQ45" s="72">
        <v>0</v>
      </c>
      <c r="AR45" s="72">
        <v>10964.74</v>
      </c>
      <c r="AS45" s="72">
        <v>5500</v>
      </c>
      <c r="AT45" s="72">
        <v>8254.4599999999991</v>
      </c>
      <c r="AU45" s="72">
        <v>84162.13</v>
      </c>
      <c r="AV45" s="72">
        <v>197162.5</v>
      </c>
      <c r="AW45" s="72">
        <v>100045.05</v>
      </c>
      <c r="AX45" s="72">
        <v>48795.08</v>
      </c>
      <c r="AY45" s="72">
        <v>0</v>
      </c>
      <c r="AZ45" s="72">
        <v>63364</v>
      </c>
      <c r="BA45" s="72">
        <v>0</v>
      </c>
      <c r="BB45" s="72">
        <v>0</v>
      </c>
      <c r="BC45" s="72">
        <v>8891.52</v>
      </c>
      <c r="BD45" s="72">
        <v>0</v>
      </c>
      <c r="BE45" s="72">
        <v>63364</v>
      </c>
      <c r="BF45" s="131">
        <v>0</v>
      </c>
      <c r="BG45" s="72">
        <v>72721</v>
      </c>
      <c r="BH45" s="72">
        <v>0</v>
      </c>
      <c r="BI45" s="72">
        <v>0</v>
      </c>
    </row>
    <row r="46" spans="1:61">
      <c r="A46" s="131">
        <v>2030</v>
      </c>
      <c r="B46" s="131" t="s">
        <v>68</v>
      </c>
      <c r="C46" s="132">
        <v>47481</v>
      </c>
      <c r="D46" s="131"/>
      <c r="E46" s="71">
        <v>50721</v>
      </c>
      <c r="F46" s="72">
        <v>168022.65</v>
      </c>
      <c r="G46" s="72">
        <v>0</v>
      </c>
      <c r="H46" s="72">
        <v>53538</v>
      </c>
      <c r="I46" s="72">
        <v>779</v>
      </c>
      <c r="J46" s="72">
        <v>6705.83</v>
      </c>
      <c r="K46" s="72">
        <v>36700</v>
      </c>
      <c r="L46" s="72">
        <v>700.76</v>
      </c>
      <c r="M46" s="72">
        <v>8123.35</v>
      </c>
      <c r="N46" s="72">
        <v>2994.5</v>
      </c>
      <c r="O46" s="72">
        <v>0</v>
      </c>
      <c r="P46" s="72">
        <v>0</v>
      </c>
      <c r="Q46" s="72">
        <v>3934.73</v>
      </c>
      <c r="R46" s="72">
        <v>345.55</v>
      </c>
      <c r="S46" s="72">
        <v>0</v>
      </c>
      <c r="T46" s="72">
        <v>0</v>
      </c>
      <c r="U46" s="72">
        <v>0</v>
      </c>
      <c r="V46" s="72">
        <v>0</v>
      </c>
      <c r="W46" s="72">
        <v>97096.02</v>
      </c>
      <c r="X46" s="72">
        <v>207.9</v>
      </c>
      <c r="Y46" s="72">
        <v>72618.38</v>
      </c>
      <c r="Z46" s="72">
        <v>10035.200000000001</v>
      </c>
      <c r="AA46" s="72">
        <v>8450.66</v>
      </c>
      <c r="AB46" s="72">
        <v>0</v>
      </c>
      <c r="AC46" s="72">
        <v>11062.95</v>
      </c>
      <c r="AD46" s="72">
        <v>746.16</v>
      </c>
      <c r="AE46" s="72">
        <v>652.94000000000005</v>
      </c>
      <c r="AF46" s="72">
        <v>2151.52</v>
      </c>
      <c r="AG46" s="72">
        <v>215.94</v>
      </c>
      <c r="AH46" s="72">
        <v>1991.4</v>
      </c>
      <c r="AI46" s="72">
        <v>18.649999999999999</v>
      </c>
      <c r="AJ46" s="72">
        <v>323.57</v>
      </c>
      <c r="AK46" s="72">
        <v>215.18</v>
      </c>
      <c r="AL46" s="72">
        <v>995.95</v>
      </c>
      <c r="AM46" s="72">
        <v>1565.63</v>
      </c>
      <c r="AN46" s="72">
        <v>1677.02</v>
      </c>
      <c r="AO46" s="72">
        <v>6363.6</v>
      </c>
      <c r="AP46" s="72">
        <v>5041.9399999999996</v>
      </c>
      <c r="AQ46" s="72">
        <v>0</v>
      </c>
      <c r="AR46" s="72">
        <v>1068.57</v>
      </c>
      <c r="AS46" s="72">
        <v>458.87</v>
      </c>
      <c r="AT46" s="72">
        <v>115256.36</v>
      </c>
      <c r="AU46" s="72">
        <v>5205.2</v>
      </c>
      <c r="AV46" s="72">
        <v>0</v>
      </c>
      <c r="AW46" s="72">
        <v>1531.85</v>
      </c>
      <c r="AX46" s="72">
        <v>20278.16</v>
      </c>
      <c r="AY46" s="72">
        <v>0</v>
      </c>
      <c r="AZ46" s="72">
        <v>0</v>
      </c>
      <c r="BA46" s="72">
        <v>0</v>
      </c>
      <c r="BB46" s="72">
        <v>0</v>
      </c>
      <c r="BC46" s="72">
        <v>2055.73</v>
      </c>
      <c r="BD46" s="72">
        <v>0</v>
      </c>
      <c r="BE46" s="72">
        <v>0</v>
      </c>
      <c r="BF46" s="131">
        <v>0</v>
      </c>
      <c r="BG46" s="72">
        <v>16872.830000000002</v>
      </c>
      <c r="BH46" s="72">
        <v>0</v>
      </c>
      <c r="BI46" s="72">
        <v>0</v>
      </c>
    </row>
    <row r="47" spans="1:61">
      <c r="A47" s="131">
        <v>3516</v>
      </c>
      <c r="B47" s="131" t="s">
        <v>69</v>
      </c>
      <c r="C47" s="132">
        <v>-849</v>
      </c>
      <c r="D47" s="131"/>
      <c r="E47" s="71">
        <v>0</v>
      </c>
      <c r="F47" s="72">
        <v>933591</v>
      </c>
      <c r="G47" s="72">
        <v>0</v>
      </c>
      <c r="H47" s="72">
        <v>105541</v>
      </c>
      <c r="I47" s="72">
        <v>0</v>
      </c>
      <c r="J47" s="72">
        <v>11345</v>
      </c>
      <c r="K47" s="72">
        <v>0</v>
      </c>
      <c r="L47" s="72">
        <v>2200</v>
      </c>
      <c r="M47" s="72">
        <v>0</v>
      </c>
      <c r="N47" s="72">
        <v>46668.9</v>
      </c>
      <c r="O47" s="133">
        <f>2636.51-1909.1</f>
        <v>727.41000000000031</v>
      </c>
      <c r="P47" s="133">
        <f>-1909.1+1909.1</f>
        <v>0</v>
      </c>
      <c r="Q47" s="72">
        <v>0</v>
      </c>
      <c r="R47" s="72">
        <v>0</v>
      </c>
      <c r="S47" s="72">
        <v>0</v>
      </c>
      <c r="T47" s="72">
        <v>0</v>
      </c>
      <c r="U47" s="72">
        <v>0</v>
      </c>
      <c r="V47" s="72">
        <v>0</v>
      </c>
      <c r="W47" s="72">
        <v>536754.94999999995</v>
      </c>
      <c r="X47" s="72">
        <v>4531.1899999999996</v>
      </c>
      <c r="Y47" s="72">
        <v>202399.47</v>
      </c>
      <c r="Z47" s="72">
        <v>24631.37</v>
      </c>
      <c r="AA47" s="72">
        <v>60522.69</v>
      </c>
      <c r="AB47" s="72">
        <v>0</v>
      </c>
      <c r="AC47" s="72">
        <v>17044.97</v>
      </c>
      <c r="AD47" s="72">
        <v>4130.8900000000003</v>
      </c>
      <c r="AE47" s="133">
        <f>4969.93-1772.98</f>
        <v>3196.9500000000003</v>
      </c>
      <c r="AF47" s="133">
        <f>-1772.98+1772.98</f>
        <v>0</v>
      </c>
      <c r="AG47" s="72">
        <v>0</v>
      </c>
      <c r="AH47" s="72">
        <v>34957.949999999997</v>
      </c>
      <c r="AI47" s="72">
        <v>0</v>
      </c>
      <c r="AJ47" s="72">
        <v>33827.25</v>
      </c>
      <c r="AK47" s="72">
        <v>2820.63</v>
      </c>
      <c r="AL47" s="72">
        <v>13886.11</v>
      </c>
      <c r="AM47" s="72">
        <v>0</v>
      </c>
      <c r="AN47" s="72">
        <v>5604.55</v>
      </c>
      <c r="AO47" s="72">
        <v>24142.06</v>
      </c>
      <c r="AP47" s="72">
        <v>22233.74</v>
      </c>
      <c r="AQ47" s="72">
        <v>0</v>
      </c>
      <c r="AR47" s="72">
        <v>16114.14</v>
      </c>
      <c r="AS47" s="72">
        <v>0</v>
      </c>
      <c r="AT47" s="72">
        <v>0</v>
      </c>
      <c r="AU47" s="72">
        <v>38044.1</v>
      </c>
      <c r="AV47" s="72">
        <v>0</v>
      </c>
      <c r="AW47" s="72">
        <v>1445.18</v>
      </c>
      <c r="AX47" s="72">
        <v>37310.83</v>
      </c>
      <c r="AY47" s="72">
        <v>0</v>
      </c>
      <c r="AZ47" s="72">
        <v>0</v>
      </c>
      <c r="BA47" s="72">
        <v>0</v>
      </c>
      <c r="BB47" s="72">
        <v>0</v>
      </c>
      <c r="BC47" s="72">
        <v>0</v>
      </c>
      <c r="BD47" s="72">
        <v>0</v>
      </c>
      <c r="BE47" s="72">
        <v>0</v>
      </c>
      <c r="BF47" s="131">
        <v>0</v>
      </c>
      <c r="BG47" s="72">
        <v>0</v>
      </c>
      <c r="BH47" s="72">
        <v>0</v>
      </c>
      <c r="BI47" s="72">
        <v>0</v>
      </c>
    </row>
    <row r="48" spans="1:61">
      <c r="A48" s="131">
        <v>2031</v>
      </c>
      <c r="B48" s="131" t="s">
        <v>70</v>
      </c>
      <c r="C48" s="132">
        <v>106107</v>
      </c>
      <c r="D48" s="131"/>
      <c r="E48" s="71">
        <v>6211</v>
      </c>
      <c r="F48" s="72">
        <v>907057</v>
      </c>
      <c r="G48" s="72">
        <v>0</v>
      </c>
      <c r="H48" s="72">
        <v>236896</v>
      </c>
      <c r="I48" s="72">
        <v>8753</v>
      </c>
      <c r="J48" s="72">
        <v>60804.59</v>
      </c>
      <c r="K48" s="72">
        <v>10970</v>
      </c>
      <c r="L48" s="72">
        <v>0</v>
      </c>
      <c r="M48" s="72">
        <v>41551.199999999997</v>
      </c>
      <c r="N48" s="72">
        <v>18624.21</v>
      </c>
      <c r="O48" s="72">
        <v>9272</v>
      </c>
      <c r="P48" s="72">
        <v>4320.83</v>
      </c>
      <c r="Q48" s="72">
        <v>11466.96</v>
      </c>
      <c r="R48" s="72">
        <v>8068.65</v>
      </c>
      <c r="S48" s="72">
        <v>0</v>
      </c>
      <c r="T48" s="72">
        <v>0</v>
      </c>
      <c r="U48" s="72">
        <v>0</v>
      </c>
      <c r="V48" s="72">
        <v>0</v>
      </c>
      <c r="W48" s="72">
        <v>597749.9</v>
      </c>
      <c r="X48" s="72">
        <v>32353.08</v>
      </c>
      <c r="Y48" s="72">
        <v>262096.5</v>
      </c>
      <c r="Z48" s="72">
        <v>21497.81</v>
      </c>
      <c r="AA48" s="72">
        <v>23940.37</v>
      </c>
      <c r="AB48" s="72">
        <v>0</v>
      </c>
      <c r="AC48" s="72">
        <v>24011.61</v>
      </c>
      <c r="AD48" s="72">
        <v>17858.25</v>
      </c>
      <c r="AE48" s="72">
        <v>3539.49</v>
      </c>
      <c r="AF48" s="72">
        <v>8971.7099999999991</v>
      </c>
      <c r="AG48" s="72">
        <v>1000</v>
      </c>
      <c r="AH48" s="72">
        <v>47428.47</v>
      </c>
      <c r="AI48" s="72">
        <v>15035.36</v>
      </c>
      <c r="AJ48" s="72">
        <v>14048.25</v>
      </c>
      <c r="AK48" s="72">
        <v>2909.42</v>
      </c>
      <c r="AL48" s="72">
        <v>7110.13</v>
      </c>
      <c r="AM48" s="72">
        <v>0</v>
      </c>
      <c r="AN48" s="72">
        <v>10890.78</v>
      </c>
      <c r="AO48" s="72">
        <v>51796.51</v>
      </c>
      <c r="AP48" s="72">
        <v>18541.36</v>
      </c>
      <c r="AQ48" s="72">
        <v>0</v>
      </c>
      <c r="AR48" s="72">
        <v>7658.81</v>
      </c>
      <c r="AS48" s="72">
        <v>4000</v>
      </c>
      <c r="AT48" s="72">
        <v>4578.76</v>
      </c>
      <c r="AU48" s="72">
        <v>49297.2</v>
      </c>
      <c r="AV48" s="72">
        <v>15112</v>
      </c>
      <c r="AW48" s="72">
        <v>42049.35</v>
      </c>
      <c r="AX48" s="72">
        <v>25719.56</v>
      </c>
      <c r="AY48" s="72">
        <v>0</v>
      </c>
      <c r="AZ48" s="72">
        <v>833</v>
      </c>
      <c r="BA48" s="72">
        <v>0</v>
      </c>
      <c r="BB48" s="72">
        <v>0</v>
      </c>
      <c r="BC48" s="72">
        <v>6373.76</v>
      </c>
      <c r="BD48" s="72">
        <v>0</v>
      </c>
      <c r="BE48" s="72">
        <v>833</v>
      </c>
      <c r="BF48" s="131">
        <v>0</v>
      </c>
      <c r="BG48" s="72">
        <v>13418</v>
      </c>
      <c r="BH48" s="72">
        <v>0</v>
      </c>
      <c r="BI48" s="72">
        <v>0</v>
      </c>
    </row>
    <row r="49" spans="1:61">
      <c r="A49" s="131">
        <v>2032</v>
      </c>
      <c r="B49" s="131" t="s">
        <v>71</v>
      </c>
      <c r="C49" s="132">
        <v>58029</v>
      </c>
      <c r="D49" s="131"/>
      <c r="E49" s="71">
        <v>794</v>
      </c>
      <c r="F49" s="72">
        <v>1924583</v>
      </c>
      <c r="G49" s="72">
        <v>0</v>
      </c>
      <c r="H49" s="72">
        <v>315238</v>
      </c>
      <c r="I49" s="72">
        <v>10474</v>
      </c>
      <c r="J49" s="72">
        <v>74387</v>
      </c>
      <c r="K49" s="72">
        <v>0</v>
      </c>
      <c r="L49" s="72">
        <v>1550</v>
      </c>
      <c r="M49" s="72">
        <v>90310.37</v>
      </c>
      <c r="N49" s="133">
        <f>51078.07-3144</f>
        <v>47934.07</v>
      </c>
      <c r="O49" s="133">
        <f>-3144+3144</f>
        <v>0</v>
      </c>
      <c r="P49" s="72">
        <v>1170</v>
      </c>
      <c r="Q49" s="72">
        <v>0</v>
      </c>
      <c r="R49" s="72">
        <v>51389.18</v>
      </c>
      <c r="S49" s="72">
        <v>0</v>
      </c>
      <c r="T49" s="72">
        <v>0</v>
      </c>
      <c r="U49" s="72">
        <v>0</v>
      </c>
      <c r="V49" s="72">
        <v>0</v>
      </c>
      <c r="W49" s="72">
        <v>1185131.04</v>
      </c>
      <c r="X49" s="72">
        <v>20667.919999999998</v>
      </c>
      <c r="Y49" s="72">
        <v>496140.67</v>
      </c>
      <c r="Z49" s="72">
        <v>27675.22</v>
      </c>
      <c r="AA49" s="72">
        <v>77377.429999999993</v>
      </c>
      <c r="AB49" s="72">
        <v>347.17</v>
      </c>
      <c r="AC49" s="72">
        <v>37123.61</v>
      </c>
      <c r="AD49" s="72">
        <v>5428.95</v>
      </c>
      <c r="AE49" s="72">
        <v>5909.05</v>
      </c>
      <c r="AF49" s="72">
        <v>15875.72</v>
      </c>
      <c r="AG49" s="72">
        <v>1800</v>
      </c>
      <c r="AH49" s="72">
        <v>80375.100000000006</v>
      </c>
      <c r="AI49" s="72">
        <v>1874.09</v>
      </c>
      <c r="AJ49" s="72">
        <v>38742.339999999997</v>
      </c>
      <c r="AK49" s="72">
        <v>4499.3900000000003</v>
      </c>
      <c r="AL49" s="72">
        <v>19217.580000000002</v>
      </c>
      <c r="AM49" s="72">
        <v>19923</v>
      </c>
      <c r="AN49" s="72">
        <v>7348.42</v>
      </c>
      <c r="AO49" s="72">
        <v>113221.99</v>
      </c>
      <c r="AP49" s="72">
        <v>14302.24</v>
      </c>
      <c r="AQ49" s="72">
        <v>0</v>
      </c>
      <c r="AR49" s="72">
        <v>11158.45</v>
      </c>
      <c r="AS49" s="72">
        <v>6200</v>
      </c>
      <c r="AT49" s="72">
        <v>4500</v>
      </c>
      <c r="AU49" s="72">
        <v>98990.35</v>
      </c>
      <c r="AV49" s="72">
        <v>64863.91</v>
      </c>
      <c r="AW49" s="72">
        <v>65061.98</v>
      </c>
      <c r="AX49" s="72">
        <v>31817.5</v>
      </c>
      <c r="AY49" s="72">
        <v>0</v>
      </c>
      <c r="AZ49" s="72">
        <v>0</v>
      </c>
      <c r="BA49" s="72">
        <v>0</v>
      </c>
      <c r="BB49" s="72">
        <v>0</v>
      </c>
      <c r="BC49" s="72">
        <v>9602.52</v>
      </c>
      <c r="BD49" s="72">
        <v>0</v>
      </c>
      <c r="BE49" s="72">
        <v>0</v>
      </c>
      <c r="BF49" s="131">
        <v>0</v>
      </c>
      <c r="BG49" s="72">
        <v>9595.1</v>
      </c>
      <c r="BH49" s="72">
        <v>0</v>
      </c>
      <c r="BI49" s="72">
        <v>0</v>
      </c>
    </row>
    <row r="50" spans="1:61">
      <c r="A50" s="131">
        <v>3304</v>
      </c>
      <c r="B50" s="131" t="s">
        <v>72</v>
      </c>
      <c r="C50" s="132">
        <v>54021</v>
      </c>
      <c r="D50" s="131"/>
      <c r="E50" s="71">
        <v>0</v>
      </c>
      <c r="F50" s="72">
        <v>881214</v>
      </c>
      <c r="G50" s="72">
        <v>0</v>
      </c>
      <c r="H50" s="72">
        <v>111732</v>
      </c>
      <c r="I50" s="72">
        <v>3666</v>
      </c>
      <c r="J50" s="72">
        <v>28658</v>
      </c>
      <c r="K50" s="72">
        <v>4400</v>
      </c>
      <c r="L50" s="72">
        <v>2755</v>
      </c>
      <c r="M50" s="72">
        <v>53081.46</v>
      </c>
      <c r="N50" s="72">
        <v>39507.589999999997</v>
      </c>
      <c r="O50" s="72">
        <v>0</v>
      </c>
      <c r="P50" s="72">
        <v>0</v>
      </c>
      <c r="Q50" s="72">
        <v>18848.86</v>
      </c>
      <c r="R50" s="72">
        <v>6581.07</v>
      </c>
      <c r="S50" s="72">
        <v>0</v>
      </c>
      <c r="T50" s="72">
        <v>0</v>
      </c>
      <c r="U50" s="72">
        <v>0</v>
      </c>
      <c r="V50" s="72">
        <v>0</v>
      </c>
      <c r="W50" s="72">
        <v>515371.47</v>
      </c>
      <c r="X50" s="72">
        <v>0</v>
      </c>
      <c r="Y50" s="72">
        <v>155903.32</v>
      </c>
      <c r="Z50" s="72">
        <v>26100.16</v>
      </c>
      <c r="AA50" s="72">
        <v>52237.87</v>
      </c>
      <c r="AB50" s="72">
        <v>0</v>
      </c>
      <c r="AC50" s="72">
        <v>48723.78</v>
      </c>
      <c r="AD50" s="72">
        <v>6005.16</v>
      </c>
      <c r="AE50" s="72">
        <v>9423.51</v>
      </c>
      <c r="AF50" s="72">
        <v>8073.52</v>
      </c>
      <c r="AG50" s="72">
        <v>2220.06</v>
      </c>
      <c r="AH50" s="72">
        <v>17947.59</v>
      </c>
      <c r="AI50" s="72">
        <v>1941.16</v>
      </c>
      <c r="AJ50" s="72">
        <v>13268.91</v>
      </c>
      <c r="AK50" s="72">
        <v>1880.44</v>
      </c>
      <c r="AL50" s="72">
        <v>11107.4</v>
      </c>
      <c r="AM50" s="72">
        <v>0</v>
      </c>
      <c r="AN50" s="72">
        <v>10013.790000000001</v>
      </c>
      <c r="AO50" s="72">
        <v>43078.79</v>
      </c>
      <c r="AP50" s="72">
        <v>14692.86</v>
      </c>
      <c r="AQ50" s="72">
        <v>0</v>
      </c>
      <c r="AR50" s="72">
        <v>22345.71</v>
      </c>
      <c r="AS50" s="72">
        <v>0</v>
      </c>
      <c r="AT50" s="72">
        <v>17095.23</v>
      </c>
      <c r="AU50" s="72">
        <v>50402.07</v>
      </c>
      <c r="AV50" s="72">
        <v>45921.5</v>
      </c>
      <c r="AW50" s="72">
        <v>53037.09</v>
      </c>
      <c r="AX50" s="72">
        <v>33111.86</v>
      </c>
      <c r="AY50" s="72">
        <v>0</v>
      </c>
      <c r="AZ50" s="72">
        <v>16102</v>
      </c>
      <c r="BA50" s="72">
        <v>0</v>
      </c>
      <c r="BB50" s="72">
        <v>0</v>
      </c>
      <c r="BC50" s="72">
        <v>0</v>
      </c>
      <c r="BD50" s="72">
        <v>6481</v>
      </c>
      <c r="BE50" s="72">
        <v>16102</v>
      </c>
      <c r="BF50" s="131">
        <v>0</v>
      </c>
      <c r="BG50" s="72">
        <v>0</v>
      </c>
      <c r="BH50" s="72">
        <v>0</v>
      </c>
      <c r="BI50" s="72">
        <v>22583.99</v>
      </c>
    </row>
    <row r="51" spans="1:61">
      <c r="A51" s="131">
        <v>2074</v>
      </c>
      <c r="B51" s="131" t="s">
        <v>73</v>
      </c>
      <c r="C51" s="132">
        <v>120591</v>
      </c>
      <c r="D51" s="131"/>
      <c r="E51" s="71">
        <v>4070</v>
      </c>
      <c r="F51" s="72">
        <v>1729480</v>
      </c>
      <c r="G51" s="72">
        <v>0</v>
      </c>
      <c r="H51" s="72">
        <v>337334</v>
      </c>
      <c r="I51" s="72">
        <v>9801</v>
      </c>
      <c r="J51" s="72">
        <v>95319</v>
      </c>
      <c r="K51" s="72">
        <v>55176</v>
      </c>
      <c r="L51" s="72">
        <v>3193</v>
      </c>
      <c r="M51" s="72">
        <v>7725.58</v>
      </c>
      <c r="N51" s="72">
        <v>39643.879999999997</v>
      </c>
      <c r="O51" s="72">
        <v>19758.27</v>
      </c>
      <c r="P51" s="72">
        <v>3134.47</v>
      </c>
      <c r="Q51" s="72">
        <v>10677.4</v>
      </c>
      <c r="R51" s="72">
        <v>8047.59</v>
      </c>
      <c r="S51" s="72">
        <v>0</v>
      </c>
      <c r="T51" s="72">
        <v>442475.38</v>
      </c>
      <c r="U51" s="72">
        <v>84254.86</v>
      </c>
      <c r="V51" s="72">
        <v>0</v>
      </c>
      <c r="W51" s="72">
        <v>956838.96</v>
      </c>
      <c r="X51" s="72">
        <v>0</v>
      </c>
      <c r="Y51" s="72">
        <v>507441.47</v>
      </c>
      <c r="Z51" s="72">
        <v>33269.54</v>
      </c>
      <c r="AA51" s="72">
        <v>80198.8</v>
      </c>
      <c r="AB51" s="72">
        <v>0</v>
      </c>
      <c r="AC51" s="72">
        <v>51411.73</v>
      </c>
      <c r="AD51" s="72">
        <v>22673.599999999999</v>
      </c>
      <c r="AE51" s="72">
        <v>5939.32</v>
      </c>
      <c r="AF51" s="72">
        <v>17268.939999999999</v>
      </c>
      <c r="AG51" s="72">
        <v>1300</v>
      </c>
      <c r="AH51" s="72">
        <v>26352.04</v>
      </c>
      <c r="AI51" s="72">
        <v>616.37</v>
      </c>
      <c r="AJ51" s="72">
        <v>27003.58</v>
      </c>
      <c r="AK51" s="72">
        <v>3086.57</v>
      </c>
      <c r="AL51" s="72">
        <v>21866.89</v>
      </c>
      <c r="AM51" s="72">
        <v>22900</v>
      </c>
      <c r="AN51" s="72">
        <v>8977.43</v>
      </c>
      <c r="AO51" s="133">
        <f>76326.3+36</f>
        <v>76362.3</v>
      </c>
      <c r="AP51" s="72">
        <v>26393.08</v>
      </c>
      <c r="AQ51" s="133">
        <f>36-36</f>
        <v>0</v>
      </c>
      <c r="AR51" s="72">
        <v>18169.400000000001</v>
      </c>
      <c r="AS51" s="72">
        <v>10731</v>
      </c>
      <c r="AT51" s="72">
        <v>2483.44</v>
      </c>
      <c r="AU51" s="72">
        <v>79893.789999999994</v>
      </c>
      <c r="AV51" s="72">
        <v>184309.05</v>
      </c>
      <c r="AW51" s="72">
        <v>102662.49</v>
      </c>
      <c r="AX51" s="72">
        <v>33421.69</v>
      </c>
      <c r="AY51" s="72">
        <v>0</v>
      </c>
      <c r="AZ51" s="72">
        <v>40284</v>
      </c>
      <c r="BA51" s="72">
        <v>443022.64</v>
      </c>
      <c r="BB51" s="72">
        <v>84452.76</v>
      </c>
      <c r="BC51" s="72">
        <v>9010.76</v>
      </c>
      <c r="BD51" s="72">
        <v>0</v>
      </c>
      <c r="BE51" s="72">
        <v>40284</v>
      </c>
      <c r="BF51" s="131">
        <v>0</v>
      </c>
      <c r="BG51" s="72">
        <v>13980</v>
      </c>
      <c r="BH51" s="72">
        <v>0</v>
      </c>
      <c r="BI51" s="72">
        <v>36784.82</v>
      </c>
    </row>
    <row r="52" spans="1:61">
      <c r="A52" s="131">
        <v>2036</v>
      </c>
      <c r="B52" s="131" t="s">
        <v>74</v>
      </c>
      <c r="C52" s="132">
        <v>247957</v>
      </c>
      <c r="D52" s="131"/>
      <c r="E52" s="71">
        <v>40401</v>
      </c>
      <c r="F52" s="72">
        <v>970160</v>
      </c>
      <c r="G52" s="72">
        <v>0</v>
      </c>
      <c r="H52" s="72">
        <v>727447</v>
      </c>
      <c r="I52" s="72">
        <v>7930</v>
      </c>
      <c r="J52" s="72">
        <v>60431</v>
      </c>
      <c r="K52" s="72">
        <v>17082.669999999998</v>
      </c>
      <c r="L52" s="72">
        <v>1417.12</v>
      </c>
      <c r="M52" s="72">
        <v>12217.85</v>
      </c>
      <c r="N52" s="72">
        <v>23327.05</v>
      </c>
      <c r="O52" s="72">
        <v>0</v>
      </c>
      <c r="P52" s="72">
        <v>1223.53</v>
      </c>
      <c r="Q52" s="72">
        <v>15450.64</v>
      </c>
      <c r="R52" s="72">
        <v>8713.6299999999992</v>
      </c>
      <c r="S52" s="72">
        <v>0</v>
      </c>
      <c r="T52" s="72">
        <v>0</v>
      </c>
      <c r="U52" s="72">
        <v>0</v>
      </c>
      <c r="V52" s="72">
        <v>0</v>
      </c>
      <c r="W52" s="72">
        <v>761039.74</v>
      </c>
      <c r="X52" s="72">
        <v>626.66</v>
      </c>
      <c r="Y52" s="72">
        <v>489425.62</v>
      </c>
      <c r="Z52" s="72">
        <v>55217.56</v>
      </c>
      <c r="AA52" s="72">
        <v>60189.9</v>
      </c>
      <c r="AB52" s="72">
        <v>0</v>
      </c>
      <c r="AC52" s="72">
        <v>13921.57</v>
      </c>
      <c r="AD52" s="72">
        <v>8316.6200000000008</v>
      </c>
      <c r="AE52" s="72">
        <v>7104.07</v>
      </c>
      <c r="AF52" s="72">
        <v>0</v>
      </c>
      <c r="AG52" s="72">
        <v>1522.33</v>
      </c>
      <c r="AH52" s="72">
        <v>44654.71</v>
      </c>
      <c r="AI52" s="72">
        <v>9945.2800000000007</v>
      </c>
      <c r="AJ52" s="72">
        <v>6369.82</v>
      </c>
      <c r="AK52" s="72">
        <v>2425.63</v>
      </c>
      <c r="AL52" s="72">
        <v>16953.25</v>
      </c>
      <c r="AM52" s="72">
        <v>13167.5</v>
      </c>
      <c r="AN52" s="72">
        <v>8855.85</v>
      </c>
      <c r="AO52" s="72">
        <v>54634.16</v>
      </c>
      <c r="AP52" s="72">
        <v>22296.63</v>
      </c>
      <c r="AQ52" s="72">
        <v>0</v>
      </c>
      <c r="AR52" s="72">
        <v>18757.72</v>
      </c>
      <c r="AS52" s="72">
        <v>5264</v>
      </c>
      <c r="AT52" s="72">
        <v>2741.33</v>
      </c>
      <c r="AU52" s="72">
        <v>43743.4</v>
      </c>
      <c r="AV52" s="72">
        <v>70181.039999999994</v>
      </c>
      <c r="AW52" s="72">
        <v>12043.51</v>
      </c>
      <c r="AX52" s="72">
        <v>31569.63</v>
      </c>
      <c r="AY52" s="72">
        <v>0</v>
      </c>
      <c r="AZ52" s="72">
        <v>0</v>
      </c>
      <c r="BA52" s="72">
        <v>0</v>
      </c>
      <c r="BB52" s="72">
        <v>0</v>
      </c>
      <c r="BC52" s="72">
        <v>6479.52</v>
      </c>
      <c r="BD52" s="72">
        <v>0</v>
      </c>
      <c r="BE52" s="72">
        <v>0</v>
      </c>
      <c r="BF52" s="131">
        <v>0</v>
      </c>
      <c r="BG52" s="72">
        <v>42737.5</v>
      </c>
      <c r="BH52" s="72">
        <v>0</v>
      </c>
      <c r="BI52" s="72">
        <v>3770</v>
      </c>
    </row>
    <row r="53" spans="1:61">
      <c r="A53" s="131">
        <v>2037</v>
      </c>
      <c r="B53" s="131" t="s">
        <v>75</v>
      </c>
      <c r="C53" s="132">
        <v>142154</v>
      </c>
      <c r="D53" s="131"/>
      <c r="E53" s="71">
        <v>4635</v>
      </c>
      <c r="F53" s="72">
        <v>1117972.82</v>
      </c>
      <c r="G53" s="72">
        <v>0</v>
      </c>
      <c r="H53" s="72">
        <v>244147</v>
      </c>
      <c r="I53" s="72">
        <v>9127</v>
      </c>
      <c r="J53" s="72">
        <v>53578</v>
      </c>
      <c r="K53" s="72">
        <v>2700</v>
      </c>
      <c r="L53" s="72">
        <v>2483.5</v>
      </c>
      <c r="M53" s="72">
        <v>26524.3</v>
      </c>
      <c r="N53" s="72">
        <v>39074.620000000003</v>
      </c>
      <c r="O53" s="72">
        <v>8905.48</v>
      </c>
      <c r="P53" s="72">
        <v>1504.03</v>
      </c>
      <c r="Q53" s="72">
        <v>16421.5</v>
      </c>
      <c r="R53" s="72">
        <v>7010.15</v>
      </c>
      <c r="S53" s="72">
        <v>0</v>
      </c>
      <c r="T53" s="72">
        <v>0</v>
      </c>
      <c r="U53" s="72">
        <v>0</v>
      </c>
      <c r="V53" s="72">
        <v>0</v>
      </c>
      <c r="W53" s="133">
        <f>653917.89-1676.34</f>
        <v>652241.55000000005</v>
      </c>
      <c r="X53" s="133">
        <f>-1676.34+1676.34</f>
        <v>0</v>
      </c>
      <c r="Y53" s="72">
        <v>346196.02</v>
      </c>
      <c r="Z53" s="72">
        <v>39376.75</v>
      </c>
      <c r="AA53" s="72">
        <v>42240.11</v>
      </c>
      <c r="AB53" s="72">
        <v>987.82</v>
      </c>
      <c r="AC53" s="72">
        <v>45378.81</v>
      </c>
      <c r="AD53" s="72">
        <v>7876.88</v>
      </c>
      <c r="AE53" s="72">
        <v>7686.5</v>
      </c>
      <c r="AF53" s="72">
        <v>11364.62</v>
      </c>
      <c r="AG53" s="72">
        <v>2428.5</v>
      </c>
      <c r="AH53" s="72">
        <v>41643.620000000003</v>
      </c>
      <c r="AI53" s="72">
        <v>287.93</v>
      </c>
      <c r="AJ53" s="72">
        <v>24570.15</v>
      </c>
      <c r="AK53" s="72">
        <v>2589.31</v>
      </c>
      <c r="AL53" s="72">
        <v>33606.39</v>
      </c>
      <c r="AM53" s="72">
        <v>15343</v>
      </c>
      <c r="AN53" s="72">
        <v>5974.31</v>
      </c>
      <c r="AO53" s="72">
        <v>59598.879999999997</v>
      </c>
      <c r="AP53" s="72">
        <v>26221.13</v>
      </c>
      <c r="AQ53" s="72">
        <v>0</v>
      </c>
      <c r="AR53" s="72">
        <v>6768.83</v>
      </c>
      <c r="AS53" s="72">
        <v>11273</v>
      </c>
      <c r="AT53" s="72">
        <v>8606.74</v>
      </c>
      <c r="AU53" s="72">
        <v>62848.38</v>
      </c>
      <c r="AV53" s="72">
        <v>20693.05</v>
      </c>
      <c r="AW53" s="72">
        <v>32277.22</v>
      </c>
      <c r="AX53" s="72">
        <v>38479.39</v>
      </c>
      <c r="AY53" s="72">
        <v>0</v>
      </c>
      <c r="AZ53" s="72">
        <v>24659</v>
      </c>
      <c r="BA53" s="72">
        <v>0</v>
      </c>
      <c r="BB53" s="72">
        <v>0</v>
      </c>
      <c r="BC53" s="72">
        <v>6997</v>
      </c>
      <c r="BD53" s="72">
        <v>0</v>
      </c>
      <c r="BE53" s="72">
        <v>24659</v>
      </c>
      <c r="BF53" s="131">
        <v>0</v>
      </c>
      <c r="BG53" s="72">
        <v>14316.2</v>
      </c>
      <c r="BH53" s="72">
        <v>0</v>
      </c>
      <c r="BI53" s="72">
        <v>21975</v>
      </c>
    </row>
    <row r="54" spans="1:61">
      <c r="A54" s="131">
        <v>3523</v>
      </c>
      <c r="B54" s="131" t="s">
        <v>269</v>
      </c>
      <c r="C54" s="132">
        <v>196792</v>
      </c>
      <c r="D54" s="131"/>
      <c r="E54" s="71">
        <v>13793</v>
      </c>
      <c r="F54" s="72">
        <v>1874046</v>
      </c>
      <c r="G54" s="72">
        <v>0</v>
      </c>
      <c r="H54" s="72">
        <v>365339</v>
      </c>
      <c r="I54" s="72">
        <v>12793</v>
      </c>
      <c r="J54" s="72">
        <v>108038.58</v>
      </c>
      <c r="K54" s="72">
        <v>38386.5</v>
      </c>
      <c r="L54" s="72">
        <v>4901.68</v>
      </c>
      <c r="M54" s="72">
        <v>50320.82</v>
      </c>
      <c r="N54" s="72">
        <v>55921.599999999999</v>
      </c>
      <c r="O54" s="72">
        <v>37353.79</v>
      </c>
      <c r="P54" s="72">
        <v>1500.87</v>
      </c>
      <c r="Q54" s="72">
        <v>46847.32</v>
      </c>
      <c r="R54" s="72">
        <v>6291.67</v>
      </c>
      <c r="S54" s="72">
        <v>0</v>
      </c>
      <c r="T54" s="72">
        <v>0</v>
      </c>
      <c r="U54" s="72">
        <v>0</v>
      </c>
      <c r="V54" s="72">
        <v>0</v>
      </c>
      <c r="W54" s="72">
        <v>1138963.33</v>
      </c>
      <c r="X54" s="72">
        <v>0</v>
      </c>
      <c r="Y54" s="72">
        <v>592625.46</v>
      </c>
      <c r="Z54" s="72">
        <v>91990.02</v>
      </c>
      <c r="AA54" s="72">
        <v>139108.25</v>
      </c>
      <c r="AB54" s="72">
        <v>0</v>
      </c>
      <c r="AC54" s="72">
        <v>57138.76</v>
      </c>
      <c r="AD54" s="72">
        <v>13477.32</v>
      </c>
      <c r="AE54" s="72">
        <v>4905.33</v>
      </c>
      <c r="AF54" s="72">
        <v>17370.62</v>
      </c>
      <c r="AG54" s="72">
        <v>0</v>
      </c>
      <c r="AH54" s="72">
        <v>38781.72</v>
      </c>
      <c r="AI54" s="72">
        <v>2074</v>
      </c>
      <c r="AJ54" s="72">
        <v>4477.49</v>
      </c>
      <c r="AK54" s="72">
        <v>2374.9299999999998</v>
      </c>
      <c r="AL54" s="72">
        <v>42980.09</v>
      </c>
      <c r="AM54" s="72">
        <v>27724</v>
      </c>
      <c r="AN54" s="72">
        <v>6672.61</v>
      </c>
      <c r="AO54" s="72">
        <v>99065.58</v>
      </c>
      <c r="AP54" s="72">
        <v>22509.64</v>
      </c>
      <c r="AQ54" s="72">
        <v>0</v>
      </c>
      <c r="AR54" s="72">
        <v>5467.27</v>
      </c>
      <c r="AS54" s="72">
        <v>10200</v>
      </c>
      <c r="AT54" s="72">
        <v>905.7</v>
      </c>
      <c r="AU54" s="72">
        <v>98417.85</v>
      </c>
      <c r="AV54" s="72">
        <v>34446</v>
      </c>
      <c r="AW54" s="72">
        <v>100352.36</v>
      </c>
      <c r="AX54" s="72">
        <v>31430.15</v>
      </c>
      <c r="AY54" s="72">
        <v>0</v>
      </c>
      <c r="AZ54" s="72">
        <v>0</v>
      </c>
      <c r="BA54" s="72">
        <v>0</v>
      </c>
      <c r="BB54" s="72">
        <v>0</v>
      </c>
      <c r="BC54" s="72">
        <v>9476.52</v>
      </c>
      <c r="BD54" s="72">
        <v>0</v>
      </c>
      <c r="BE54" s="72">
        <v>0</v>
      </c>
      <c r="BF54" s="131">
        <v>0</v>
      </c>
      <c r="BG54" s="72">
        <v>23961.95</v>
      </c>
      <c r="BH54" s="72">
        <v>0</v>
      </c>
      <c r="BI54" s="72">
        <v>0</v>
      </c>
    </row>
    <row r="55" spans="1:61">
      <c r="A55" s="131">
        <v>5948</v>
      </c>
      <c r="B55" s="131" t="s">
        <v>77</v>
      </c>
      <c r="C55" s="132">
        <v>36502</v>
      </c>
      <c r="D55" s="131"/>
      <c r="E55" s="71">
        <v>0</v>
      </c>
      <c r="F55" s="72">
        <v>829071</v>
      </c>
      <c r="G55" s="72">
        <v>0</v>
      </c>
      <c r="H55" s="72">
        <v>115074</v>
      </c>
      <c r="I55" s="72">
        <v>0</v>
      </c>
      <c r="J55" s="72">
        <v>8099</v>
      </c>
      <c r="K55" s="72">
        <v>24000</v>
      </c>
      <c r="L55" s="72">
        <v>4711</v>
      </c>
      <c r="M55" s="72">
        <v>41313.919999999998</v>
      </c>
      <c r="N55" s="72">
        <v>35448.230000000003</v>
      </c>
      <c r="O55" s="72">
        <v>12720.85</v>
      </c>
      <c r="P55" s="72">
        <v>2741.73</v>
      </c>
      <c r="Q55" s="72">
        <v>2960.36</v>
      </c>
      <c r="R55" s="72">
        <v>304010.71999999997</v>
      </c>
      <c r="S55" s="72">
        <v>0</v>
      </c>
      <c r="T55" s="72">
        <v>0</v>
      </c>
      <c r="U55" s="72">
        <v>0</v>
      </c>
      <c r="V55" s="72">
        <v>0</v>
      </c>
      <c r="W55" s="72">
        <v>654206.52</v>
      </c>
      <c r="X55" s="72">
        <v>14440.08</v>
      </c>
      <c r="Y55" s="72">
        <v>333609.71000000002</v>
      </c>
      <c r="Z55" s="72">
        <v>31651.759999999998</v>
      </c>
      <c r="AA55" s="72">
        <v>62779.519999999997</v>
      </c>
      <c r="AB55" s="72">
        <v>0</v>
      </c>
      <c r="AC55" s="72">
        <v>0</v>
      </c>
      <c r="AD55" s="72">
        <v>6798.48</v>
      </c>
      <c r="AE55" s="72">
        <v>4635</v>
      </c>
      <c r="AF55" s="72">
        <v>10683.35</v>
      </c>
      <c r="AG55" s="72">
        <v>0</v>
      </c>
      <c r="AH55" s="72">
        <v>50271.41</v>
      </c>
      <c r="AI55" s="72">
        <v>944.89</v>
      </c>
      <c r="AJ55" s="72">
        <v>16864.87</v>
      </c>
      <c r="AK55" s="72">
        <v>2728.48</v>
      </c>
      <c r="AL55" s="72">
        <v>15864.2</v>
      </c>
      <c r="AM55" s="72">
        <v>0</v>
      </c>
      <c r="AN55" s="72">
        <v>47497.11</v>
      </c>
      <c r="AO55" s="72">
        <v>26522.85</v>
      </c>
      <c r="AP55" s="72">
        <v>19990.240000000002</v>
      </c>
      <c r="AQ55" s="72">
        <v>0</v>
      </c>
      <c r="AR55" s="72">
        <v>4071.48</v>
      </c>
      <c r="AS55" s="72">
        <v>13947.12</v>
      </c>
      <c r="AT55" s="72">
        <v>1720.37</v>
      </c>
      <c r="AU55" s="72">
        <v>35683.61</v>
      </c>
      <c r="AV55" s="72">
        <v>378</v>
      </c>
      <c r="AW55" s="72">
        <v>8686</v>
      </c>
      <c r="AX55" s="72">
        <v>36820.129999999997</v>
      </c>
      <c r="AY55" s="72">
        <v>0</v>
      </c>
      <c r="AZ55" s="72">
        <v>0</v>
      </c>
      <c r="BA55" s="72">
        <v>0</v>
      </c>
      <c r="BB55" s="72">
        <v>0</v>
      </c>
      <c r="BC55" s="72">
        <v>0</v>
      </c>
      <c r="BD55" s="72">
        <v>0</v>
      </c>
      <c r="BE55" s="72">
        <v>0</v>
      </c>
      <c r="BF55" s="131">
        <v>0</v>
      </c>
      <c r="BG55" s="72">
        <v>0</v>
      </c>
      <c r="BH55" s="72">
        <v>0</v>
      </c>
      <c r="BI55" s="72">
        <v>0</v>
      </c>
    </row>
    <row r="56" spans="1:61">
      <c r="A56" s="131">
        <v>5949</v>
      </c>
      <c r="B56" s="131" t="s">
        <v>78</v>
      </c>
      <c r="C56" s="132">
        <v>46298</v>
      </c>
      <c r="D56" s="131"/>
      <c r="E56" s="71">
        <v>0</v>
      </c>
      <c r="F56" s="72">
        <v>973488</v>
      </c>
      <c r="G56" s="72">
        <v>0</v>
      </c>
      <c r="H56" s="72">
        <v>83300</v>
      </c>
      <c r="I56" s="72">
        <v>0</v>
      </c>
      <c r="J56" s="72">
        <v>4361</v>
      </c>
      <c r="K56" s="72">
        <v>39466.26</v>
      </c>
      <c r="L56" s="133">
        <f>880-37</f>
        <v>843</v>
      </c>
      <c r="M56" s="133">
        <f>-37+37</f>
        <v>0</v>
      </c>
      <c r="N56" s="72">
        <v>19678.2</v>
      </c>
      <c r="O56" s="72">
        <v>22245.55</v>
      </c>
      <c r="P56" s="72">
        <v>4550</v>
      </c>
      <c r="Q56" s="72">
        <v>14099.9</v>
      </c>
      <c r="R56" s="72">
        <v>37091.29</v>
      </c>
      <c r="S56" s="72">
        <v>0</v>
      </c>
      <c r="T56" s="72">
        <v>0</v>
      </c>
      <c r="U56" s="72">
        <v>0</v>
      </c>
      <c r="V56" s="72">
        <v>0</v>
      </c>
      <c r="W56" s="72">
        <v>579224.98</v>
      </c>
      <c r="X56" s="72">
        <v>900</v>
      </c>
      <c r="Y56" s="72">
        <v>212904.42</v>
      </c>
      <c r="Z56" s="72">
        <v>22283.69</v>
      </c>
      <c r="AA56" s="72">
        <v>101099.13</v>
      </c>
      <c r="AB56" s="72">
        <v>0</v>
      </c>
      <c r="AC56" s="72">
        <v>25880.11</v>
      </c>
      <c r="AD56" s="72">
        <v>4160.37</v>
      </c>
      <c r="AE56" s="72">
        <v>5385.2</v>
      </c>
      <c r="AF56" s="72">
        <v>8976.15</v>
      </c>
      <c r="AG56" s="72">
        <v>7003.68</v>
      </c>
      <c r="AH56" s="72">
        <v>34978.080000000002</v>
      </c>
      <c r="AI56" s="72">
        <v>0</v>
      </c>
      <c r="AJ56" s="72">
        <v>17292.55</v>
      </c>
      <c r="AK56" s="72">
        <v>1119.04</v>
      </c>
      <c r="AL56" s="72">
        <v>17697.580000000002</v>
      </c>
      <c r="AM56" s="72">
        <v>0</v>
      </c>
      <c r="AN56" s="72">
        <v>6006.63</v>
      </c>
      <c r="AO56" s="72">
        <v>50339.14</v>
      </c>
      <c r="AP56" s="72">
        <v>15562.72</v>
      </c>
      <c r="AQ56" s="72">
        <v>0</v>
      </c>
      <c r="AR56" s="72">
        <v>7967.68</v>
      </c>
      <c r="AS56" s="72">
        <v>5865.81</v>
      </c>
      <c r="AT56" s="72">
        <v>0</v>
      </c>
      <c r="AU56" s="72">
        <v>20383.37</v>
      </c>
      <c r="AV56" s="72">
        <v>900</v>
      </c>
      <c r="AW56" s="72">
        <v>6832.32</v>
      </c>
      <c r="AX56" s="72">
        <v>54533.55</v>
      </c>
      <c r="AY56" s="72">
        <v>0</v>
      </c>
      <c r="AZ56" s="72">
        <v>0</v>
      </c>
      <c r="BA56" s="72">
        <v>0</v>
      </c>
      <c r="BB56" s="72">
        <v>0</v>
      </c>
      <c r="BC56" s="72">
        <v>0</v>
      </c>
      <c r="BD56" s="72">
        <v>0</v>
      </c>
      <c r="BE56" s="72">
        <v>0</v>
      </c>
      <c r="BF56" s="131">
        <v>0</v>
      </c>
      <c r="BG56" s="72">
        <v>0</v>
      </c>
      <c r="BH56" s="72">
        <v>0</v>
      </c>
      <c r="BI56" s="72">
        <v>0</v>
      </c>
    </row>
    <row r="57" spans="1:61">
      <c r="A57" s="131">
        <v>3513</v>
      </c>
      <c r="B57" s="131" t="s">
        <v>79</v>
      </c>
      <c r="C57" s="132">
        <v>149727</v>
      </c>
      <c r="D57" s="131"/>
      <c r="E57" s="71">
        <v>0</v>
      </c>
      <c r="F57" s="72">
        <v>1539499</v>
      </c>
      <c r="G57" s="72">
        <v>0</v>
      </c>
      <c r="H57" s="72">
        <v>185493</v>
      </c>
      <c r="I57" s="72">
        <v>0</v>
      </c>
      <c r="J57" s="72">
        <v>6541.5</v>
      </c>
      <c r="K57" s="72">
        <v>2098</v>
      </c>
      <c r="L57" s="72">
        <v>0</v>
      </c>
      <c r="M57" s="72">
        <v>70</v>
      </c>
      <c r="N57" s="72">
        <v>59084.6</v>
      </c>
      <c r="O57" s="72">
        <v>13132.8</v>
      </c>
      <c r="P57" s="72">
        <v>1643.06</v>
      </c>
      <c r="Q57" s="72">
        <v>23230.65</v>
      </c>
      <c r="R57" s="72">
        <v>26418.29</v>
      </c>
      <c r="S57" s="72">
        <v>0</v>
      </c>
      <c r="T57" s="72">
        <v>0</v>
      </c>
      <c r="U57" s="72">
        <v>0</v>
      </c>
      <c r="V57" s="72">
        <v>0</v>
      </c>
      <c r="W57" s="72">
        <v>1109468.28</v>
      </c>
      <c r="X57" s="72">
        <v>706.46</v>
      </c>
      <c r="Y57" s="72">
        <v>169390.02</v>
      </c>
      <c r="Z57" s="72">
        <v>30173.38</v>
      </c>
      <c r="AA57" s="72">
        <v>67726.179999999993</v>
      </c>
      <c r="AB57" s="72">
        <v>0</v>
      </c>
      <c r="AC57" s="72">
        <v>6116.68</v>
      </c>
      <c r="AD57" s="72">
        <v>7865.67</v>
      </c>
      <c r="AE57" s="72">
        <v>15054.32</v>
      </c>
      <c r="AF57" s="72">
        <v>10132.290000000001</v>
      </c>
      <c r="AG57" s="72">
        <v>0</v>
      </c>
      <c r="AH57" s="72">
        <v>46527.22</v>
      </c>
      <c r="AI57" s="72">
        <v>680</v>
      </c>
      <c r="AJ57" s="72">
        <v>64652.95</v>
      </c>
      <c r="AK57" s="72">
        <v>3661.13</v>
      </c>
      <c r="AL57" s="72">
        <v>23543.21</v>
      </c>
      <c r="AM57" s="72">
        <v>0</v>
      </c>
      <c r="AN57" s="72">
        <v>15473.02</v>
      </c>
      <c r="AO57" s="72">
        <v>77173.009999999995</v>
      </c>
      <c r="AP57" s="72">
        <v>14325.51</v>
      </c>
      <c r="AQ57" s="72">
        <v>0</v>
      </c>
      <c r="AR57" s="72">
        <v>8736.5499999999993</v>
      </c>
      <c r="AS57" s="72">
        <v>0</v>
      </c>
      <c r="AT57" s="72">
        <v>0</v>
      </c>
      <c r="AU57" s="72">
        <v>47890.43</v>
      </c>
      <c r="AV57" s="72">
        <v>0</v>
      </c>
      <c r="AW57" s="72">
        <v>94271.360000000001</v>
      </c>
      <c r="AX57" s="72">
        <v>16041.46</v>
      </c>
      <c r="AY57" s="72">
        <v>0</v>
      </c>
      <c r="AZ57" s="72">
        <v>0</v>
      </c>
      <c r="BA57" s="72">
        <v>0</v>
      </c>
      <c r="BB57" s="72">
        <v>0</v>
      </c>
      <c r="BC57" s="72">
        <v>0</v>
      </c>
      <c r="BD57" s="72">
        <v>0</v>
      </c>
      <c r="BE57" s="72">
        <v>0</v>
      </c>
      <c r="BF57" s="131">
        <v>0</v>
      </c>
      <c r="BG57" s="72">
        <v>0</v>
      </c>
      <c r="BH57" s="72">
        <v>0</v>
      </c>
      <c r="BI57" s="72">
        <v>0</v>
      </c>
    </row>
    <row r="58" spans="1:61">
      <c r="A58" s="131">
        <v>3305</v>
      </c>
      <c r="B58" s="131" t="s">
        <v>80</v>
      </c>
      <c r="C58" s="132">
        <v>25742</v>
      </c>
      <c r="D58" s="131"/>
      <c r="E58" s="71">
        <v>0</v>
      </c>
      <c r="F58" s="72">
        <v>593687</v>
      </c>
      <c r="G58" s="72">
        <v>0</v>
      </c>
      <c r="H58" s="72">
        <v>45638</v>
      </c>
      <c r="I58" s="72">
        <v>0</v>
      </c>
      <c r="J58" s="72">
        <v>1869</v>
      </c>
      <c r="K58" s="72">
        <v>400</v>
      </c>
      <c r="L58" s="72">
        <v>510</v>
      </c>
      <c r="M58" s="72">
        <v>5072.97</v>
      </c>
      <c r="N58" s="72">
        <v>28387.18</v>
      </c>
      <c r="O58" s="72">
        <v>4700.95</v>
      </c>
      <c r="P58" s="72">
        <v>0</v>
      </c>
      <c r="Q58" s="72">
        <v>12093.51</v>
      </c>
      <c r="R58" s="72">
        <v>7655.58</v>
      </c>
      <c r="S58" s="72">
        <v>0</v>
      </c>
      <c r="T58" s="72">
        <v>0</v>
      </c>
      <c r="U58" s="72">
        <v>0</v>
      </c>
      <c r="V58" s="72">
        <v>0</v>
      </c>
      <c r="W58" s="72">
        <v>359768.28</v>
      </c>
      <c r="X58" s="72">
        <v>977.54</v>
      </c>
      <c r="Y58" s="72">
        <v>115849.85</v>
      </c>
      <c r="Z58" s="72">
        <v>25284.42</v>
      </c>
      <c r="AA58" s="72">
        <v>25867.1</v>
      </c>
      <c r="AB58" s="72">
        <v>0</v>
      </c>
      <c r="AC58" s="72">
        <v>18690.650000000001</v>
      </c>
      <c r="AD58" s="72">
        <v>3681.18</v>
      </c>
      <c r="AE58" s="72">
        <v>6124.53</v>
      </c>
      <c r="AF58" s="72">
        <v>4367.6400000000003</v>
      </c>
      <c r="AG58" s="72">
        <v>620.33000000000004</v>
      </c>
      <c r="AH58" s="72">
        <v>10469.25</v>
      </c>
      <c r="AI58" s="72">
        <v>887</v>
      </c>
      <c r="AJ58" s="72">
        <v>2168.17</v>
      </c>
      <c r="AK58" s="72">
        <v>833.61</v>
      </c>
      <c r="AL58" s="72">
        <v>7007.33</v>
      </c>
      <c r="AM58" s="72">
        <v>0</v>
      </c>
      <c r="AN58" s="72">
        <v>4103.9799999999996</v>
      </c>
      <c r="AO58" s="72">
        <v>32121.38</v>
      </c>
      <c r="AP58" s="72">
        <v>11309.92</v>
      </c>
      <c r="AQ58" s="72">
        <v>0</v>
      </c>
      <c r="AR58" s="72">
        <v>11332.15</v>
      </c>
      <c r="AS58" s="72">
        <v>881.36</v>
      </c>
      <c r="AT58" s="72">
        <v>4068.25</v>
      </c>
      <c r="AU58" s="72">
        <v>33289.839999999997</v>
      </c>
      <c r="AV58" s="72">
        <v>5512.5</v>
      </c>
      <c r="AW58" s="72">
        <v>15256.5</v>
      </c>
      <c r="AX58" s="72">
        <v>20880.5</v>
      </c>
      <c r="AY58" s="72">
        <v>0</v>
      </c>
      <c r="AZ58" s="72">
        <v>4374.49</v>
      </c>
      <c r="BA58" s="72">
        <v>0</v>
      </c>
      <c r="BB58" s="72">
        <v>0</v>
      </c>
      <c r="BC58" s="72">
        <v>0</v>
      </c>
      <c r="BD58" s="72">
        <v>6098.62</v>
      </c>
      <c r="BE58" s="72">
        <v>4374.49</v>
      </c>
      <c r="BF58" s="131">
        <v>0</v>
      </c>
      <c r="BG58" s="72">
        <v>0</v>
      </c>
      <c r="BH58" s="72">
        <v>0</v>
      </c>
      <c r="BI58" s="72">
        <v>10473.11</v>
      </c>
    </row>
    <row r="59" spans="1:61">
      <c r="A59" s="131">
        <v>2042</v>
      </c>
      <c r="B59" s="131" t="s">
        <v>81</v>
      </c>
      <c r="C59" s="132">
        <v>98379</v>
      </c>
      <c r="D59" s="131"/>
      <c r="E59" s="71">
        <v>0</v>
      </c>
      <c r="F59" s="72">
        <v>934906</v>
      </c>
      <c r="G59" s="72">
        <v>0</v>
      </c>
      <c r="H59" s="72">
        <v>128374</v>
      </c>
      <c r="I59" s="72">
        <v>2020</v>
      </c>
      <c r="J59" s="72">
        <v>17444</v>
      </c>
      <c r="K59" s="72">
        <v>26100</v>
      </c>
      <c r="L59" s="72">
        <v>1469.92</v>
      </c>
      <c r="M59" s="72">
        <v>37306.699999999997</v>
      </c>
      <c r="N59" s="72">
        <v>57104.84</v>
      </c>
      <c r="O59" s="72">
        <v>825</v>
      </c>
      <c r="P59" s="72">
        <v>16147</v>
      </c>
      <c r="Q59" s="72">
        <v>20841.400000000001</v>
      </c>
      <c r="R59" s="72">
        <v>6323.1</v>
      </c>
      <c r="S59" s="72">
        <v>0</v>
      </c>
      <c r="T59" s="72">
        <v>0</v>
      </c>
      <c r="U59" s="72">
        <v>0</v>
      </c>
      <c r="V59" s="72">
        <v>0</v>
      </c>
      <c r="W59" s="72">
        <v>553299.69999999995</v>
      </c>
      <c r="X59" s="72">
        <v>0</v>
      </c>
      <c r="Y59" s="72">
        <v>237402.62</v>
      </c>
      <c r="Z59" s="72">
        <v>31137.42</v>
      </c>
      <c r="AA59" s="72">
        <v>59266.51</v>
      </c>
      <c r="AB59" s="72">
        <v>0</v>
      </c>
      <c r="AC59" s="72">
        <v>52433.23</v>
      </c>
      <c r="AD59" s="72">
        <v>2652.56</v>
      </c>
      <c r="AE59" s="72">
        <v>4013.67</v>
      </c>
      <c r="AF59" s="72">
        <v>2299.9</v>
      </c>
      <c r="AG59" s="72">
        <v>600</v>
      </c>
      <c r="AH59" s="72">
        <v>19341.54</v>
      </c>
      <c r="AI59" s="72">
        <v>3914</v>
      </c>
      <c r="AJ59" s="72">
        <v>368.98</v>
      </c>
      <c r="AK59" s="72">
        <v>1981.43</v>
      </c>
      <c r="AL59" s="72">
        <v>17344.37</v>
      </c>
      <c r="AM59" s="72">
        <v>14541.5</v>
      </c>
      <c r="AN59" s="72">
        <v>5027.54</v>
      </c>
      <c r="AO59" s="72">
        <v>43586.13</v>
      </c>
      <c r="AP59" s="72">
        <v>11047.14</v>
      </c>
      <c r="AQ59" s="72">
        <v>0</v>
      </c>
      <c r="AR59" s="72">
        <v>3915.54</v>
      </c>
      <c r="AS59" s="72">
        <v>3175</v>
      </c>
      <c r="AT59" s="72">
        <v>6660.13</v>
      </c>
      <c r="AU59" s="72">
        <v>62647.53</v>
      </c>
      <c r="AV59" s="72">
        <v>16264</v>
      </c>
      <c r="AW59" s="72">
        <v>22854.01</v>
      </c>
      <c r="AX59" s="72">
        <v>14472.48</v>
      </c>
      <c r="AY59" s="72">
        <v>0</v>
      </c>
      <c r="AZ59" s="72">
        <v>28000</v>
      </c>
      <c r="BA59" s="72">
        <v>0</v>
      </c>
      <c r="BB59" s="72">
        <v>0</v>
      </c>
      <c r="BC59" s="72">
        <v>6745</v>
      </c>
      <c r="BD59" s="72">
        <v>3000</v>
      </c>
      <c r="BE59" s="72">
        <v>28000</v>
      </c>
      <c r="BF59" s="131">
        <v>0</v>
      </c>
      <c r="BG59" s="72">
        <v>32862.620000000003</v>
      </c>
      <c r="BH59" s="72">
        <v>0</v>
      </c>
      <c r="BI59" s="72">
        <v>4565.3999999999996</v>
      </c>
    </row>
    <row r="60" spans="1:61">
      <c r="A60" s="131">
        <v>2044</v>
      </c>
      <c r="B60" s="131" t="s">
        <v>82</v>
      </c>
      <c r="C60" s="132">
        <v>62213</v>
      </c>
      <c r="D60" s="131"/>
      <c r="E60" s="71">
        <v>1</v>
      </c>
      <c r="F60" s="72">
        <v>1106709</v>
      </c>
      <c r="G60" s="72">
        <v>0</v>
      </c>
      <c r="H60" s="72">
        <v>244265</v>
      </c>
      <c r="I60" s="72">
        <v>2244</v>
      </c>
      <c r="J60" s="72">
        <v>33434.339999999997</v>
      </c>
      <c r="K60" s="72">
        <v>7170</v>
      </c>
      <c r="L60" s="72">
        <v>180</v>
      </c>
      <c r="M60" s="72">
        <v>26020.95</v>
      </c>
      <c r="N60" s="72">
        <v>67962.820000000007</v>
      </c>
      <c r="O60" s="72">
        <v>9603.85</v>
      </c>
      <c r="P60" s="72">
        <v>9144.07</v>
      </c>
      <c r="Q60" s="72">
        <v>11927.1</v>
      </c>
      <c r="R60" s="72">
        <v>12081.26</v>
      </c>
      <c r="S60" s="72">
        <v>0</v>
      </c>
      <c r="T60" s="72">
        <v>0</v>
      </c>
      <c r="U60" s="72">
        <v>0</v>
      </c>
      <c r="V60" s="72">
        <v>0</v>
      </c>
      <c r="W60" s="72">
        <v>699896.37</v>
      </c>
      <c r="X60" s="72">
        <v>5852.32</v>
      </c>
      <c r="Y60" s="72">
        <v>282801.2</v>
      </c>
      <c r="Z60" s="72">
        <v>32813.18</v>
      </c>
      <c r="AA60" s="72">
        <v>87196.75</v>
      </c>
      <c r="AB60" s="72">
        <v>0</v>
      </c>
      <c r="AC60" s="72">
        <v>50822.21</v>
      </c>
      <c r="AD60" s="72">
        <v>4623.58</v>
      </c>
      <c r="AE60" s="72">
        <v>1482.97</v>
      </c>
      <c r="AF60" s="72">
        <v>5695.55</v>
      </c>
      <c r="AG60" s="72">
        <v>8039.1</v>
      </c>
      <c r="AH60" s="72">
        <v>51600.17</v>
      </c>
      <c r="AI60" s="72">
        <v>4300.87</v>
      </c>
      <c r="AJ60" s="72">
        <v>23201.26</v>
      </c>
      <c r="AK60" s="72">
        <v>4181.6899999999996</v>
      </c>
      <c r="AL60" s="72">
        <v>25443.279999999999</v>
      </c>
      <c r="AM60" s="72">
        <v>11679</v>
      </c>
      <c r="AN60" s="72">
        <v>8419.8799999999992</v>
      </c>
      <c r="AO60" s="72">
        <v>61544.54</v>
      </c>
      <c r="AP60" s="72">
        <v>17004</v>
      </c>
      <c r="AQ60" s="72">
        <v>0</v>
      </c>
      <c r="AR60" s="72">
        <v>7142.39</v>
      </c>
      <c r="AS60" s="72">
        <v>6076.31</v>
      </c>
      <c r="AT60" s="72">
        <v>421.09</v>
      </c>
      <c r="AU60" s="72">
        <v>59964.23</v>
      </c>
      <c r="AV60" s="72">
        <v>0</v>
      </c>
      <c r="AW60" s="72">
        <v>11276</v>
      </c>
      <c r="AX60" s="72">
        <v>30036.31</v>
      </c>
      <c r="AY60" s="72">
        <v>0</v>
      </c>
      <c r="AZ60" s="72">
        <v>5460</v>
      </c>
      <c r="BA60" s="72">
        <v>0</v>
      </c>
      <c r="BB60" s="72">
        <v>0</v>
      </c>
      <c r="BC60" s="72">
        <v>7363.76</v>
      </c>
      <c r="BD60" s="72">
        <v>0</v>
      </c>
      <c r="BE60" s="72">
        <v>5460</v>
      </c>
      <c r="BF60" s="131">
        <v>0</v>
      </c>
      <c r="BG60" s="72">
        <v>0</v>
      </c>
      <c r="BH60" s="72">
        <v>0</v>
      </c>
      <c r="BI60" s="72">
        <v>12829</v>
      </c>
    </row>
    <row r="61" spans="1:61">
      <c r="A61" s="131">
        <v>2043</v>
      </c>
      <c r="B61" s="131" t="s">
        <v>83</v>
      </c>
      <c r="C61" s="132">
        <v>110946</v>
      </c>
      <c r="D61" s="131"/>
      <c r="E61" s="71">
        <v>0</v>
      </c>
      <c r="F61" s="72">
        <v>1383960</v>
      </c>
      <c r="G61" s="72">
        <v>0</v>
      </c>
      <c r="H61" s="72">
        <v>258997</v>
      </c>
      <c r="I61" s="72">
        <v>3142</v>
      </c>
      <c r="J61" s="72">
        <v>43973.41</v>
      </c>
      <c r="K61" s="72">
        <v>3200</v>
      </c>
      <c r="L61" s="72">
        <v>250</v>
      </c>
      <c r="M61" s="72">
        <v>68098.39</v>
      </c>
      <c r="N61" s="72">
        <v>65852.960000000006</v>
      </c>
      <c r="O61" s="133">
        <f>12243.6-175</f>
        <v>12068.6</v>
      </c>
      <c r="P61" s="133">
        <f>-175+175</f>
        <v>0</v>
      </c>
      <c r="Q61" s="72">
        <v>83832.570000000007</v>
      </c>
      <c r="R61" s="72">
        <v>13122.33</v>
      </c>
      <c r="S61" s="72">
        <v>0</v>
      </c>
      <c r="T61" s="72">
        <v>0</v>
      </c>
      <c r="U61" s="72">
        <v>0</v>
      </c>
      <c r="V61" s="72">
        <v>0</v>
      </c>
      <c r="W61" s="72">
        <v>896473.22</v>
      </c>
      <c r="X61" s="72">
        <v>0</v>
      </c>
      <c r="Y61" s="72">
        <v>289413.90000000002</v>
      </c>
      <c r="Z61" s="72">
        <v>48177.51</v>
      </c>
      <c r="AA61" s="72">
        <v>41202.980000000003</v>
      </c>
      <c r="AB61" s="72">
        <v>0</v>
      </c>
      <c r="AC61" s="72">
        <v>29928.82</v>
      </c>
      <c r="AD61" s="72">
        <v>8788.32</v>
      </c>
      <c r="AE61" s="72">
        <v>5823.69</v>
      </c>
      <c r="AF61" s="72">
        <v>5708.37</v>
      </c>
      <c r="AG61" s="72">
        <v>5445</v>
      </c>
      <c r="AH61" s="72">
        <v>46388.93</v>
      </c>
      <c r="AI61" s="72">
        <v>4450.32</v>
      </c>
      <c r="AJ61" s="72">
        <v>30883.79</v>
      </c>
      <c r="AK61" s="72">
        <v>6453.89</v>
      </c>
      <c r="AL61" s="72">
        <v>32964.93</v>
      </c>
      <c r="AM61" s="72">
        <v>11679</v>
      </c>
      <c r="AN61" s="72">
        <v>8104.34</v>
      </c>
      <c r="AO61" s="72">
        <v>108218.77</v>
      </c>
      <c r="AP61" s="72">
        <v>30196.53</v>
      </c>
      <c r="AQ61" s="72">
        <v>0</v>
      </c>
      <c r="AR61" s="72">
        <v>16430.89</v>
      </c>
      <c r="AS61" s="72">
        <v>9143.08</v>
      </c>
      <c r="AT61" s="72">
        <v>1484.51</v>
      </c>
      <c r="AU61" s="72">
        <v>71023.83</v>
      </c>
      <c r="AV61" s="72">
        <v>27860</v>
      </c>
      <c r="AW61" s="72">
        <v>45256.26</v>
      </c>
      <c r="AX61" s="72">
        <v>52914.39</v>
      </c>
      <c r="AY61" s="72">
        <v>101</v>
      </c>
      <c r="AZ61" s="72">
        <v>10218</v>
      </c>
      <c r="BA61" s="72">
        <v>0</v>
      </c>
      <c r="BB61" s="72">
        <v>0</v>
      </c>
      <c r="BC61" s="72">
        <v>0</v>
      </c>
      <c r="BD61" s="72">
        <v>0</v>
      </c>
      <c r="BE61" s="72">
        <v>10218</v>
      </c>
      <c r="BF61" s="131">
        <v>0</v>
      </c>
      <c r="BG61" s="72">
        <v>0</v>
      </c>
      <c r="BH61" s="72">
        <v>0</v>
      </c>
      <c r="BI61" s="72">
        <v>10218</v>
      </c>
    </row>
    <row r="62" spans="1:61">
      <c r="A62" s="131">
        <v>2045</v>
      </c>
      <c r="B62" s="131" t="s">
        <v>84</v>
      </c>
      <c r="C62" s="132">
        <v>202333</v>
      </c>
      <c r="D62" s="131"/>
      <c r="E62" s="71">
        <v>34574</v>
      </c>
      <c r="F62" s="72">
        <v>1074487</v>
      </c>
      <c r="G62" s="72">
        <v>0</v>
      </c>
      <c r="H62" s="72">
        <v>181147</v>
      </c>
      <c r="I62" s="72">
        <v>5237</v>
      </c>
      <c r="J62" s="72">
        <v>43610</v>
      </c>
      <c r="K62" s="72">
        <v>2270.38</v>
      </c>
      <c r="L62" s="72">
        <v>8813.14</v>
      </c>
      <c r="M62" s="72">
        <v>20226.95</v>
      </c>
      <c r="N62" s="72">
        <v>25501.3</v>
      </c>
      <c r="O62" s="72">
        <v>0</v>
      </c>
      <c r="P62" s="72">
        <v>11025.31</v>
      </c>
      <c r="Q62" s="72">
        <v>17019.53</v>
      </c>
      <c r="R62" s="72">
        <v>1493.65</v>
      </c>
      <c r="S62" s="72">
        <v>0</v>
      </c>
      <c r="T62" s="72">
        <v>0</v>
      </c>
      <c r="U62" s="72">
        <v>0</v>
      </c>
      <c r="V62" s="72">
        <v>0</v>
      </c>
      <c r="W62" s="72">
        <v>637742.93000000005</v>
      </c>
      <c r="X62" s="72">
        <v>5496.28</v>
      </c>
      <c r="Y62" s="72">
        <v>246475.93</v>
      </c>
      <c r="Z62" s="72">
        <v>25428.91</v>
      </c>
      <c r="AA62" s="72">
        <v>41635.629999999997</v>
      </c>
      <c r="AB62" s="72">
        <v>0</v>
      </c>
      <c r="AC62" s="72">
        <v>65681.22</v>
      </c>
      <c r="AD62" s="72">
        <v>5233.2299999999996</v>
      </c>
      <c r="AE62" s="72">
        <v>16075.54</v>
      </c>
      <c r="AF62" s="72">
        <v>11588.32</v>
      </c>
      <c r="AG62" s="72">
        <v>1300</v>
      </c>
      <c r="AH62" s="72">
        <v>33204.559999999998</v>
      </c>
      <c r="AI62" s="72">
        <v>2183.9499999999998</v>
      </c>
      <c r="AJ62" s="72">
        <v>15743.26</v>
      </c>
      <c r="AK62" s="72">
        <v>2944.18</v>
      </c>
      <c r="AL62" s="72">
        <v>3887.48</v>
      </c>
      <c r="AM62" s="72">
        <v>16831.5</v>
      </c>
      <c r="AN62" s="72">
        <v>5048.93</v>
      </c>
      <c r="AO62" s="72">
        <v>59922</v>
      </c>
      <c r="AP62" s="72">
        <v>25746.19</v>
      </c>
      <c r="AQ62" s="72">
        <v>0</v>
      </c>
      <c r="AR62" s="72">
        <v>5926.7</v>
      </c>
      <c r="AS62" s="72">
        <v>7967</v>
      </c>
      <c r="AT62" s="72">
        <v>11597.22</v>
      </c>
      <c r="AU62" s="72">
        <v>41392.5</v>
      </c>
      <c r="AV62" s="72">
        <v>24376.03</v>
      </c>
      <c r="AW62" s="72">
        <v>14308.84</v>
      </c>
      <c r="AX62" s="72">
        <v>37654</v>
      </c>
      <c r="AY62" s="72">
        <v>0</v>
      </c>
      <c r="AZ62" s="72">
        <v>0</v>
      </c>
      <c r="BA62" s="72">
        <v>0</v>
      </c>
      <c r="BB62" s="72">
        <v>0</v>
      </c>
      <c r="BC62" s="72">
        <v>6713.52</v>
      </c>
      <c r="BD62" s="72">
        <v>0</v>
      </c>
      <c r="BE62" s="72">
        <v>0</v>
      </c>
      <c r="BF62" s="131">
        <v>0</v>
      </c>
      <c r="BG62" s="72">
        <v>16228</v>
      </c>
      <c r="BH62" s="72">
        <v>0</v>
      </c>
      <c r="BI62" s="72">
        <v>0</v>
      </c>
    </row>
    <row r="63" spans="1:61">
      <c r="A63" s="131">
        <v>2077</v>
      </c>
      <c r="B63" s="131" t="s">
        <v>85</v>
      </c>
      <c r="C63" s="132">
        <v>320468</v>
      </c>
      <c r="D63" s="131"/>
      <c r="E63" s="71">
        <v>-1</v>
      </c>
      <c r="F63" s="72">
        <v>1918932</v>
      </c>
      <c r="G63" s="72">
        <v>0</v>
      </c>
      <c r="H63" s="72">
        <v>587767</v>
      </c>
      <c r="I63" s="72">
        <v>34190</v>
      </c>
      <c r="J63" s="72">
        <v>157463.25</v>
      </c>
      <c r="K63" s="72">
        <v>2600</v>
      </c>
      <c r="L63" s="72">
        <v>11877.5</v>
      </c>
      <c r="M63" s="72">
        <v>12170.22</v>
      </c>
      <c r="N63" s="72">
        <v>43362.14</v>
      </c>
      <c r="O63" s="72">
        <v>10270</v>
      </c>
      <c r="P63" s="72">
        <v>310.27999999999997</v>
      </c>
      <c r="Q63" s="72">
        <v>12733.24</v>
      </c>
      <c r="R63" s="72">
        <v>1497.35</v>
      </c>
      <c r="S63" s="72">
        <v>0</v>
      </c>
      <c r="T63" s="72">
        <v>0</v>
      </c>
      <c r="U63" s="72">
        <v>0</v>
      </c>
      <c r="V63" s="72">
        <v>0</v>
      </c>
      <c r="W63" s="72">
        <v>1089380.3700000001</v>
      </c>
      <c r="X63" s="72">
        <v>0</v>
      </c>
      <c r="Y63" s="72">
        <v>587765.31000000006</v>
      </c>
      <c r="Z63" s="72">
        <v>32833.39</v>
      </c>
      <c r="AA63" s="72">
        <v>47829.919999999998</v>
      </c>
      <c r="AB63" s="72">
        <v>0</v>
      </c>
      <c r="AC63" s="72">
        <v>61499.4</v>
      </c>
      <c r="AD63" s="72">
        <v>17168.25</v>
      </c>
      <c r="AE63" s="72">
        <v>11178.37</v>
      </c>
      <c r="AF63" s="72">
        <v>19489.73</v>
      </c>
      <c r="AG63" s="72">
        <v>7438</v>
      </c>
      <c r="AH63" s="72">
        <v>23170.080000000002</v>
      </c>
      <c r="AI63" s="72">
        <v>5839.24</v>
      </c>
      <c r="AJ63" s="72">
        <v>32563.91</v>
      </c>
      <c r="AK63" s="72">
        <v>5750.13</v>
      </c>
      <c r="AL63" s="72">
        <v>24644.26</v>
      </c>
      <c r="AM63" s="72">
        <v>23587</v>
      </c>
      <c r="AN63" s="72">
        <v>10351.620000000001</v>
      </c>
      <c r="AO63" s="72">
        <v>128381.77</v>
      </c>
      <c r="AP63" s="72">
        <v>30772.16</v>
      </c>
      <c r="AQ63" s="72">
        <v>0</v>
      </c>
      <c r="AR63" s="72">
        <v>36508.78</v>
      </c>
      <c r="AS63" s="72">
        <v>5500</v>
      </c>
      <c r="AT63" s="72">
        <v>28362.7</v>
      </c>
      <c r="AU63" s="72">
        <v>105776.1</v>
      </c>
      <c r="AV63" s="72">
        <v>151929.5</v>
      </c>
      <c r="AW63" s="72">
        <v>134962.31</v>
      </c>
      <c r="AX63" s="72">
        <v>71771.679999999993</v>
      </c>
      <c r="AY63" s="72">
        <v>0</v>
      </c>
      <c r="AZ63" s="72">
        <v>32637</v>
      </c>
      <c r="BA63" s="72">
        <v>0</v>
      </c>
      <c r="BB63" s="72">
        <v>0</v>
      </c>
      <c r="BC63" s="72">
        <v>9348.24</v>
      </c>
      <c r="BD63" s="72">
        <v>0</v>
      </c>
      <c r="BE63" s="72">
        <v>32637</v>
      </c>
      <c r="BF63" s="131">
        <v>0</v>
      </c>
      <c r="BG63" s="72">
        <v>29197.8</v>
      </c>
      <c r="BH63" s="72">
        <v>0</v>
      </c>
      <c r="BI63" s="72">
        <v>17432</v>
      </c>
    </row>
    <row r="64" spans="1:61">
      <c r="A64" s="131">
        <v>5201</v>
      </c>
      <c r="B64" s="131" t="s">
        <v>86</v>
      </c>
      <c r="C64" s="132">
        <v>171579</v>
      </c>
      <c r="D64" s="131"/>
      <c r="E64" s="71">
        <v>20737</v>
      </c>
      <c r="F64" s="72">
        <v>1480887</v>
      </c>
      <c r="G64" s="72">
        <v>0</v>
      </c>
      <c r="H64" s="72">
        <v>208192</v>
      </c>
      <c r="I64" s="72">
        <v>3441</v>
      </c>
      <c r="J64" s="72">
        <v>39449</v>
      </c>
      <c r="K64" s="72">
        <v>19150</v>
      </c>
      <c r="L64" s="72">
        <v>0</v>
      </c>
      <c r="M64" s="72">
        <v>36181.97</v>
      </c>
      <c r="N64" s="72">
        <v>107138.89</v>
      </c>
      <c r="O64" s="72">
        <v>9576</v>
      </c>
      <c r="P64" s="72">
        <v>424.67</v>
      </c>
      <c r="Q64" s="72">
        <v>36293.300000000003</v>
      </c>
      <c r="R64" s="72">
        <v>111099.78</v>
      </c>
      <c r="S64" s="72">
        <v>0</v>
      </c>
      <c r="T64" s="72">
        <v>0</v>
      </c>
      <c r="U64" s="72">
        <v>0</v>
      </c>
      <c r="V64" s="72">
        <v>0</v>
      </c>
      <c r="W64" s="72">
        <v>1007183.67</v>
      </c>
      <c r="X64" s="72">
        <v>16225.71</v>
      </c>
      <c r="Y64" s="72">
        <v>266879.42</v>
      </c>
      <c r="Z64" s="72">
        <v>56081.279999999999</v>
      </c>
      <c r="AA64" s="72">
        <v>137623.84</v>
      </c>
      <c r="AB64" s="72">
        <v>68844.66</v>
      </c>
      <c r="AC64" s="72">
        <v>89536.09</v>
      </c>
      <c r="AD64" s="72">
        <v>7189.42</v>
      </c>
      <c r="AE64" s="72">
        <v>8340.44</v>
      </c>
      <c r="AF64" s="133">
        <f>-3248.21+3248.21</f>
        <v>0</v>
      </c>
      <c r="AG64" s="133">
        <f>18741.1-3248.21</f>
        <v>15492.89</v>
      </c>
      <c r="AH64" s="72">
        <v>30285.66</v>
      </c>
      <c r="AI64" s="72">
        <v>4013</v>
      </c>
      <c r="AJ64" s="72">
        <v>3831.28</v>
      </c>
      <c r="AK64" s="72">
        <v>7388.45</v>
      </c>
      <c r="AL64" s="72">
        <v>29854.65</v>
      </c>
      <c r="AM64" s="72">
        <v>0</v>
      </c>
      <c r="AN64" s="72">
        <v>13445.22</v>
      </c>
      <c r="AO64" s="72">
        <v>138132.32999999999</v>
      </c>
      <c r="AP64" s="72">
        <v>16473.77</v>
      </c>
      <c r="AQ64" s="72">
        <v>0</v>
      </c>
      <c r="AR64" s="72">
        <v>6726.78</v>
      </c>
      <c r="AS64" s="72">
        <v>9889.69</v>
      </c>
      <c r="AT64" s="72">
        <v>6168.4</v>
      </c>
      <c r="AU64" s="72">
        <v>79214.149999999994</v>
      </c>
      <c r="AV64" s="72">
        <v>33796.49</v>
      </c>
      <c r="AW64" s="72">
        <v>2614.56</v>
      </c>
      <c r="AX64" s="72">
        <v>11669.75</v>
      </c>
      <c r="AY64" s="72">
        <v>0</v>
      </c>
      <c r="AZ64" s="72">
        <v>8121</v>
      </c>
      <c r="BA64" s="72">
        <v>0</v>
      </c>
      <c r="BB64" s="72">
        <v>0</v>
      </c>
      <c r="BC64" s="72">
        <v>8714.2000000000007</v>
      </c>
      <c r="BD64" s="72">
        <v>0</v>
      </c>
      <c r="BE64" s="72">
        <v>0</v>
      </c>
      <c r="BF64" s="131">
        <v>0</v>
      </c>
      <c r="BG64" s="72">
        <v>0</v>
      </c>
      <c r="BH64" s="72">
        <v>8051</v>
      </c>
      <c r="BI64" s="72">
        <v>16021.93</v>
      </c>
    </row>
    <row r="65" spans="1:61">
      <c r="A65" s="131">
        <v>3501</v>
      </c>
      <c r="B65" s="131" t="s">
        <v>87</v>
      </c>
      <c r="C65" s="132">
        <v>73769</v>
      </c>
      <c r="D65" s="131"/>
      <c r="E65" s="71">
        <v>1</v>
      </c>
      <c r="F65" s="72">
        <v>897754</v>
      </c>
      <c r="G65" s="72">
        <v>0</v>
      </c>
      <c r="H65" s="72">
        <v>136786</v>
      </c>
      <c r="I65" s="72">
        <v>7107</v>
      </c>
      <c r="J65" s="72">
        <v>29021.41</v>
      </c>
      <c r="K65" s="72">
        <v>4552</v>
      </c>
      <c r="L65" s="72">
        <v>33056.43</v>
      </c>
      <c r="M65" s="72">
        <v>22147.5</v>
      </c>
      <c r="N65" s="72">
        <v>37354.25</v>
      </c>
      <c r="O65" s="72">
        <v>5130</v>
      </c>
      <c r="P65" s="72">
        <v>71.19</v>
      </c>
      <c r="Q65" s="72">
        <v>33620.47</v>
      </c>
      <c r="R65" s="72">
        <v>8068.24</v>
      </c>
      <c r="S65" s="72">
        <v>0</v>
      </c>
      <c r="T65" s="72">
        <v>0</v>
      </c>
      <c r="U65" s="72">
        <v>0</v>
      </c>
      <c r="V65" s="72">
        <v>0</v>
      </c>
      <c r="W65" s="72">
        <v>545077.5</v>
      </c>
      <c r="X65" s="72">
        <v>0</v>
      </c>
      <c r="Y65" s="72">
        <v>184796.47</v>
      </c>
      <c r="Z65" s="72">
        <v>44089.17</v>
      </c>
      <c r="AA65" s="72">
        <v>45213.43</v>
      </c>
      <c r="AB65" s="72">
        <v>0</v>
      </c>
      <c r="AC65" s="72">
        <v>12859.95</v>
      </c>
      <c r="AD65" s="72">
        <v>11647.92</v>
      </c>
      <c r="AE65" s="72">
        <v>9177.19</v>
      </c>
      <c r="AF65" s="72">
        <v>7142.92</v>
      </c>
      <c r="AG65" s="72">
        <v>1500.38</v>
      </c>
      <c r="AH65" s="72">
        <v>13160.68</v>
      </c>
      <c r="AI65" s="72">
        <v>145</v>
      </c>
      <c r="AJ65" s="72">
        <v>3155.47</v>
      </c>
      <c r="AK65" s="72">
        <v>1286.1400000000001</v>
      </c>
      <c r="AL65" s="72">
        <v>13720.28</v>
      </c>
      <c r="AM65" s="72">
        <v>0</v>
      </c>
      <c r="AN65" s="72">
        <v>8257.19</v>
      </c>
      <c r="AO65" s="72">
        <v>58053.5</v>
      </c>
      <c r="AP65" s="72">
        <v>16602.169999999998</v>
      </c>
      <c r="AQ65" s="72">
        <v>0</v>
      </c>
      <c r="AR65" s="72">
        <v>15610.26</v>
      </c>
      <c r="AS65" s="72">
        <v>2458.12</v>
      </c>
      <c r="AT65" s="72">
        <v>4498.9799999999996</v>
      </c>
      <c r="AU65" s="72">
        <v>48756.9</v>
      </c>
      <c r="AV65" s="72">
        <v>20250</v>
      </c>
      <c r="AW65" s="72">
        <v>50408.95</v>
      </c>
      <c r="AX65" s="72">
        <v>28885.87</v>
      </c>
      <c r="AY65" s="72">
        <v>0</v>
      </c>
      <c r="AZ65" s="72">
        <v>80035.37</v>
      </c>
      <c r="BA65" s="72">
        <v>0</v>
      </c>
      <c r="BB65" s="72">
        <v>0</v>
      </c>
      <c r="BC65" s="72">
        <v>0</v>
      </c>
      <c r="BD65" s="72">
        <v>0</v>
      </c>
      <c r="BE65" s="72">
        <v>80035.37</v>
      </c>
      <c r="BF65" s="131">
        <v>0</v>
      </c>
      <c r="BG65" s="72">
        <v>74122.37</v>
      </c>
      <c r="BH65" s="72">
        <v>0</v>
      </c>
      <c r="BI65" s="72">
        <v>5912.6</v>
      </c>
    </row>
    <row r="66" spans="1:61">
      <c r="A66" s="131">
        <v>2078</v>
      </c>
      <c r="B66" s="131" t="s">
        <v>88</v>
      </c>
      <c r="C66" s="132">
        <v>-70632</v>
      </c>
      <c r="D66" s="131"/>
      <c r="E66" s="71">
        <v>0</v>
      </c>
      <c r="F66" s="72">
        <v>778893</v>
      </c>
      <c r="G66" s="72">
        <v>0</v>
      </c>
      <c r="H66" s="72">
        <v>62679</v>
      </c>
      <c r="I66" s="72">
        <v>0</v>
      </c>
      <c r="J66" s="72">
        <v>16198</v>
      </c>
      <c r="K66" s="72">
        <v>2700</v>
      </c>
      <c r="L66" s="72">
        <v>130.38999999999999</v>
      </c>
      <c r="M66" s="72">
        <v>7430.1</v>
      </c>
      <c r="N66" s="72">
        <v>13642.28</v>
      </c>
      <c r="O66" s="72">
        <v>19015.2</v>
      </c>
      <c r="P66" s="72">
        <v>0</v>
      </c>
      <c r="Q66" s="72">
        <v>8571.5</v>
      </c>
      <c r="R66" s="72">
        <v>85122</v>
      </c>
      <c r="S66" s="72">
        <v>0</v>
      </c>
      <c r="T66" s="72">
        <v>0</v>
      </c>
      <c r="U66" s="72">
        <v>0</v>
      </c>
      <c r="V66" s="72">
        <v>0</v>
      </c>
      <c r="W66" s="72">
        <v>363033.97</v>
      </c>
      <c r="X66" s="72">
        <v>0</v>
      </c>
      <c r="Y66" s="72">
        <v>142330.29999999999</v>
      </c>
      <c r="Z66" s="72">
        <v>19232.16</v>
      </c>
      <c r="AA66" s="72">
        <v>28717.32</v>
      </c>
      <c r="AB66" s="72">
        <v>0</v>
      </c>
      <c r="AC66" s="72">
        <v>13848.54</v>
      </c>
      <c r="AD66" s="72">
        <v>9659.4699999999993</v>
      </c>
      <c r="AE66" s="72">
        <v>4451.3599999999997</v>
      </c>
      <c r="AF66" s="72">
        <v>4868.1000000000004</v>
      </c>
      <c r="AG66" s="72">
        <v>0</v>
      </c>
      <c r="AH66" s="72">
        <v>15430.98</v>
      </c>
      <c r="AI66" s="72">
        <v>0</v>
      </c>
      <c r="AJ66" s="72">
        <v>26038.9</v>
      </c>
      <c r="AK66" s="72">
        <v>2692.52</v>
      </c>
      <c r="AL66" s="72">
        <v>23762.45</v>
      </c>
      <c r="AM66" s="72">
        <v>0</v>
      </c>
      <c r="AN66" s="72">
        <v>31074.3</v>
      </c>
      <c r="AO66" s="72">
        <v>46649.68</v>
      </c>
      <c r="AP66" s="72">
        <v>10536.27</v>
      </c>
      <c r="AQ66" s="72">
        <v>0</v>
      </c>
      <c r="AR66" s="72">
        <v>7521.78</v>
      </c>
      <c r="AS66" s="72">
        <v>0</v>
      </c>
      <c r="AT66" s="72">
        <v>3917.67</v>
      </c>
      <c r="AU66" s="72">
        <v>24498.97</v>
      </c>
      <c r="AV66" s="72">
        <v>67650</v>
      </c>
      <c r="AW66" s="72">
        <v>32917.1</v>
      </c>
      <c r="AX66" s="72">
        <v>34025.03</v>
      </c>
      <c r="AY66" s="72">
        <v>0</v>
      </c>
      <c r="AZ66" s="72">
        <v>0</v>
      </c>
      <c r="BA66" s="72">
        <v>0</v>
      </c>
      <c r="BB66" s="72">
        <v>0</v>
      </c>
      <c r="BC66" s="72">
        <v>0</v>
      </c>
      <c r="BD66" s="72">
        <v>0</v>
      </c>
      <c r="BE66" s="72">
        <v>0</v>
      </c>
      <c r="BF66" s="131">
        <v>0</v>
      </c>
      <c r="BG66" s="72">
        <v>0</v>
      </c>
      <c r="BH66" s="72">
        <v>0</v>
      </c>
      <c r="BI66" s="72">
        <v>0</v>
      </c>
    </row>
    <row r="67" spans="1:61">
      <c r="A67" s="131">
        <v>2000</v>
      </c>
      <c r="B67" s="131" t="s">
        <v>89</v>
      </c>
      <c r="C67" s="132">
        <v>41684</v>
      </c>
      <c r="D67" s="131"/>
      <c r="E67" s="71">
        <v>0</v>
      </c>
      <c r="F67" s="72">
        <v>1463030</v>
      </c>
      <c r="G67" s="72">
        <v>0</v>
      </c>
      <c r="H67" s="72">
        <v>209805</v>
      </c>
      <c r="I67" s="72">
        <v>5611</v>
      </c>
      <c r="J67" s="72">
        <v>67595.5</v>
      </c>
      <c r="K67" s="72">
        <v>39023</v>
      </c>
      <c r="L67" s="72">
        <v>6196</v>
      </c>
      <c r="M67" s="72">
        <v>2747.48</v>
      </c>
      <c r="N67" s="72">
        <v>48705.11</v>
      </c>
      <c r="O67" s="72">
        <v>36146.49</v>
      </c>
      <c r="P67" s="72">
        <v>4968.38</v>
      </c>
      <c r="Q67" s="72">
        <v>10854.45</v>
      </c>
      <c r="R67" s="72">
        <v>4081.56</v>
      </c>
      <c r="S67" s="72">
        <v>0</v>
      </c>
      <c r="T67" s="72">
        <v>478632.98</v>
      </c>
      <c r="U67" s="72">
        <v>318689.78000000003</v>
      </c>
      <c r="V67" s="72">
        <v>0</v>
      </c>
      <c r="W67" s="72">
        <v>830245.15</v>
      </c>
      <c r="X67" s="72">
        <v>0</v>
      </c>
      <c r="Y67" s="72">
        <v>324942.93</v>
      </c>
      <c r="Z67" s="72">
        <v>31923.95</v>
      </c>
      <c r="AA67" s="72">
        <v>102841.33</v>
      </c>
      <c r="AB67" s="72">
        <v>0</v>
      </c>
      <c r="AC67" s="72">
        <v>26742.9</v>
      </c>
      <c r="AD67" s="72">
        <v>16019.17</v>
      </c>
      <c r="AE67" s="72">
        <v>17163.61</v>
      </c>
      <c r="AF67" s="72">
        <v>11896.76</v>
      </c>
      <c r="AG67" s="72">
        <v>900</v>
      </c>
      <c r="AH67" s="72">
        <v>35463.71</v>
      </c>
      <c r="AI67" s="72">
        <v>3402.95</v>
      </c>
      <c r="AJ67" s="72">
        <v>25916.91</v>
      </c>
      <c r="AK67" s="72">
        <v>4676.84</v>
      </c>
      <c r="AL67" s="72">
        <v>18845.55</v>
      </c>
      <c r="AM67" s="72">
        <v>56882</v>
      </c>
      <c r="AN67" s="72">
        <v>8340.74</v>
      </c>
      <c r="AO67" s="72">
        <v>55628.46</v>
      </c>
      <c r="AP67" s="72">
        <v>24975.88</v>
      </c>
      <c r="AQ67" s="72">
        <v>0</v>
      </c>
      <c r="AR67" s="72">
        <v>5273.75</v>
      </c>
      <c r="AS67" s="72">
        <v>7800</v>
      </c>
      <c r="AT67" s="72">
        <v>2555.69</v>
      </c>
      <c r="AU67" s="72">
        <v>66357.960000000006</v>
      </c>
      <c r="AV67" s="72">
        <v>117845.4</v>
      </c>
      <c r="AW67" s="72">
        <v>48725.48</v>
      </c>
      <c r="AX67" s="72">
        <v>21171.85</v>
      </c>
      <c r="AY67" s="72">
        <v>0</v>
      </c>
      <c r="AZ67" s="72">
        <v>5375</v>
      </c>
      <c r="BA67" s="72">
        <v>662900.39</v>
      </c>
      <c r="BB67" s="72">
        <v>134422.03</v>
      </c>
      <c r="BC67" s="72">
        <v>19377</v>
      </c>
      <c r="BD67" s="72">
        <v>0</v>
      </c>
      <c r="BE67" s="72">
        <v>5375</v>
      </c>
      <c r="BF67" s="131">
        <v>0</v>
      </c>
      <c r="BG67" s="72">
        <v>0</v>
      </c>
      <c r="BH67" s="72">
        <v>5375</v>
      </c>
      <c r="BI67" s="72">
        <v>19377.14</v>
      </c>
    </row>
    <row r="68" spans="1:61">
      <c r="A68" s="131">
        <v>2071</v>
      </c>
      <c r="B68" s="131" t="s">
        <v>90</v>
      </c>
      <c r="C68" s="132">
        <v>44877</v>
      </c>
      <c r="D68" s="131"/>
      <c r="E68" s="71">
        <v>0</v>
      </c>
      <c r="F68" s="72">
        <v>1254742</v>
      </c>
      <c r="G68" s="72">
        <v>0</v>
      </c>
      <c r="H68" s="72">
        <v>356826</v>
      </c>
      <c r="I68" s="72">
        <v>8529</v>
      </c>
      <c r="J68" s="72">
        <v>69030</v>
      </c>
      <c r="K68" s="72">
        <v>9666</v>
      </c>
      <c r="L68" s="72">
        <v>12165</v>
      </c>
      <c r="M68" s="72">
        <v>39665.06</v>
      </c>
      <c r="N68" s="72">
        <v>37874.18</v>
      </c>
      <c r="O68" s="72">
        <v>21443.4</v>
      </c>
      <c r="P68" s="72">
        <v>602.45000000000005</v>
      </c>
      <c r="Q68" s="72">
        <v>8047.71</v>
      </c>
      <c r="R68" s="72">
        <v>3869.12</v>
      </c>
      <c r="S68" s="72">
        <v>0</v>
      </c>
      <c r="T68" s="72">
        <v>0</v>
      </c>
      <c r="U68" s="72">
        <v>0</v>
      </c>
      <c r="V68" s="72">
        <v>0</v>
      </c>
      <c r="W68" s="72">
        <v>589775.37</v>
      </c>
      <c r="X68" s="72">
        <v>0</v>
      </c>
      <c r="Y68" s="72">
        <v>587736.6</v>
      </c>
      <c r="Z68" s="72">
        <v>24150.91</v>
      </c>
      <c r="AA68" s="72">
        <v>97776.33</v>
      </c>
      <c r="AB68" s="72">
        <v>0</v>
      </c>
      <c r="AC68" s="72">
        <v>10559.72</v>
      </c>
      <c r="AD68" s="72">
        <v>9602.17</v>
      </c>
      <c r="AE68" s="72">
        <v>13233.06</v>
      </c>
      <c r="AF68" s="72">
        <v>5156.6400000000003</v>
      </c>
      <c r="AG68" s="72">
        <v>9892.5</v>
      </c>
      <c r="AH68" s="72">
        <v>34973.49</v>
      </c>
      <c r="AI68" s="72">
        <v>11100.06</v>
      </c>
      <c r="AJ68" s="72">
        <v>33619.910000000003</v>
      </c>
      <c r="AK68" s="72">
        <v>5679.4</v>
      </c>
      <c r="AL68" s="72">
        <v>20682.25</v>
      </c>
      <c r="AM68" s="72">
        <v>18091</v>
      </c>
      <c r="AN68" s="72">
        <v>4706.21</v>
      </c>
      <c r="AO68" s="72">
        <v>70103.14</v>
      </c>
      <c r="AP68" s="72">
        <v>22940.41</v>
      </c>
      <c r="AQ68" s="72">
        <v>0</v>
      </c>
      <c r="AR68" s="72">
        <v>14742.46</v>
      </c>
      <c r="AS68" s="72">
        <v>3757</v>
      </c>
      <c r="AT68" s="72">
        <v>7234.47</v>
      </c>
      <c r="AU68" s="72">
        <v>65255.35</v>
      </c>
      <c r="AV68" s="72">
        <v>42909.45</v>
      </c>
      <c r="AW68" s="72">
        <v>51448.2</v>
      </c>
      <c r="AX68" s="72">
        <v>13716.65</v>
      </c>
      <c r="AY68" s="72">
        <v>0</v>
      </c>
      <c r="AZ68" s="72">
        <v>15369</v>
      </c>
      <c r="BA68" s="72">
        <v>0</v>
      </c>
      <c r="BB68" s="72">
        <v>0</v>
      </c>
      <c r="BC68" s="72">
        <v>7462.76</v>
      </c>
      <c r="BD68" s="72">
        <v>0</v>
      </c>
      <c r="BE68" s="72">
        <v>15369</v>
      </c>
      <c r="BF68" s="131">
        <v>0</v>
      </c>
      <c r="BG68" s="72">
        <v>19395.2</v>
      </c>
      <c r="BH68" s="72">
        <v>0</v>
      </c>
      <c r="BI68" s="72">
        <v>0</v>
      </c>
    </row>
    <row r="69" spans="1:61">
      <c r="A69" s="131">
        <v>2072</v>
      </c>
      <c r="B69" s="131" t="s">
        <v>91</v>
      </c>
      <c r="C69" s="132">
        <v>99855</v>
      </c>
      <c r="D69" s="131"/>
      <c r="E69" s="71">
        <v>1</v>
      </c>
      <c r="F69" s="72">
        <v>1117256</v>
      </c>
      <c r="G69" s="72">
        <v>0</v>
      </c>
      <c r="H69" s="72">
        <v>344573</v>
      </c>
      <c r="I69" s="72">
        <v>10474</v>
      </c>
      <c r="J69" s="72">
        <v>98003.5</v>
      </c>
      <c r="K69" s="72">
        <v>52300</v>
      </c>
      <c r="L69" s="72">
        <v>22257</v>
      </c>
      <c r="M69" s="72">
        <v>576.85</v>
      </c>
      <c r="N69" s="72">
        <v>29530.97</v>
      </c>
      <c r="O69" s="72">
        <v>1539</v>
      </c>
      <c r="P69" s="72">
        <v>1200</v>
      </c>
      <c r="Q69" s="72">
        <v>37771.85</v>
      </c>
      <c r="R69" s="72">
        <v>1357.22</v>
      </c>
      <c r="S69" s="72">
        <v>0</v>
      </c>
      <c r="T69" s="72">
        <v>0</v>
      </c>
      <c r="U69" s="72">
        <v>0</v>
      </c>
      <c r="V69" s="72">
        <v>0</v>
      </c>
      <c r="W69" s="72">
        <v>796569.57</v>
      </c>
      <c r="X69" s="72">
        <v>0</v>
      </c>
      <c r="Y69" s="72">
        <v>464306.16</v>
      </c>
      <c r="Z69" s="72">
        <v>25237.17</v>
      </c>
      <c r="AA69" s="72">
        <v>56387.33</v>
      </c>
      <c r="AB69" s="72">
        <v>0</v>
      </c>
      <c r="AC69" s="72">
        <v>22374.63</v>
      </c>
      <c r="AD69" s="72">
        <v>9328.0300000000007</v>
      </c>
      <c r="AE69" s="72">
        <v>9672.18</v>
      </c>
      <c r="AF69" s="72">
        <v>7053.08</v>
      </c>
      <c r="AG69" s="72">
        <v>8626.7000000000007</v>
      </c>
      <c r="AH69" s="72">
        <v>23949.77</v>
      </c>
      <c r="AI69" s="72">
        <v>6169.62</v>
      </c>
      <c r="AJ69" s="72">
        <v>21113.42</v>
      </c>
      <c r="AK69" s="72">
        <v>4312.22</v>
      </c>
      <c r="AL69" s="72">
        <v>3368.8</v>
      </c>
      <c r="AM69" s="72">
        <v>10012.5</v>
      </c>
      <c r="AN69" s="72">
        <v>9564.61</v>
      </c>
      <c r="AO69" s="72">
        <v>86579.34</v>
      </c>
      <c r="AP69" s="72">
        <v>17939.240000000002</v>
      </c>
      <c r="AQ69" s="72">
        <v>0</v>
      </c>
      <c r="AR69" s="72">
        <v>7672.44</v>
      </c>
      <c r="AS69" s="72">
        <v>3810</v>
      </c>
      <c r="AT69" s="72">
        <v>0</v>
      </c>
      <c r="AU69" s="72">
        <v>66652.28</v>
      </c>
      <c r="AV69" s="72">
        <v>3653</v>
      </c>
      <c r="AW69" s="72">
        <v>36741.68</v>
      </c>
      <c r="AX69" s="72">
        <v>37496.36</v>
      </c>
      <c r="AY69" s="72">
        <v>0</v>
      </c>
      <c r="AZ69" s="72">
        <v>16590</v>
      </c>
      <c r="BA69" s="72">
        <v>0</v>
      </c>
      <c r="BB69" s="72">
        <v>0</v>
      </c>
      <c r="BC69" s="72">
        <v>7363.76</v>
      </c>
      <c r="BD69" s="72">
        <v>0</v>
      </c>
      <c r="BE69" s="72">
        <v>16590</v>
      </c>
      <c r="BF69" s="131">
        <v>0</v>
      </c>
      <c r="BG69" s="72">
        <v>11303.85</v>
      </c>
      <c r="BH69" s="72">
        <v>0</v>
      </c>
      <c r="BI69" s="72">
        <v>12649.73</v>
      </c>
    </row>
    <row r="70" spans="1:61">
      <c r="A70" s="131">
        <v>3512</v>
      </c>
      <c r="B70" s="131" t="s">
        <v>92</v>
      </c>
      <c r="C70" s="132">
        <v>133615</v>
      </c>
      <c r="D70" s="131"/>
      <c r="E70" s="71">
        <v>0</v>
      </c>
      <c r="F70" s="72">
        <v>1715966</v>
      </c>
      <c r="G70" s="72">
        <v>0</v>
      </c>
      <c r="H70" s="72">
        <v>173704</v>
      </c>
      <c r="I70" s="72">
        <v>0</v>
      </c>
      <c r="J70" s="72">
        <v>9345</v>
      </c>
      <c r="K70" s="72">
        <v>10407</v>
      </c>
      <c r="L70" s="72">
        <v>0</v>
      </c>
      <c r="M70" s="72">
        <v>14751.57</v>
      </c>
      <c r="N70" s="72">
        <v>0</v>
      </c>
      <c r="O70" s="72">
        <v>21912.87</v>
      </c>
      <c r="P70" s="72">
        <v>3867.5</v>
      </c>
      <c r="Q70" s="72">
        <v>15473.89</v>
      </c>
      <c r="R70" s="72">
        <v>0</v>
      </c>
      <c r="S70" s="72">
        <v>0</v>
      </c>
      <c r="T70" s="72">
        <v>0</v>
      </c>
      <c r="U70" s="72">
        <v>0</v>
      </c>
      <c r="V70" s="72">
        <v>0</v>
      </c>
      <c r="W70" s="72">
        <v>1066741.33</v>
      </c>
      <c r="X70" s="72">
        <v>9914.92</v>
      </c>
      <c r="Y70" s="72">
        <v>396283.99</v>
      </c>
      <c r="Z70" s="72">
        <v>36509.94</v>
      </c>
      <c r="AA70" s="72">
        <v>68012.41</v>
      </c>
      <c r="AB70" s="133">
        <f>-568+568</f>
        <v>0</v>
      </c>
      <c r="AC70" s="133">
        <f>46897.69-568</f>
        <v>46329.69</v>
      </c>
      <c r="AD70" s="72">
        <v>3685.57</v>
      </c>
      <c r="AE70" s="72">
        <v>27126.46</v>
      </c>
      <c r="AF70" s="133">
        <f>18421.32-600</f>
        <v>17821.32</v>
      </c>
      <c r="AG70" s="133">
        <f>-600+600</f>
        <v>0</v>
      </c>
      <c r="AH70" s="72">
        <v>34140.53</v>
      </c>
      <c r="AI70" s="72">
        <v>3124.64</v>
      </c>
      <c r="AJ70" s="72">
        <v>28930.73</v>
      </c>
      <c r="AK70" s="72">
        <v>3245.93</v>
      </c>
      <c r="AL70" s="72">
        <v>37887.379999999997</v>
      </c>
      <c r="AM70" s="72">
        <v>0</v>
      </c>
      <c r="AN70" s="72">
        <v>11313.59</v>
      </c>
      <c r="AO70" s="72">
        <v>49946.57</v>
      </c>
      <c r="AP70" s="72">
        <v>16781.689999999999</v>
      </c>
      <c r="AQ70" s="72">
        <v>0</v>
      </c>
      <c r="AR70" s="72">
        <v>8621.7900000000009</v>
      </c>
      <c r="AS70" s="72">
        <v>12299.78</v>
      </c>
      <c r="AT70" s="72">
        <v>10074.5</v>
      </c>
      <c r="AU70" s="72">
        <v>3888</v>
      </c>
      <c r="AV70" s="72">
        <v>0</v>
      </c>
      <c r="AW70" s="72">
        <v>21312.2</v>
      </c>
      <c r="AX70" s="72">
        <v>33097.9</v>
      </c>
      <c r="AY70" s="72">
        <v>0</v>
      </c>
      <c r="AZ70" s="72">
        <v>0</v>
      </c>
      <c r="BA70" s="72">
        <v>0</v>
      </c>
      <c r="BB70" s="72">
        <v>0</v>
      </c>
      <c r="BC70" s="72">
        <v>0</v>
      </c>
      <c r="BD70" s="72">
        <v>0</v>
      </c>
      <c r="BE70" s="72">
        <v>0</v>
      </c>
      <c r="BF70" s="131">
        <v>0</v>
      </c>
      <c r="BG70" s="72">
        <v>0</v>
      </c>
      <c r="BH70" s="72">
        <v>0</v>
      </c>
      <c r="BI70" s="72">
        <v>0</v>
      </c>
    </row>
    <row r="71" spans="1:61">
      <c r="A71" s="131">
        <v>3510</v>
      </c>
      <c r="B71" s="131" t="s">
        <v>93</v>
      </c>
      <c r="C71" s="132">
        <v>95943</v>
      </c>
      <c r="D71" s="131"/>
      <c r="E71" s="71">
        <v>39000</v>
      </c>
      <c r="F71" s="72">
        <v>1475638</v>
      </c>
      <c r="G71" s="72">
        <v>0</v>
      </c>
      <c r="H71" s="72">
        <v>134474</v>
      </c>
      <c r="I71" s="72">
        <v>3516</v>
      </c>
      <c r="J71" s="72">
        <v>23051</v>
      </c>
      <c r="K71" s="72">
        <v>8983</v>
      </c>
      <c r="L71" s="72">
        <v>7810</v>
      </c>
      <c r="M71" s="72">
        <v>32373.13</v>
      </c>
      <c r="N71" s="72">
        <v>84558.62</v>
      </c>
      <c r="O71" s="72">
        <v>8800</v>
      </c>
      <c r="P71" s="72">
        <v>3755</v>
      </c>
      <c r="Q71" s="72">
        <v>33320.129999999997</v>
      </c>
      <c r="R71" s="72">
        <v>4890.25</v>
      </c>
      <c r="S71" s="72">
        <v>0</v>
      </c>
      <c r="T71" s="72">
        <v>0</v>
      </c>
      <c r="U71" s="72">
        <v>0</v>
      </c>
      <c r="V71" s="72">
        <v>0</v>
      </c>
      <c r="W71" s="72">
        <v>920660.4</v>
      </c>
      <c r="X71" s="72">
        <v>14686.26</v>
      </c>
      <c r="Y71" s="72">
        <v>293518.92</v>
      </c>
      <c r="Z71" s="72">
        <v>31292.5</v>
      </c>
      <c r="AA71" s="72">
        <v>71981.009999999995</v>
      </c>
      <c r="AB71" s="72">
        <v>0</v>
      </c>
      <c r="AC71" s="72">
        <v>15279.33</v>
      </c>
      <c r="AD71" s="72">
        <v>18180.3</v>
      </c>
      <c r="AE71" s="72">
        <v>10362.51</v>
      </c>
      <c r="AF71" s="72">
        <v>20623.490000000002</v>
      </c>
      <c r="AG71" s="72">
        <v>1070</v>
      </c>
      <c r="AH71" s="72">
        <v>41983.05</v>
      </c>
      <c r="AI71" s="72">
        <v>1932.33</v>
      </c>
      <c r="AJ71" s="72">
        <v>20658.009999999998</v>
      </c>
      <c r="AK71" s="72">
        <v>2756.5</v>
      </c>
      <c r="AL71" s="72">
        <v>20397.13</v>
      </c>
      <c r="AM71" s="72">
        <v>0</v>
      </c>
      <c r="AN71" s="72">
        <v>7752.67</v>
      </c>
      <c r="AO71" s="72">
        <v>57807.77</v>
      </c>
      <c r="AP71" s="72">
        <v>20327.810000000001</v>
      </c>
      <c r="AQ71" s="72">
        <v>0</v>
      </c>
      <c r="AR71" s="72">
        <v>12581.23</v>
      </c>
      <c r="AS71" s="72">
        <v>4612.84</v>
      </c>
      <c r="AT71" s="72">
        <v>734.28</v>
      </c>
      <c r="AU71" s="72">
        <v>100550.39999999999</v>
      </c>
      <c r="AV71" s="72">
        <v>13578.5</v>
      </c>
      <c r="AW71" s="72">
        <v>47459.23</v>
      </c>
      <c r="AX71" s="72">
        <v>37109.61</v>
      </c>
      <c r="AY71" s="72">
        <v>0</v>
      </c>
      <c r="AZ71" s="72">
        <v>6567</v>
      </c>
      <c r="BA71" s="72">
        <v>0</v>
      </c>
      <c r="BB71" s="72">
        <v>0</v>
      </c>
      <c r="BC71" s="72">
        <v>0</v>
      </c>
      <c r="BD71" s="72">
        <v>10725</v>
      </c>
      <c r="BE71" s="72">
        <v>6567</v>
      </c>
      <c r="BF71" s="131">
        <v>0</v>
      </c>
      <c r="BG71" s="72">
        <v>49724.62</v>
      </c>
      <c r="BH71" s="72">
        <v>0</v>
      </c>
      <c r="BI71" s="72">
        <v>6567.5</v>
      </c>
    </row>
    <row r="72" spans="1:61">
      <c r="A72" s="131">
        <v>3502</v>
      </c>
      <c r="B72" s="131" t="s">
        <v>94</v>
      </c>
      <c r="C72" s="132">
        <v>151108</v>
      </c>
      <c r="D72" s="131"/>
      <c r="E72" s="71">
        <v>0</v>
      </c>
      <c r="F72" s="72">
        <v>1221050</v>
      </c>
      <c r="G72" s="72">
        <v>0</v>
      </c>
      <c r="H72" s="72">
        <v>148263</v>
      </c>
      <c r="I72" s="72">
        <v>7332</v>
      </c>
      <c r="J72" s="72">
        <v>44233</v>
      </c>
      <c r="K72" s="72">
        <v>5650</v>
      </c>
      <c r="L72" s="72">
        <v>4787.04</v>
      </c>
      <c r="M72" s="72">
        <v>34033.54</v>
      </c>
      <c r="N72" s="72">
        <v>52971.21</v>
      </c>
      <c r="O72" s="72">
        <v>2394</v>
      </c>
      <c r="P72" s="72">
        <v>717.24</v>
      </c>
      <c r="Q72" s="72">
        <v>25294.54</v>
      </c>
      <c r="R72" s="72">
        <v>7062.15</v>
      </c>
      <c r="S72" s="72">
        <v>0</v>
      </c>
      <c r="T72" s="72">
        <v>0</v>
      </c>
      <c r="U72" s="72">
        <v>0</v>
      </c>
      <c r="V72" s="72">
        <v>0</v>
      </c>
      <c r="W72" s="72">
        <v>712659.67</v>
      </c>
      <c r="X72" s="72">
        <v>14219.14</v>
      </c>
      <c r="Y72" s="72">
        <v>343339.6</v>
      </c>
      <c r="Z72" s="72">
        <v>40358.57</v>
      </c>
      <c r="AA72" s="72">
        <v>39175.83</v>
      </c>
      <c r="AB72" s="72">
        <v>0</v>
      </c>
      <c r="AC72" s="72">
        <v>44703.05</v>
      </c>
      <c r="AD72" s="72">
        <v>13604.06</v>
      </c>
      <c r="AE72" s="72">
        <v>10377.32</v>
      </c>
      <c r="AF72" s="72">
        <v>10070.74</v>
      </c>
      <c r="AG72" s="72">
        <v>1250</v>
      </c>
      <c r="AH72" s="72">
        <v>30993.26</v>
      </c>
      <c r="AI72" s="72">
        <v>6562.43</v>
      </c>
      <c r="AJ72" s="72">
        <v>1921.32</v>
      </c>
      <c r="AK72" s="72">
        <v>1970.33</v>
      </c>
      <c r="AL72" s="72">
        <v>16270.92</v>
      </c>
      <c r="AM72" s="72">
        <v>0</v>
      </c>
      <c r="AN72" s="72">
        <v>9512.39</v>
      </c>
      <c r="AO72" s="72">
        <v>52849.86</v>
      </c>
      <c r="AP72" s="72">
        <v>21649.17</v>
      </c>
      <c r="AQ72" s="72">
        <v>0</v>
      </c>
      <c r="AR72" s="72">
        <v>15789.11</v>
      </c>
      <c r="AS72" s="72">
        <v>4363.84</v>
      </c>
      <c r="AT72" s="72">
        <v>22645.27</v>
      </c>
      <c r="AU72" s="72">
        <v>67854.210000000006</v>
      </c>
      <c r="AV72" s="72">
        <v>22292</v>
      </c>
      <c r="AW72" s="72">
        <v>43332.98</v>
      </c>
      <c r="AX72" s="72">
        <v>30714.27</v>
      </c>
      <c r="AY72" s="72">
        <v>0</v>
      </c>
      <c r="AZ72" s="72">
        <v>8234.17</v>
      </c>
      <c r="BA72" s="72">
        <v>0</v>
      </c>
      <c r="BB72" s="72">
        <v>0</v>
      </c>
      <c r="BC72" s="72">
        <v>0</v>
      </c>
      <c r="BD72" s="72">
        <v>5000</v>
      </c>
      <c r="BE72" s="72">
        <v>8234.17</v>
      </c>
      <c r="BF72" s="131">
        <v>0</v>
      </c>
      <c r="BG72" s="72">
        <v>0</v>
      </c>
      <c r="BH72" s="72">
        <v>0</v>
      </c>
      <c r="BI72" s="72">
        <v>13234.17</v>
      </c>
    </row>
    <row r="73" spans="1:61">
      <c r="A73" s="131">
        <v>3315</v>
      </c>
      <c r="B73" s="131" t="s">
        <v>95</v>
      </c>
      <c r="C73" s="132">
        <v>28845</v>
      </c>
      <c r="D73" s="131"/>
      <c r="E73" s="71">
        <v>0</v>
      </c>
      <c r="F73" s="72">
        <v>800601</v>
      </c>
      <c r="G73" s="72">
        <v>0</v>
      </c>
      <c r="H73" s="72">
        <v>86211</v>
      </c>
      <c r="I73" s="72">
        <v>1646</v>
      </c>
      <c r="J73" s="72">
        <v>8330</v>
      </c>
      <c r="K73" s="72">
        <v>20572.23</v>
      </c>
      <c r="L73" s="72">
        <v>2386.44</v>
      </c>
      <c r="M73" s="72">
        <v>22181.74</v>
      </c>
      <c r="N73" s="72">
        <v>54749.48</v>
      </c>
      <c r="O73" s="72">
        <v>3832.37</v>
      </c>
      <c r="P73" s="72">
        <v>2018.09</v>
      </c>
      <c r="Q73" s="72">
        <v>39655.83</v>
      </c>
      <c r="R73" s="72">
        <v>9328.35</v>
      </c>
      <c r="S73" s="72">
        <v>0</v>
      </c>
      <c r="T73" s="72">
        <v>0</v>
      </c>
      <c r="U73" s="72">
        <v>0</v>
      </c>
      <c r="V73" s="72">
        <v>0</v>
      </c>
      <c r="W73" s="72">
        <v>495794.6</v>
      </c>
      <c r="X73" s="72">
        <v>10963.08</v>
      </c>
      <c r="Y73" s="72">
        <v>145274.93</v>
      </c>
      <c r="Z73" s="72">
        <v>21402.95</v>
      </c>
      <c r="AA73" s="72">
        <v>39617.4</v>
      </c>
      <c r="AB73" s="72">
        <v>0</v>
      </c>
      <c r="AC73" s="72">
        <v>40355.589999999997</v>
      </c>
      <c r="AD73" s="72">
        <v>20515.810000000001</v>
      </c>
      <c r="AE73" s="72">
        <v>7514.77</v>
      </c>
      <c r="AF73" s="72">
        <v>8175.2</v>
      </c>
      <c r="AG73" s="72">
        <v>0</v>
      </c>
      <c r="AH73" s="72">
        <v>14419.46</v>
      </c>
      <c r="AI73" s="72">
        <v>0</v>
      </c>
      <c r="AJ73" s="72">
        <v>6976.31</v>
      </c>
      <c r="AK73" s="72">
        <v>2915.24</v>
      </c>
      <c r="AL73" s="72">
        <v>14638.48</v>
      </c>
      <c r="AM73" s="72">
        <v>0</v>
      </c>
      <c r="AN73" s="72">
        <v>6673.84</v>
      </c>
      <c r="AO73" s="72">
        <v>45814.559999999998</v>
      </c>
      <c r="AP73" s="72">
        <v>10954.18</v>
      </c>
      <c r="AQ73" s="72">
        <v>0</v>
      </c>
      <c r="AR73" s="72">
        <v>7086.37</v>
      </c>
      <c r="AS73" s="72">
        <v>0</v>
      </c>
      <c r="AT73" s="72">
        <v>4775.28</v>
      </c>
      <c r="AU73" s="72">
        <v>62260.25</v>
      </c>
      <c r="AV73" s="72">
        <v>26958</v>
      </c>
      <c r="AW73" s="72">
        <v>39803.86</v>
      </c>
      <c r="AX73" s="72">
        <v>21317.42</v>
      </c>
      <c r="AY73" s="72">
        <v>0</v>
      </c>
      <c r="AZ73" s="72">
        <v>0</v>
      </c>
      <c r="BA73" s="72">
        <v>0</v>
      </c>
      <c r="BB73" s="72">
        <v>0</v>
      </c>
      <c r="BC73" s="72">
        <v>0</v>
      </c>
      <c r="BD73" s="72">
        <v>0</v>
      </c>
      <c r="BE73" s="72">
        <v>0</v>
      </c>
      <c r="BF73" s="131">
        <v>0</v>
      </c>
      <c r="BG73" s="72">
        <v>0</v>
      </c>
      <c r="BH73" s="72">
        <v>0</v>
      </c>
      <c r="BI73" s="72">
        <v>0</v>
      </c>
    </row>
    <row r="74" spans="1:61">
      <c r="A74" s="131">
        <v>3504</v>
      </c>
      <c r="B74" s="131" t="s">
        <v>96</v>
      </c>
      <c r="C74" s="132">
        <v>48047</v>
      </c>
      <c r="D74" s="131"/>
      <c r="E74" s="71">
        <v>0</v>
      </c>
      <c r="F74" s="72">
        <v>1504498</v>
      </c>
      <c r="G74" s="72">
        <v>0</v>
      </c>
      <c r="H74" s="72">
        <v>160424</v>
      </c>
      <c r="I74" s="72">
        <v>5461</v>
      </c>
      <c r="J74" s="72">
        <v>32098.32</v>
      </c>
      <c r="K74" s="72">
        <v>35576</v>
      </c>
      <c r="L74" s="72">
        <v>35384.76</v>
      </c>
      <c r="M74" s="72">
        <v>65755.78</v>
      </c>
      <c r="N74" s="72">
        <v>60992.19</v>
      </c>
      <c r="O74" s="72">
        <v>0</v>
      </c>
      <c r="P74" s="72">
        <v>4644.66</v>
      </c>
      <c r="Q74" s="72">
        <v>40074.449999999997</v>
      </c>
      <c r="R74" s="72">
        <v>1640.06</v>
      </c>
      <c r="S74" s="72">
        <v>0</v>
      </c>
      <c r="T74" s="72">
        <v>0</v>
      </c>
      <c r="U74" s="72">
        <v>0</v>
      </c>
      <c r="V74" s="72">
        <v>0</v>
      </c>
      <c r="W74" s="72">
        <v>943493.24</v>
      </c>
      <c r="X74" s="72">
        <v>3682.62</v>
      </c>
      <c r="Y74" s="72">
        <v>334311.77</v>
      </c>
      <c r="Z74" s="72">
        <v>31837.14</v>
      </c>
      <c r="AA74" s="72">
        <v>65746.399999999994</v>
      </c>
      <c r="AB74" s="72">
        <v>0</v>
      </c>
      <c r="AC74" s="72">
        <v>57709.29</v>
      </c>
      <c r="AD74" s="72">
        <v>5265.63</v>
      </c>
      <c r="AE74" s="72">
        <v>12303.97</v>
      </c>
      <c r="AF74" s="72">
        <v>6038.58</v>
      </c>
      <c r="AG74" s="72">
        <v>1500</v>
      </c>
      <c r="AH74" s="72">
        <v>27255.21</v>
      </c>
      <c r="AI74" s="72">
        <v>29158.26</v>
      </c>
      <c r="AJ74" s="72">
        <v>27533.41</v>
      </c>
      <c r="AK74" s="72">
        <v>2246.1799999999998</v>
      </c>
      <c r="AL74" s="72">
        <v>17681.97</v>
      </c>
      <c r="AM74" s="72">
        <v>0</v>
      </c>
      <c r="AN74" s="72">
        <v>7076.7</v>
      </c>
      <c r="AO74" s="72">
        <v>100878.47</v>
      </c>
      <c r="AP74" s="72">
        <v>33982.83</v>
      </c>
      <c r="AQ74" s="72">
        <v>0</v>
      </c>
      <c r="AR74" s="72">
        <v>13302.43</v>
      </c>
      <c r="AS74" s="72">
        <v>5171.18</v>
      </c>
      <c r="AT74" s="72">
        <v>9040.34</v>
      </c>
      <c r="AU74" s="72">
        <v>79001.38</v>
      </c>
      <c r="AV74" s="72">
        <v>0</v>
      </c>
      <c r="AW74" s="72">
        <v>49770.3</v>
      </c>
      <c r="AX74" s="72">
        <v>28774.01</v>
      </c>
      <c r="AY74" s="72">
        <v>0</v>
      </c>
      <c r="AZ74" s="72">
        <v>8966.7800000000007</v>
      </c>
      <c r="BA74" s="72">
        <v>0</v>
      </c>
      <c r="BB74" s="72">
        <v>0</v>
      </c>
      <c r="BC74" s="72">
        <v>0</v>
      </c>
      <c r="BD74" s="72">
        <v>0</v>
      </c>
      <c r="BE74" s="72">
        <v>8966.7800000000007</v>
      </c>
      <c r="BF74" s="131">
        <v>0</v>
      </c>
      <c r="BG74" s="72">
        <v>0</v>
      </c>
      <c r="BH74" s="72">
        <v>0</v>
      </c>
      <c r="BI74" s="72">
        <v>8966.7800000000007</v>
      </c>
    </row>
    <row r="75" spans="1:61">
      <c r="A75" s="131">
        <v>3307</v>
      </c>
      <c r="B75" s="131" t="s">
        <v>97</v>
      </c>
      <c r="C75" s="132">
        <v>99792</v>
      </c>
      <c r="D75" s="131"/>
      <c r="E75" s="71">
        <v>0</v>
      </c>
      <c r="F75" s="72">
        <v>899582</v>
      </c>
      <c r="G75" s="72">
        <v>0</v>
      </c>
      <c r="H75" s="72">
        <v>60690</v>
      </c>
      <c r="I75" s="72">
        <v>3666</v>
      </c>
      <c r="J75" s="72">
        <v>18067</v>
      </c>
      <c r="K75" s="72">
        <v>4393.3500000000004</v>
      </c>
      <c r="L75" s="72">
        <v>504.45</v>
      </c>
      <c r="M75" s="72">
        <v>72048.23</v>
      </c>
      <c r="N75" s="72">
        <v>39286.910000000003</v>
      </c>
      <c r="O75" s="72">
        <v>0</v>
      </c>
      <c r="P75" s="72">
        <v>23.18</v>
      </c>
      <c r="Q75" s="72">
        <v>57087.51</v>
      </c>
      <c r="R75" s="72">
        <v>14948.65</v>
      </c>
      <c r="S75" s="72">
        <v>0</v>
      </c>
      <c r="T75" s="72">
        <v>0</v>
      </c>
      <c r="U75" s="72">
        <v>0</v>
      </c>
      <c r="V75" s="72">
        <v>0</v>
      </c>
      <c r="W75" s="72">
        <v>592475.94999999995</v>
      </c>
      <c r="X75" s="72">
        <v>1320.51</v>
      </c>
      <c r="Y75" s="72">
        <v>160471.76999999999</v>
      </c>
      <c r="Z75" s="72">
        <v>43263.13</v>
      </c>
      <c r="AA75" s="72">
        <v>30074.240000000002</v>
      </c>
      <c r="AB75" s="72">
        <v>0</v>
      </c>
      <c r="AC75" s="72">
        <v>15658.42</v>
      </c>
      <c r="AD75" s="72">
        <v>2396.0500000000002</v>
      </c>
      <c r="AE75" s="72">
        <v>1026.8399999999999</v>
      </c>
      <c r="AF75" s="72">
        <v>7649.85</v>
      </c>
      <c r="AG75" s="72">
        <v>2400</v>
      </c>
      <c r="AH75" s="72">
        <v>25197.77</v>
      </c>
      <c r="AI75" s="72">
        <v>3470.14</v>
      </c>
      <c r="AJ75" s="72">
        <v>10469.02</v>
      </c>
      <c r="AK75" s="72">
        <v>2562.7600000000002</v>
      </c>
      <c r="AL75" s="72">
        <v>27833.93</v>
      </c>
      <c r="AM75" s="72">
        <v>0</v>
      </c>
      <c r="AN75" s="72">
        <v>8012.27</v>
      </c>
      <c r="AO75" s="72">
        <v>61491.14</v>
      </c>
      <c r="AP75" s="72">
        <v>11272.8</v>
      </c>
      <c r="AQ75" s="72">
        <v>0</v>
      </c>
      <c r="AR75" s="72">
        <v>6694.67</v>
      </c>
      <c r="AS75" s="72">
        <v>5003</v>
      </c>
      <c r="AT75" s="72">
        <v>859.27</v>
      </c>
      <c r="AU75" s="72">
        <v>47053.15</v>
      </c>
      <c r="AV75" s="72">
        <v>12507.5</v>
      </c>
      <c r="AW75" s="72">
        <v>23415.62</v>
      </c>
      <c r="AX75" s="72">
        <v>31573.22</v>
      </c>
      <c r="AY75" s="72">
        <v>0</v>
      </c>
      <c r="AZ75" s="72">
        <v>12565</v>
      </c>
      <c r="BA75" s="72">
        <v>0</v>
      </c>
      <c r="BB75" s="72">
        <v>0</v>
      </c>
      <c r="BC75" s="72">
        <v>0</v>
      </c>
      <c r="BD75" s="72">
        <v>0</v>
      </c>
      <c r="BE75" s="72">
        <v>12565</v>
      </c>
      <c r="BF75" s="131">
        <v>0</v>
      </c>
      <c r="BG75" s="72">
        <v>0</v>
      </c>
      <c r="BH75" s="72">
        <v>0</v>
      </c>
      <c r="BI75" s="72">
        <v>12564.72</v>
      </c>
    </row>
    <row r="76" spans="1:61">
      <c r="A76" s="131">
        <v>3309</v>
      </c>
      <c r="B76" s="71" t="s">
        <v>98</v>
      </c>
      <c r="C76" s="132">
        <v>88160</v>
      </c>
      <c r="D76" s="131"/>
      <c r="E76" s="71">
        <v>0</v>
      </c>
      <c r="F76" s="72">
        <v>890299</v>
      </c>
      <c r="G76" s="72">
        <v>0</v>
      </c>
      <c r="H76" s="72">
        <v>170117</v>
      </c>
      <c r="I76" s="72">
        <v>1646</v>
      </c>
      <c r="J76" s="72">
        <v>26543</v>
      </c>
      <c r="K76" s="72">
        <v>1050</v>
      </c>
      <c r="L76" s="72">
        <v>200</v>
      </c>
      <c r="M76" s="72">
        <v>35158.81</v>
      </c>
      <c r="N76" s="72">
        <v>33684.14</v>
      </c>
      <c r="O76" s="72">
        <v>471.85</v>
      </c>
      <c r="P76" s="72">
        <v>246.46</v>
      </c>
      <c r="Q76" s="72">
        <v>19055.5</v>
      </c>
      <c r="R76" s="72">
        <v>6154.57</v>
      </c>
      <c r="S76" s="72">
        <v>0</v>
      </c>
      <c r="T76" s="72">
        <v>0</v>
      </c>
      <c r="U76" s="72">
        <v>0</v>
      </c>
      <c r="V76" s="72">
        <v>0</v>
      </c>
      <c r="W76" s="72">
        <v>598963.46</v>
      </c>
      <c r="X76" s="72">
        <v>2255.1799999999998</v>
      </c>
      <c r="Y76" s="72">
        <v>286206.49</v>
      </c>
      <c r="Z76" s="72">
        <v>1862.41</v>
      </c>
      <c r="AA76" s="72">
        <v>45598.080000000002</v>
      </c>
      <c r="AB76" s="72">
        <v>0</v>
      </c>
      <c r="AC76" s="72">
        <v>5552.82</v>
      </c>
      <c r="AD76" s="72">
        <v>1684.19</v>
      </c>
      <c r="AE76" s="72">
        <v>3920.77</v>
      </c>
      <c r="AF76" s="72">
        <v>7420.14</v>
      </c>
      <c r="AG76" s="72">
        <v>2744.72</v>
      </c>
      <c r="AH76" s="72">
        <v>22174.49</v>
      </c>
      <c r="AI76" s="72">
        <v>14327.99</v>
      </c>
      <c r="AJ76" s="72">
        <v>20468.84</v>
      </c>
      <c r="AK76" s="72">
        <v>5165.92</v>
      </c>
      <c r="AL76" s="72">
        <v>9058.2199999999993</v>
      </c>
      <c r="AM76" s="72">
        <v>0</v>
      </c>
      <c r="AN76" s="72">
        <v>3134.73</v>
      </c>
      <c r="AO76" s="72">
        <v>41822.720000000001</v>
      </c>
      <c r="AP76" s="72">
        <v>15218.75</v>
      </c>
      <c r="AQ76" s="72">
        <v>0</v>
      </c>
      <c r="AR76" s="72">
        <v>5157.4799999999996</v>
      </c>
      <c r="AS76" s="72">
        <v>2852.01</v>
      </c>
      <c r="AT76" s="72">
        <v>3864.04</v>
      </c>
      <c r="AU76" s="72">
        <v>47485.69</v>
      </c>
      <c r="AV76" s="133">
        <f>-13.13+13.13</f>
        <v>0</v>
      </c>
      <c r="AW76" s="133">
        <f>15708.85-13.13</f>
        <v>15695.720000000001</v>
      </c>
      <c r="AX76" s="72">
        <v>33902.559999999998</v>
      </c>
      <c r="AY76" s="72">
        <v>0</v>
      </c>
      <c r="AZ76" s="72">
        <v>7371.83</v>
      </c>
      <c r="BA76" s="72">
        <v>0</v>
      </c>
      <c r="BB76" s="72">
        <v>0</v>
      </c>
      <c r="BC76" s="72">
        <v>0</v>
      </c>
      <c r="BD76" s="72">
        <v>0</v>
      </c>
      <c r="BE76" s="72">
        <v>7371.83</v>
      </c>
      <c r="BF76" s="131">
        <v>0</v>
      </c>
      <c r="BG76" s="72">
        <v>0</v>
      </c>
      <c r="BH76" s="72">
        <v>0</v>
      </c>
      <c r="BI76" s="72">
        <v>7371.83</v>
      </c>
    </row>
    <row r="77" spans="1:61">
      <c r="A77" s="131">
        <v>3508</v>
      </c>
      <c r="B77" s="131" t="s">
        <v>99</v>
      </c>
      <c r="C77" s="132">
        <v>77324</v>
      </c>
      <c r="D77" s="131"/>
      <c r="E77" s="71">
        <v>0</v>
      </c>
      <c r="F77" s="72">
        <v>845479</v>
      </c>
      <c r="G77" s="72">
        <v>0</v>
      </c>
      <c r="H77" s="72">
        <v>108784</v>
      </c>
      <c r="I77" s="72">
        <v>5312</v>
      </c>
      <c r="J77" s="72">
        <v>19313</v>
      </c>
      <c r="K77" s="72">
        <v>1400</v>
      </c>
      <c r="L77" s="72">
        <v>10478</v>
      </c>
      <c r="M77" s="72">
        <v>23983.599999999999</v>
      </c>
      <c r="N77" s="133">
        <f>32106.99-849.75</f>
        <v>31257.24</v>
      </c>
      <c r="O77" s="72">
        <v>173.81</v>
      </c>
      <c r="P77" s="72">
        <v>0</v>
      </c>
      <c r="Q77" s="72">
        <v>0</v>
      </c>
      <c r="R77" s="133">
        <f>-849.75+849.75</f>
        <v>0</v>
      </c>
      <c r="S77" s="72">
        <v>0</v>
      </c>
      <c r="T77" s="72">
        <v>0</v>
      </c>
      <c r="U77" s="72">
        <v>0</v>
      </c>
      <c r="V77" s="72">
        <v>0</v>
      </c>
      <c r="W77" s="72">
        <v>456064.25</v>
      </c>
      <c r="X77" s="72">
        <v>1157</v>
      </c>
      <c r="Y77" s="72">
        <v>220415.76</v>
      </c>
      <c r="Z77" s="72">
        <v>31269.45</v>
      </c>
      <c r="AA77" s="72">
        <v>47455.89</v>
      </c>
      <c r="AB77" s="72">
        <v>0</v>
      </c>
      <c r="AC77" s="72">
        <v>27257.87</v>
      </c>
      <c r="AD77" s="72">
        <v>7893.17</v>
      </c>
      <c r="AE77" s="72">
        <v>4865.1499999999996</v>
      </c>
      <c r="AF77" s="72">
        <v>7832.88</v>
      </c>
      <c r="AG77" s="72">
        <v>0</v>
      </c>
      <c r="AH77" s="72">
        <v>13895.75</v>
      </c>
      <c r="AI77" s="72">
        <v>0</v>
      </c>
      <c r="AJ77" s="72">
        <v>17360.3</v>
      </c>
      <c r="AK77" s="72">
        <v>5232.91</v>
      </c>
      <c r="AL77" s="72">
        <v>17670.810000000001</v>
      </c>
      <c r="AM77" s="72">
        <v>0</v>
      </c>
      <c r="AN77" s="72">
        <v>5164.53</v>
      </c>
      <c r="AO77" s="72">
        <v>29824.83</v>
      </c>
      <c r="AP77" s="72">
        <v>10840.88</v>
      </c>
      <c r="AQ77" s="72">
        <v>0</v>
      </c>
      <c r="AR77" s="72">
        <v>13284.23</v>
      </c>
      <c r="AS77" s="72">
        <v>4120.88</v>
      </c>
      <c r="AT77" s="72">
        <v>4797.38</v>
      </c>
      <c r="AU77" s="72">
        <v>39106.44</v>
      </c>
      <c r="AV77" s="72">
        <v>15557.2</v>
      </c>
      <c r="AW77" s="72">
        <v>14401.66</v>
      </c>
      <c r="AX77" s="72">
        <v>16508.16</v>
      </c>
      <c r="AY77" s="72">
        <v>0</v>
      </c>
      <c r="AZ77" s="72">
        <v>20000</v>
      </c>
      <c r="BA77" s="72">
        <v>0</v>
      </c>
      <c r="BB77" s="72">
        <v>0</v>
      </c>
      <c r="BC77" s="72">
        <v>0</v>
      </c>
      <c r="BD77" s="72">
        <v>0</v>
      </c>
      <c r="BE77" s="72">
        <v>20000</v>
      </c>
      <c r="BF77" s="131">
        <v>0</v>
      </c>
      <c r="BG77" s="72">
        <v>20000</v>
      </c>
      <c r="BH77" s="72">
        <v>0</v>
      </c>
      <c r="BI77" s="72">
        <v>0</v>
      </c>
    </row>
    <row r="78" spans="1:61">
      <c r="A78" s="131">
        <v>3509</v>
      </c>
      <c r="B78" s="131" t="s">
        <v>100</v>
      </c>
      <c r="C78" s="132">
        <v>55655</v>
      </c>
      <c r="D78" s="131"/>
      <c r="E78" s="71">
        <v>0</v>
      </c>
      <c r="F78" s="72">
        <v>940997</v>
      </c>
      <c r="G78" s="72">
        <v>0</v>
      </c>
      <c r="H78" s="72">
        <v>156049</v>
      </c>
      <c r="I78" s="72">
        <v>7855</v>
      </c>
      <c r="J78" s="72">
        <v>28353</v>
      </c>
      <c r="K78" s="72">
        <v>25470.71</v>
      </c>
      <c r="L78" s="72">
        <v>16623.36</v>
      </c>
      <c r="M78" s="72">
        <v>19797.66</v>
      </c>
      <c r="N78" s="72">
        <v>48562.21</v>
      </c>
      <c r="O78" s="72">
        <v>18050</v>
      </c>
      <c r="P78" s="72">
        <v>0</v>
      </c>
      <c r="Q78" s="72">
        <v>40220.68</v>
      </c>
      <c r="R78" s="72">
        <v>0</v>
      </c>
      <c r="S78" s="72">
        <v>0</v>
      </c>
      <c r="T78" s="72">
        <v>0</v>
      </c>
      <c r="U78" s="72">
        <v>0</v>
      </c>
      <c r="V78" s="72">
        <v>0</v>
      </c>
      <c r="W78" s="72">
        <v>620442.18999999994</v>
      </c>
      <c r="X78" s="72">
        <v>0</v>
      </c>
      <c r="Y78" s="72">
        <v>252420.47</v>
      </c>
      <c r="Z78" s="72">
        <v>32249.119999999999</v>
      </c>
      <c r="AA78" s="72">
        <v>43557.03</v>
      </c>
      <c r="AB78" s="72">
        <v>0</v>
      </c>
      <c r="AC78" s="72">
        <v>17711.93</v>
      </c>
      <c r="AD78" s="72">
        <v>17573.830000000002</v>
      </c>
      <c r="AE78" s="72">
        <v>12536.42</v>
      </c>
      <c r="AF78" s="72">
        <v>12888.14</v>
      </c>
      <c r="AG78" s="72">
        <v>0</v>
      </c>
      <c r="AH78" s="72">
        <v>9724.41</v>
      </c>
      <c r="AI78" s="72">
        <v>150.63999999999999</v>
      </c>
      <c r="AJ78" s="72">
        <v>2422.0100000000002</v>
      </c>
      <c r="AK78" s="72">
        <v>194.29</v>
      </c>
      <c r="AL78" s="72">
        <v>25014.1</v>
      </c>
      <c r="AM78" s="72">
        <v>0</v>
      </c>
      <c r="AN78" s="72">
        <v>3862.45</v>
      </c>
      <c r="AO78" s="72">
        <v>53537.760000000002</v>
      </c>
      <c r="AP78" s="72">
        <v>48398.16</v>
      </c>
      <c r="AQ78" s="72">
        <v>0</v>
      </c>
      <c r="AR78" s="72">
        <v>5847.29</v>
      </c>
      <c r="AS78" s="72">
        <v>3993.16</v>
      </c>
      <c r="AT78" s="72">
        <v>8651.74</v>
      </c>
      <c r="AU78" s="72">
        <v>59946</v>
      </c>
      <c r="AV78" s="72">
        <v>28153.71</v>
      </c>
      <c r="AW78" s="72">
        <v>22516.94</v>
      </c>
      <c r="AX78" s="72">
        <v>28968.98</v>
      </c>
      <c r="AY78" s="72">
        <v>0</v>
      </c>
      <c r="AZ78" s="72">
        <v>0</v>
      </c>
      <c r="BA78" s="72">
        <v>0</v>
      </c>
      <c r="BB78" s="72">
        <v>0</v>
      </c>
      <c r="BC78" s="72">
        <v>0</v>
      </c>
      <c r="BD78" s="72">
        <v>0</v>
      </c>
      <c r="BE78" s="72">
        <v>0</v>
      </c>
      <c r="BF78" s="131">
        <v>0</v>
      </c>
      <c r="BG78" s="72">
        <v>0</v>
      </c>
      <c r="BH78" s="72">
        <v>0</v>
      </c>
      <c r="BI78" s="72">
        <v>0</v>
      </c>
    </row>
    <row r="79" spans="1:61">
      <c r="A79" s="131">
        <v>3311</v>
      </c>
      <c r="B79" s="131" t="s">
        <v>103</v>
      </c>
      <c r="C79" s="132">
        <v>75293</v>
      </c>
      <c r="D79" s="131"/>
      <c r="E79" s="71">
        <v>0</v>
      </c>
      <c r="F79" s="72">
        <v>1621062</v>
      </c>
      <c r="G79" s="72">
        <v>0</v>
      </c>
      <c r="H79" s="72">
        <v>126537</v>
      </c>
      <c r="I79" s="72">
        <v>2993</v>
      </c>
      <c r="J79" s="72">
        <v>19936</v>
      </c>
      <c r="K79" s="72">
        <v>13800</v>
      </c>
      <c r="L79" s="72">
        <v>2653</v>
      </c>
      <c r="M79" s="72">
        <v>35867.65</v>
      </c>
      <c r="N79" s="72">
        <v>83164.55</v>
      </c>
      <c r="O79" s="72">
        <v>0</v>
      </c>
      <c r="P79" s="72">
        <v>0</v>
      </c>
      <c r="Q79" s="72">
        <v>64310.14</v>
      </c>
      <c r="R79" s="72">
        <v>21868.080000000002</v>
      </c>
      <c r="S79" s="72">
        <v>0</v>
      </c>
      <c r="T79" s="72">
        <v>0</v>
      </c>
      <c r="U79" s="72">
        <v>0</v>
      </c>
      <c r="V79" s="72">
        <v>0</v>
      </c>
      <c r="W79" s="72">
        <v>884658.3</v>
      </c>
      <c r="X79" s="72">
        <v>0</v>
      </c>
      <c r="Y79" s="72">
        <v>427641.59999999998</v>
      </c>
      <c r="Z79" s="72">
        <v>68096</v>
      </c>
      <c r="AA79" s="72">
        <v>67881.070000000007</v>
      </c>
      <c r="AB79" s="72">
        <v>0</v>
      </c>
      <c r="AC79" s="72">
        <v>49403.040000000001</v>
      </c>
      <c r="AD79" s="72">
        <v>3738.26</v>
      </c>
      <c r="AE79" s="72">
        <v>2874.11</v>
      </c>
      <c r="AF79" s="72">
        <v>0</v>
      </c>
      <c r="AG79" s="72">
        <v>2699.88</v>
      </c>
      <c r="AH79" s="72">
        <v>38110.959999999999</v>
      </c>
      <c r="AI79" s="72">
        <v>3000</v>
      </c>
      <c r="AJ79" s="72">
        <v>9277.4</v>
      </c>
      <c r="AK79" s="72">
        <v>6327.1</v>
      </c>
      <c r="AL79" s="72">
        <v>29104.99</v>
      </c>
      <c r="AM79" s="72">
        <v>0</v>
      </c>
      <c r="AN79" s="72">
        <v>8835.1299999999992</v>
      </c>
      <c r="AO79" s="72">
        <v>105887.47</v>
      </c>
      <c r="AP79" s="72">
        <v>15289.2</v>
      </c>
      <c r="AQ79" s="72">
        <v>0</v>
      </c>
      <c r="AR79" s="72">
        <v>8413.98</v>
      </c>
      <c r="AS79" s="72">
        <v>4862.12</v>
      </c>
      <c r="AT79" s="72">
        <v>8695.49</v>
      </c>
      <c r="AU79" s="72">
        <v>88539.72</v>
      </c>
      <c r="AV79" s="72">
        <v>52225.14</v>
      </c>
      <c r="AW79" s="72">
        <v>41659.769999999997</v>
      </c>
      <c r="AX79" s="72">
        <v>32579.8</v>
      </c>
      <c r="AY79" s="72">
        <v>0</v>
      </c>
      <c r="AZ79" s="72">
        <v>2449.73</v>
      </c>
      <c r="BA79" s="72">
        <v>0</v>
      </c>
      <c r="BB79" s="72">
        <v>0</v>
      </c>
      <c r="BC79" s="72">
        <v>0</v>
      </c>
      <c r="BD79" s="72">
        <v>0</v>
      </c>
      <c r="BE79" s="72">
        <v>2449.73</v>
      </c>
      <c r="BF79" s="131">
        <v>0</v>
      </c>
      <c r="BG79" s="72">
        <v>0</v>
      </c>
      <c r="BH79" s="72">
        <v>0</v>
      </c>
      <c r="BI79" s="72">
        <v>2449.73</v>
      </c>
    </row>
    <row r="80" spans="1:61">
      <c r="A80" s="131">
        <v>3521</v>
      </c>
      <c r="B80" s="131" t="s">
        <v>462</v>
      </c>
      <c r="C80" s="132">
        <v>152120</v>
      </c>
      <c r="D80" s="131"/>
      <c r="E80" s="71">
        <v>0</v>
      </c>
      <c r="F80" s="72">
        <v>1652493</v>
      </c>
      <c r="G80" s="72">
        <v>0</v>
      </c>
      <c r="H80" s="72">
        <v>247614</v>
      </c>
      <c r="I80" s="72">
        <v>12344</v>
      </c>
      <c r="J80" s="72">
        <v>62923.25</v>
      </c>
      <c r="K80" s="72">
        <v>3900</v>
      </c>
      <c r="L80" s="72">
        <v>9755.2099999999991</v>
      </c>
      <c r="M80" s="72">
        <v>2775.37</v>
      </c>
      <c r="N80" s="72">
        <v>49186.52</v>
      </c>
      <c r="O80" s="72">
        <v>14362.5</v>
      </c>
      <c r="P80" s="72">
        <v>0</v>
      </c>
      <c r="Q80" s="72">
        <v>24144.65</v>
      </c>
      <c r="R80" s="72">
        <v>4080.42</v>
      </c>
      <c r="S80" s="72">
        <v>0</v>
      </c>
      <c r="T80" s="72">
        <v>0</v>
      </c>
      <c r="U80" s="72">
        <v>0</v>
      </c>
      <c r="V80" s="72">
        <v>0</v>
      </c>
      <c r="W80" s="72">
        <v>997454.39</v>
      </c>
      <c r="X80" s="72">
        <v>0</v>
      </c>
      <c r="Y80" s="72">
        <v>430225.77</v>
      </c>
      <c r="Z80" s="72">
        <v>30659.03</v>
      </c>
      <c r="AA80" s="72">
        <v>41235.85</v>
      </c>
      <c r="AB80" s="72">
        <v>0</v>
      </c>
      <c r="AC80" s="72">
        <v>41774.559999999998</v>
      </c>
      <c r="AD80" s="72">
        <v>12869.87</v>
      </c>
      <c r="AE80" s="72">
        <v>7210.65</v>
      </c>
      <c r="AF80" s="72">
        <v>19177.86</v>
      </c>
      <c r="AG80" s="72">
        <v>3881.16</v>
      </c>
      <c r="AH80" s="72">
        <v>14981.08</v>
      </c>
      <c r="AI80" s="72">
        <v>4495.66</v>
      </c>
      <c r="AJ80" s="72">
        <v>24876.68</v>
      </c>
      <c r="AK80" s="72">
        <v>3784.6</v>
      </c>
      <c r="AL80" s="72">
        <v>31452.22</v>
      </c>
      <c r="AM80" s="72">
        <v>0</v>
      </c>
      <c r="AN80" s="72">
        <v>9688.74</v>
      </c>
      <c r="AO80" s="72">
        <v>79037.86</v>
      </c>
      <c r="AP80" s="72">
        <v>27981.1</v>
      </c>
      <c r="AQ80" s="72">
        <v>0</v>
      </c>
      <c r="AR80" s="72">
        <v>14683.87</v>
      </c>
      <c r="AS80" s="72">
        <v>5000.08</v>
      </c>
      <c r="AT80" s="72">
        <v>8209.5400000000009</v>
      </c>
      <c r="AU80" s="72">
        <v>91085.95</v>
      </c>
      <c r="AV80" s="72">
        <v>49844.28</v>
      </c>
      <c r="AW80" s="72">
        <v>57069.49</v>
      </c>
      <c r="AX80" s="72">
        <v>46290.97</v>
      </c>
      <c r="AY80" s="72">
        <v>0</v>
      </c>
      <c r="AZ80" s="72">
        <v>0</v>
      </c>
      <c r="BA80" s="72">
        <v>0</v>
      </c>
      <c r="BB80" s="72">
        <v>0</v>
      </c>
      <c r="BC80" s="72">
        <v>0</v>
      </c>
      <c r="BD80" s="72">
        <v>0</v>
      </c>
      <c r="BE80" s="72">
        <v>0</v>
      </c>
      <c r="BF80" s="131">
        <v>0</v>
      </c>
      <c r="BG80" s="72">
        <v>0</v>
      </c>
      <c r="BH80" s="72">
        <v>0</v>
      </c>
      <c r="BI80" s="72">
        <v>0</v>
      </c>
    </row>
    <row r="81" spans="1:61">
      <c r="A81" s="131">
        <v>3312</v>
      </c>
      <c r="B81" s="71" t="s">
        <v>102</v>
      </c>
      <c r="C81" s="132">
        <v>83711</v>
      </c>
      <c r="D81" s="131"/>
      <c r="E81" s="71">
        <v>0</v>
      </c>
      <c r="F81" s="72">
        <v>798217</v>
      </c>
      <c r="G81" s="72">
        <v>0</v>
      </c>
      <c r="H81" s="72">
        <v>140845</v>
      </c>
      <c r="I81" s="72">
        <v>1347</v>
      </c>
      <c r="J81" s="72">
        <v>18476</v>
      </c>
      <c r="K81" s="72">
        <v>1200</v>
      </c>
      <c r="L81" s="72">
        <v>23765</v>
      </c>
      <c r="M81" s="72">
        <v>36837.550000000003</v>
      </c>
      <c r="N81" s="72">
        <v>47608.27</v>
      </c>
      <c r="O81" s="72">
        <v>4788</v>
      </c>
      <c r="P81" s="72">
        <v>2472.0300000000002</v>
      </c>
      <c r="Q81" s="72">
        <v>39390.089999999997</v>
      </c>
      <c r="R81" s="72">
        <v>11318.52</v>
      </c>
      <c r="S81" s="72">
        <v>0</v>
      </c>
      <c r="T81" s="72">
        <v>0</v>
      </c>
      <c r="U81" s="72">
        <v>0</v>
      </c>
      <c r="V81" s="72">
        <v>0</v>
      </c>
      <c r="W81" s="72">
        <v>546896.51</v>
      </c>
      <c r="X81" s="72">
        <v>11698.44</v>
      </c>
      <c r="Y81" s="72">
        <v>201198.71</v>
      </c>
      <c r="Z81" s="72">
        <v>26404.53</v>
      </c>
      <c r="AA81" s="72">
        <v>32071.88</v>
      </c>
      <c r="AB81" s="72">
        <v>0</v>
      </c>
      <c r="AC81" s="72">
        <v>7626.8</v>
      </c>
      <c r="AD81" s="72">
        <v>4897.26</v>
      </c>
      <c r="AE81" s="72">
        <v>5212.5</v>
      </c>
      <c r="AF81" s="72">
        <v>8266.7199999999993</v>
      </c>
      <c r="AG81" s="72">
        <v>0</v>
      </c>
      <c r="AH81" s="72">
        <v>19380.45</v>
      </c>
      <c r="AI81" s="72">
        <v>3394</v>
      </c>
      <c r="AJ81" s="72">
        <v>15574.41</v>
      </c>
      <c r="AK81" s="72">
        <v>1380.3</v>
      </c>
      <c r="AL81" s="72">
        <v>7332.81</v>
      </c>
      <c r="AM81" s="72">
        <v>0</v>
      </c>
      <c r="AN81" s="72">
        <v>7934.25</v>
      </c>
      <c r="AO81" s="72">
        <v>75901.509999999995</v>
      </c>
      <c r="AP81" s="72">
        <v>18916.849999999999</v>
      </c>
      <c r="AQ81" s="72">
        <v>0</v>
      </c>
      <c r="AR81" s="72">
        <v>6116.59</v>
      </c>
      <c r="AS81" s="72">
        <v>4197.7700000000004</v>
      </c>
      <c r="AT81" s="72">
        <v>3687.8</v>
      </c>
      <c r="AU81" s="72">
        <v>56925.46</v>
      </c>
      <c r="AV81" s="72">
        <v>0</v>
      </c>
      <c r="AW81" s="72">
        <v>14487.05</v>
      </c>
      <c r="AX81" s="72">
        <v>29565.119999999999</v>
      </c>
      <c r="AY81" s="72">
        <v>0</v>
      </c>
      <c r="AZ81" s="72">
        <v>0</v>
      </c>
      <c r="BA81" s="72">
        <v>0</v>
      </c>
      <c r="BB81" s="72">
        <v>0</v>
      </c>
      <c r="BC81" s="72">
        <v>12052.6</v>
      </c>
      <c r="BD81" s="72">
        <v>0</v>
      </c>
      <c r="BE81" s="72">
        <v>7808</v>
      </c>
      <c r="BF81" s="131">
        <v>0</v>
      </c>
      <c r="BG81" s="72">
        <v>19860.599999999999</v>
      </c>
      <c r="BH81" s="72">
        <v>0</v>
      </c>
      <c r="BI81" s="72">
        <v>0</v>
      </c>
    </row>
    <row r="82" spans="1:61">
      <c r="A82" s="131">
        <v>3313</v>
      </c>
      <c r="B82" s="131" t="s">
        <v>104</v>
      </c>
      <c r="C82" s="132">
        <v>133615</v>
      </c>
      <c r="D82" s="131"/>
      <c r="E82" s="71">
        <v>0</v>
      </c>
      <c r="F82" s="72">
        <v>873520</v>
      </c>
      <c r="G82" s="72">
        <v>0</v>
      </c>
      <c r="H82" s="72">
        <v>163373</v>
      </c>
      <c r="I82" s="72">
        <v>7032</v>
      </c>
      <c r="J82" s="72">
        <v>34888</v>
      </c>
      <c r="K82" s="72">
        <v>0</v>
      </c>
      <c r="L82" s="72">
        <v>240</v>
      </c>
      <c r="M82" s="72">
        <v>5862.3</v>
      </c>
      <c r="N82" s="72">
        <v>26401.41</v>
      </c>
      <c r="O82" s="72">
        <v>2062.66</v>
      </c>
      <c r="P82" s="72">
        <v>371.58</v>
      </c>
      <c r="Q82" s="72">
        <v>15239</v>
      </c>
      <c r="R82" s="72">
        <v>27786.73</v>
      </c>
      <c r="S82" s="72">
        <v>0</v>
      </c>
      <c r="T82" s="72">
        <v>0</v>
      </c>
      <c r="U82" s="72">
        <v>0</v>
      </c>
      <c r="V82" s="72">
        <v>0</v>
      </c>
      <c r="W82" s="72">
        <v>548950.22</v>
      </c>
      <c r="X82" s="72">
        <v>14839.62</v>
      </c>
      <c r="Y82" s="72">
        <v>180952.11</v>
      </c>
      <c r="Z82" s="72">
        <v>25662.69</v>
      </c>
      <c r="AA82" s="72">
        <v>22559.73</v>
      </c>
      <c r="AB82" s="72">
        <v>0</v>
      </c>
      <c r="AC82" s="72">
        <v>23318.94</v>
      </c>
      <c r="AD82" s="72">
        <v>14134.13</v>
      </c>
      <c r="AE82" s="72">
        <v>747.97</v>
      </c>
      <c r="AF82" s="72">
        <v>10765.98</v>
      </c>
      <c r="AG82" s="72">
        <v>2826.33</v>
      </c>
      <c r="AH82" s="72">
        <v>18016.95</v>
      </c>
      <c r="AI82" s="72">
        <v>2517.89</v>
      </c>
      <c r="AJ82" s="72">
        <v>13817.75</v>
      </c>
      <c r="AK82" s="72">
        <v>2101.52</v>
      </c>
      <c r="AL82" s="72">
        <v>11214.37</v>
      </c>
      <c r="AM82" s="72">
        <v>0</v>
      </c>
      <c r="AN82" s="72">
        <v>4507.46</v>
      </c>
      <c r="AO82" s="72">
        <v>75532.509999999995</v>
      </c>
      <c r="AP82" s="72">
        <v>14712.31</v>
      </c>
      <c r="AQ82" s="72">
        <v>0</v>
      </c>
      <c r="AR82" s="72">
        <v>4769.8</v>
      </c>
      <c r="AS82" s="72">
        <v>1701.62</v>
      </c>
      <c r="AT82" s="72">
        <v>8141.95</v>
      </c>
      <c r="AU82" s="72">
        <v>42820.1</v>
      </c>
      <c r="AV82" s="72">
        <v>16866.13</v>
      </c>
      <c r="AW82" s="72">
        <v>13126.65</v>
      </c>
      <c r="AX82" s="72">
        <v>33285.660000000003</v>
      </c>
      <c r="AY82" s="72">
        <v>0</v>
      </c>
      <c r="AZ82" s="72">
        <v>0</v>
      </c>
      <c r="BA82" s="72">
        <v>0</v>
      </c>
      <c r="BB82" s="72">
        <v>0</v>
      </c>
      <c r="BC82" s="72">
        <v>0</v>
      </c>
      <c r="BD82" s="72">
        <v>10358</v>
      </c>
      <c r="BE82" s="72">
        <v>0</v>
      </c>
      <c r="BF82" s="131">
        <v>0</v>
      </c>
      <c r="BG82" s="72">
        <v>0</v>
      </c>
      <c r="BH82" s="72">
        <v>10358</v>
      </c>
      <c r="BI82" s="72">
        <v>0</v>
      </c>
    </row>
    <row r="83" spans="1:61">
      <c r="A83" s="131">
        <v>3314</v>
      </c>
      <c r="B83" s="131" t="s">
        <v>105</v>
      </c>
      <c r="C83" s="132">
        <v>34316</v>
      </c>
      <c r="D83" s="131"/>
      <c r="E83" s="71">
        <v>0</v>
      </c>
      <c r="F83" s="72">
        <v>798688</v>
      </c>
      <c r="G83" s="72">
        <v>0</v>
      </c>
      <c r="H83" s="72">
        <v>116691</v>
      </c>
      <c r="I83" s="72">
        <v>4414</v>
      </c>
      <c r="J83" s="72">
        <v>10591</v>
      </c>
      <c r="K83" s="72">
        <v>800</v>
      </c>
      <c r="L83" s="72">
        <v>5300</v>
      </c>
      <c r="M83" s="72">
        <v>27216.62</v>
      </c>
      <c r="N83" s="72">
        <v>47357.25</v>
      </c>
      <c r="O83" s="72">
        <v>4104</v>
      </c>
      <c r="P83" s="72">
        <v>0</v>
      </c>
      <c r="Q83" s="72">
        <v>35070.9</v>
      </c>
      <c r="R83" s="72">
        <v>5017.8999999999996</v>
      </c>
      <c r="S83" s="72">
        <v>0</v>
      </c>
      <c r="T83" s="72">
        <v>0</v>
      </c>
      <c r="U83" s="72">
        <v>0</v>
      </c>
      <c r="V83" s="72">
        <v>0</v>
      </c>
      <c r="W83" s="72">
        <v>477177.94</v>
      </c>
      <c r="X83" s="72">
        <v>7243.96</v>
      </c>
      <c r="Y83" s="72">
        <v>135245.62</v>
      </c>
      <c r="Z83" s="72">
        <v>32601.39</v>
      </c>
      <c r="AA83" s="72">
        <v>37316.57</v>
      </c>
      <c r="AB83" s="72">
        <v>0</v>
      </c>
      <c r="AC83" s="72">
        <v>23648.61</v>
      </c>
      <c r="AD83" s="72">
        <v>3745.78</v>
      </c>
      <c r="AE83" s="72">
        <v>8226.44</v>
      </c>
      <c r="AF83" s="72">
        <v>7222.79</v>
      </c>
      <c r="AG83" s="72">
        <v>800</v>
      </c>
      <c r="AH83" s="72">
        <v>38653.24</v>
      </c>
      <c r="AI83" s="72">
        <v>185.63</v>
      </c>
      <c r="AJ83" s="72">
        <v>2815.25</v>
      </c>
      <c r="AK83" s="72">
        <v>3248.07</v>
      </c>
      <c r="AL83" s="72">
        <v>12376.06</v>
      </c>
      <c r="AM83" s="72">
        <v>0</v>
      </c>
      <c r="AN83" s="72">
        <v>5737.12</v>
      </c>
      <c r="AO83" s="72">
        <v>68799.92</v>
      </c>
      <c r="AP83" s="72">
        <v>22123.73</v>
      </c>
      <c r="AQ83" s="72">
        <v>0</v>
      </c>
      <c r="AR83" s="72">
        <v>5863.09</v>
      </c>
      <c r="AS83" s="72">
        <v>2016.31</v>
      </c>
      <c r="AT83" s="72">
        <v>5530.56</v>
      </c>
      <c r="AU83" s="72">
        <v>53671.8</v>
      </c>
      <c r="AV83" s="72">
        <v>32942.25</v>
      </c>
      <c r="AW83" s="72">
        <v>19342.38</v>
      </c>
      <c r="AX83" s="72">
        <v>26228.71</v>
      </c>
      <c r="AY83" s="72">
        <v>0</v>
      </c>
      <c r="AZ83" s="72">
        <v>0</v>
      </c>
      <c r="BA83" s="72">
        <v>0</v>
      </c>
      <c r="BB83" s="72">
        <v>0</v>
      </c>
      <c r="BC83" s="72">
        <v>0</v>
      </c>
      <c r="BD83" s="72">
        <v>0</v>
      </c>
      <c r="BE83" s="72">
        <v>0</v>
      </c>
      <c r="BF83" s="131">
        <v>0</v>
      </c>
      <c r="BG83" s="72">
        <v>0</v>
      </c>
      <c r="BH83" s="72">
        <v>0</v>
      </c>
      <c r="BI83" s="72">
        <v>0</v>
      </c>
    </row>
    <row r="84" spans="1:61">
      <c r="A84" s="131">
        <v>3507</v>
      </c>
      <c r="B84" s="131" t="s">
        <v>106</v>
      </c>
      <c r="C84" s="132">
        <v>22246</v>
      </c>
      <c r="D84" s="131"/>
      <c r="E84" s="71">
        <v>0</v>
      </c>
      <c r="F84" s="72">
        <v>824123</v>
      </c>
      <c r="G84" s="72">
        <v>0</v>
      </c>
      <c r="H84" s="72">
        <v>59806</v>
      </c>
      <c r="I84" s="72">
        <v>3591</v>
      </c>
      <c r="J84" s="72">
        <v>18067</v>
      </c>
      <c r="K84" s="72">
        <v>4000</v>
      </c>
      <c r="L84" s="72">
        <v>415</v>
      </c>
      <c r="M84" s="72">
        <v>12434.39</v>
      </c>
      <c r="N84" s="72">
        <v>45355.53</v>
      </c>
      <c r="O84" s="72">
        <v>480</v>
      </c>
      <c r="P84" s="72">
        <v>0</v>
      </c>
      <c r="Q84" s="72">
        <v>24689.200000000001</v>
      </c>
      <c r="R84" s="72">
        <v>5807.4</v>
      </c>
      <c r="S84" s="72">
        <v>0</v>
      </c>
      <c r="T84" s="72">
        <v>0</v>
      </c>
      <c r="U84" s="72">
        <v>0</v>
      </c>
      <c r="V84" s="72">
        <v>0</v>
      </c>
      <c r="W84" s="72">
        <v>447608.37</v>
      </c>
      <c r="X84" s="72">
        <v>3525.66</v>
      </c>
      <c r="Y84" s="72">
        <v>96780.52</v>
      </c>
      <c r="Z84" s="72">
        <v>40857.31</v>
      </c>
      <c r="AA84" s="72">
        <v>31721.45</v>
      </c>
      <c r="AB84" s="72">
        <v>0</v>
      </c>
      <c r="AC84" s="72">
        <v>21869.85</v>
      </c>
      <c r="AD84" s="72">
        <v>24305.45</v>
      </c>
      <c r="AE84" s="72">
        <v>3943.51</v>
      </c>
      <c r="AF84" s="72">
        <v>5309.95</v>
      </c>
      <c r="AG84" s="72">
        <v>1300</v>
      </c>
      <c r="AH84" s="72">
        <v>10441.4</v>
      </c>
      <c r="AI84" s="72">
        <v>1178.25</v>
      </c>
      <c r="AJ84" s="72">
        <v>853.93</v>
      </c>
      <c r="AK84" s="72">
        <v>2222.25</v>
      </c>
      <c r="AL84" s="72">
        <v>10617.64</v>
      </c>
      <c r="AM84" s="72">
        <v>0</v>
      </c>
      <c r="AN84" s="72">
        <v>4688.8500000000004</v>
      </c>
      <c r="AO84" s="72">
        <v>67456.009999999995</v>
      </c>
      <c r="AP84" s="72">
        <v>12224.84</v>
      </c>
      <c r="AQ84" s="72">
        <v>0</v>
      </c>
      <c r="AR84" s="72">
        <v>11410.28</v>
      </c>
      <c r="AS84" s="72">
        <v>4082.86</v>
      </c>
      <c r="AT84" s="72">
        <v>10428.24</v>
      </c>
      <c r="AU84" s="72">
        <v>53819.71</v>
      </c>
      <c r="AV84" s="72">
        <v>57175.82</v>
      </c>
      <c r="AW84" s="72">
        <v>28762.13</v>
      </c>
      <c r="AX84" s="72">
        <v>30640.15</v>
      </c>
      <c r="AY84" s="72">
        <v>0</v>
      </c>
      <c r="AZ84" s="72">
        <v>6131</v>
      </c>
      <c r="BA84" s="72">
        <v>0</v>
      </c>
      <c r="BB84" s="72">
        <v>0</v>
      </c>
      <c r="BC84" s="72">
        <v>0</v>
      </c>
      <c r="BD84" s="72">
        <v>17640</v>
      </c>
      <c r="BE84" s="72">
        <v>6131</v>
      </c>
      <c r="BF84" s="131">
        <v>0</v>
      </c>
      <c r="BG84" s="72">
        <v>0</v>
      </c>
      <c r="BH84" s="72">
        <v>0</v>
      </c>
      <c r="BI84" s="72">
        <v>23770.39</v>
      </c>
    </row>
    <row r="85" spans="1:61">
      <c r="A85" s="131">
        <v>3506</v>
      </c>
      <c r="B85" s="131" t="s">
        <v>107</v>
      </c>
      <c r="C85" s="132">
        <v>54809</v>
      </c>
      <c r="D85" s="131"/>
      <c r="E85" s="71">
        <v>0</v>
      </c>
      <c r="F85" s="72">
        <v>1159075</v>
      </c>
      <c r="G85" s="72">
        <v>0</v>
      </c>
      <c r="H85" s="72">
        <v>175730</v>
      </c>
      <c r="I85" s="72">
        <v>7855</v>
      </c>
      <c r="J85" s="72">
        <v>27021</v>
      </c>
      <c r="K85" s="72">
        <v>20226.330000000002</v>
      </c>
      <c r="L85" s="72">
        <v>17946.21</v>
      </c>
      <c r="M85" s="72">
        <v>16073.86</v>
      </c>
      <c r="N85" s="72">
        <v>43865.3</v>
      </c>
      <c r="O85" s="72">
        <v>0</v>
      </c>
      <c r="P85" s="72">
        <v>0</v>
      </c>
      <c r="Q85" s="72">
        <v>24415.21</v>
      </c>
      <c r="R85" s="72">
        <v>4129.1499999999996</v>
      </c>
      <c r="S85" s="72">
        <v>0</v>
      </c>
      <c r="T85" s="72">
        <v>0</v>
      </c>
      <c r="U85" s="72">
        <v>0</v>
      </c>
      <c r="V85" s="72">
        <v>0</v>
      </c>
      <c r="W85" s="72">
        <v>699271.5</v>
      </c>
      <c r="X85" s="72">
        <v>20970.53</v>
      </c>
      <c r="Y85" s="72">
        <v>278335.46999999997</v>
      </c>
      <c r="Z85" s="72">
        <v>35963.839999999997</v>
      </c>
      <c r="AA85" s="72">
        <v>58333.83</v>
      </c>
      <c r="AB85" s="72">
        <v>0</v>
      </c>
      <c r="AC85" s="72">
        <v>0</v>
      </c>
      <c r="AD85" s="72">
        <v>14673.73</v>
      </c>
      <c r="AE85" s="72">
        <v>14024.72</v>
      </c>
      <c r="AF85" s="72">
        <v>7869.62</v>
      </c>
      <c r="AG85" s="72">
        <v>1400</v>
      </c>
      <c r="AH85" s="72">
        <v>27919.62</v>
      </c>
      <c r="AI85" s="72">
        <v>5634.84</v>
      </c>
      <c r="AJ85" s="72">
        <v>2767.78</v>
      </c>
      <c r="AK85" s="72">
        <v>3440.27</v>
      </c>
      <c r="AL85" s="72">
        <v>18232.439999999999</v>
      </c>
      <c r="AM85" s="72">
        <v>0</v>
      </c>
      <c r="AN85" s="72">
        <v>8255.99</v>
      </c>
      <c r="AO85" s="72">
        <v>57506.66</v>
      </c>
      <c r="AP85" s="72">
        <v>26049.13</v>
      </c>
      <c r="AQ85" s="72">
        <v>0</v>
      </c>
      <c r="AR85" s="72">
        <v>8652.1200000000008</v>
      </c>
      <c r="AS85" s="72">
        <v>4758.99</v>
      </c>
      <c r="AT85" s="72">
        <v>2930.77</v>
      </c>
      <c r="AU85" s="72">
        <v>64061.279999999999</v>
      </c>
      <c r="AV85" s="72">
        <v>12844</v>
      </c>
      <c r="AW85" s="72">
        <v>70405.41</v>
      </c>
      <c r="AX85" s="72">
        <v>39270.699999999997</v>
      </c>
      <c r="AY85" s="72">
        <v>0</v>
      </c>
      <c r="AZ85" s="72">
        <v>0</v>
      </c>
      <c r="BA85" s="72">
        <v>0</v>
      </c>
      <c r="BB85" s="72">
        <v>0</v>
      </c>
      <c r="BC85" s="72">
        <v>0</v>
      </c>
      <c r="BD85" s="72">
        <v>6021</v>
      </c>
      <c r="BE85" s="72">
        <v>0</v>
      </c>
      <c r="BF85" s="131">
        <v>0</v>
      </c>
      <c r="BG85" s="72">
        <v>0</v>
      </c>
      <c r="BH85" s="72">
        <v>0</v>
      </c>
      <c r="BI85" s="72">
        <v>6021.45</v>
      </c>
    </row>
    <row r="86" spans="1:61">
      <c r="A86" s="131">
        <v>2052</v>
      </c>
      <c r="B86" s="131" t="s">
        <v>108</v>
      </c>
      <c r="C86" s="132">
        <v>102257</v>
      </c>
      <c r="D86" s="131"/>
      <c r="E86" s="71">
        <v>26465</v>
      </c>
      <c r="F86" s="72">
        <v>1606255</v>
      </c>
      <c r="G86" s="72">
        <v>0</v>
      </c>
      <c r="H86" s="72">
        <v>549327.46</v>
      </c>
      <c r="I86" s="72">
        <v>10998</v>
      </c>
      <c r="J86" s="72">
        <v>91581</v>
      </c>
      <c r="K86" s="72">
        <v>9647</v>
      </c>
      <c r="L86" s="72">
        <v>19505.810000000001</v>
      </c>
      <c r="M86" s="72">
        <v>10782.03</v>
      </c>
      <c r="N86" s="72">
        <v>47367.81</v>
      </c>
      <c r="O86" s="133">
        <f>17271-5071.32</f>
        <v>12199.68</v>
      </c>
      <c r="P86" s="133">
        <f>-5071.32+5071.32</f>
        <v>0</v>
      </c>
      <c r="Q86" s="72">
        <v>21083.5</v>
      </c>
      <c r="R86" s="72">
        <v>14071.31</v>
      </c>
      <c r="S86" s="72">
        <v>0</v>
      </c>
      <c r="T86" s="72">
        <v>0</v>
      </c>
      <c r="U86" s="72">
        <v>0</v>
      </c>
      <c r="V86" s="72">
        <v>0</v>
      </c>
      <c r="W86" s="72">
        <v>1285116.8799999999</v>
      </c>
      <c r="X86" s="72">
        <v>0</v>
      </c>
      <c r="Y86" s="72">
        <v>372197.6</v>
      </c>
      <c r="Z86" s="72">
        <v>42894.2</v>
      </c>
      <c r="AA86" s="72">
        <v>66828.22</v>
      </c>
      <c r="AB86" s="72">
        <v>31658.07</v>
      </c>
      <c r="AC86" s="72">
        <v>24876.400000000001</v>
      </c>
      <c r="AD86" s="72">
        <v>4841.3900000000003</v>
      </c>
      <c r="AE86" s="72">
        <v>10277.48</v>
      </c>
      <c r="AF86" s="72">
        <v>17719.72</v>
      </c>
      <c r="AG86" s="72">
        <v>0</v>
      </c>
      <c r="AH86" s="72">
        <v>13636.9</v>
      </c>
      <c r="AI86" s="72">
        <v>8162</v>
      </c>
      <c r="AJ86" s="72">
        <v>29319.54</v>
      </c>
      <c r="AK86" s="72">
        <v>3545.67</v>
      </c>
      <c r="AL86" s="72">
        <v>33808.53</v>
      </c>
      <c r="AM86" s="72">
        <v>22442</v>
      </c>
      <c r="AN86" s="72">
        <v>8593.35</v>
      </c>
      <c r="AO86" s="72">
        <v>106590.62</v>
      </c>
      <c r="AP86" s="72">
        <v>46135.79</v>
      </c>
      <c r="AQ86" s="72">
        <v>0</v>
      </c>
      <c r="AR86" s="72">
        <v>7461.54</v>
      </c>
      <c r="AS86" s="72">
        <v>0</v>
      </c>
      <c r="AT86" s="72">
        <v>19102.84</v>
      </c>
      <c r="AU86" s="72">
        <v>75474.05</v>
      </c>
      <c r="AV86" s="72">
        <v>53619.5</v>
      </c>
      <c r="AW86" s="72">
        <v>78223.91</v>
      </c>
      <c r="AX86" s="72">
        <v>33739.43</v>
      </c>
      <c r="AY86" s="72">
        <v>0</v>
      </c>
      <c r="AZ86" s="72">
        <v>56516</v>
      </c>
      <c r="BA86" s="72">
        <v>0</v>
      </c>
      <c r="BB86" s="72">
        <v>0</v>
      </c>
      <c r="BC86" s="72">
        <v>8486.52</v>
      </c>
      <c r="BD86" s="72">
        <v>0</v>
      </c>
      <c r="BE86" s="72">
        <v>56516</v>
      </c>
      <c r="BF86" s="131">
        <v>0</v>
      </c>
      <c r="BG86" s="72">
        <v>91467.66</v>
      </c>
      <c r="BH86" s="72">
        <v>0</v>
      </c>
      <c r="BI86" s="72">
        <v>0</v>
      </c>
    </row>
    <row r="87" spans="1:61">
      <c r="A87" s="131">
        <v>2070</v>
      </c>
      <c r="B87" s="71" t="s">
        <v>109</v>
      </c>
      <c r="C87" s="132">
        <v>123185</v>
      </c>
      <c r="D87" s="131"/>
      <c r="E87" s="71">
        <v>0</v>
      </c>
      <c r="F87" s="72">
        <v>934411</v>
      </c>
      <c r="G87" s="72">
        <v>0</v>
      </c>
      <c r="H87" s="72">
        <v>265966</v>
      </c>
      <c r="I87" s="72">
        <v>7257</v>
      </c>
      <c r="J87" s="72">
        <v>51709</v>
      </c>
      <c r="K87" s="72">
        <v>5300</v>
      </c>
      <c r="L87" s="72">
        <v>5167</v>
      </c>
      <c r="M87" s="72">
        <v>1324.66</v>
      </c>
      <c r="N87" s="72">
        <v>32946.42</v>
      </c>
      <c r="O87" s="72">
        <v>2052</v>
      </c>
      <c r="P87" s="72">
        <v>3270</v>
      </c>
      <c r="Q87" s="72">
        <v>13594.94</v>
      </c>
      <c r="R87" s="72">
        <v>6197.96</v>
      </c>
      <c r="S87" s="72">
        <v>0</v>
      </c>
      <c r="T87" s="72">
        <v>0</v>
      </c>
      <c r="U87" s="72">
        <v>0</v>
      </c>
      <c r="V87" s="72">
        <v>0</v>
      </c>
      <c r="W87" s="72">
        <v>587981.23</v>
      </c>
      <c r="X87" s="72">
        <v>0.2</v>
      </c>
      <c r="Y87" s="72">
        <v>275519.07</v>
      </c>
      <c r="Z87" s="72">
        <v>41931.81</v>
      </c>
      <c r="AA87" s="72">
        <v>44583.040000000001</v>
      </c>
      <c r="AB87" s="72">
        <v>0.13</v>
      </c>
      <c r="AC87" s="72">
        <v>27336.81</v>
      </c>
      <c r="AD87" s="72">
        <v>5950.56</v>
      </c>
      <c r="AE87" s="72">
        <v>12467.32</v>
      </c>
      <c r="AF87" s="72">
        <v>9639.42</v>
      </c>
      <c r="AG87" s="72">
        <v>1150</v>
      </c>
      <c r="AH87" s="72">
        <v>18505.43</v>
      </c>
      <c r="AI87" s="72">
        <v>4087.49</v>
      </c>
      <c r="AJ87" s="72">
        <v>3863.61</v>
      </c>
      <c r="AK87" s="72">
        <v>2536.77</v>
      </c>
      <c r="AL87" s="72">
        <v>14682.01</v>
      </c>
      <c r="AM87" s="72">
        <v>12137</v>
      </c>
      <c r="AN87" s="72">
        <v>6535.46</v>
      </c>
      <c r="AO87" s="72">
        <v>45620.78</v>
      </c>
      <c r="AP87" s="72">
        <v>21628.080000000002</v>
      </c>
      <c r="AQ87" s="72">
        <v>0</v>
      </c>
      <c r="AR87" s="72">
        <v>10997.65</v>
      </c>
      <c r="AS87" s="72">
        <v>3291</v>
      </c>
      <c r="AT87" s="72">
        <v>1852.5</v>
      </c>
      <c r="AU87" s="72">
        <v>56902.04</v>
      </c>
      <c r="AV87" s="72">
        <v>13439.5</v>
      </c>
      <c r="AW87" s="72">
        <v>35274.15</v>
      </c>
      <c r="AX87" s="72">
        <v>15439.32</v>
      </c>
      <c r="AY87" s="72">
        <v>0</v>
      </c>
      <c r="AZ87" s="72">
        <v>22547</v>
      </c>
      <c r="BA87" s="72">
        <v>0</v>
      </c>
      <c r="BB87" s="72">
        <v>0</v>
      </c>
      <c r="BC87" s="72">
        <v>6657.24</v>
      </c>
      <c r="BD87" s="72">
        <v>0</v>
      </c>
      <c r="BE87" s="72">
        <v>22547</v>
      </c>
      <c r="BF87" s="131">
        <v>0</v>
      </c>
      <c r="BG87" s="72">
        <v>25041.200000000001</v>
      </c>
      <c r="BH87" s="72">
        <v>0</v>
      </c>
      <c r="BI87" s="72">
        <v>4162.6400000000003</v>
      </c>
    </row>
    <row r="88" spans="1:61">
      <c r="A88" s="131">
        <v>3316</v>
      </c>
      <c r="B88" s="131" t="s">
        <v>110</v>
      </c>
      <c r="C88" s="132">
        <v>25968</v>
      </c>
      <c r="D88" s="131"/>
      <c r="E88" s="71">
        <v>0</v>
      </c>
      <c r="F88" s="72">
        <v>801831</v>
      </c>
      <c r="G88" s="72">
        <v>0</v>
      </c>
      <c r="H88" s="72">
        <v>33003</v>
      </c>
      <c r="I88" s="72">
        <v>0</v>
      </c>
      <c r="J88" s="72">
        <v>9345</v>
      </c>
      <c r="K88" s="72">
        <v>871.24</v>
      </c>
      <c r="L88" s="72">
        <v>350</v>
      </c>
      <c r="M88" s="72">
        <v>1094.6099999999999</v>
      </c>
      <c r="N88" s="72">
        <v>47521.59</v>
      </c>
      <c r="O88" s="72">
        <v>4581.6000000000004</v>
      </c>
      <c r="P88" s="72">
        <v>2259.42</v>
      </c>
      <c r="Q88" s="72">
        <v>40053.49</v>
      </c>
      <c r="R88" s="72">
        <v>15864.85</v>
      </c>
      <c r="S88" s="72">
        <v>0</v>
      </c>
      <c r="T88" s="72">
        <v>0</v>
      </c>
      <c r="U88" s="72">
        <v>0</v>
      </c>
      <c r="V88" s="72">
        <v>0</v>
      </c>
      <c r="W88" s="72">
        <v>449653.4</v>
      </c>
      <c r="X88" s="72">
        <v>7573.17</v>
      </c>
      <c r="Y88" s="72">
        <v>133428.4</v>
      </c>
      <c r="Z88" s="72">
        <v>24630.61</v>
      </c>
      <c r="AA88" s="72">
        <v>31034.78</v>
      </c>
      <c r="AB88" s="72">
        <v>0</v>
      </c>
      <c r="AC88" s="72">
        <v>28557.07</v>
      </c>
      <c r="AD88" s="72">
        <v>5634.6</v>
      </c>
      <c r="AE88" s="72">
        <v>10508.47</v>
      </c>
      <c r="AF88" s="72">
        <v>5853.48</v>
      </c>
      <c r="AG88" s="72">
        <v>600</v>
      </c>
      <c r="AH88" s="72">
        <v>13830.12</v>
      </c>
      <c r="AI88" s="72">
        <v>2587.46</v>
      </c>
      <c r="AJ88" s="72">
        <v>11252.1</v>
      </c>
      <c r="AK88" s="72">
        <v>2113.02</v>
      </c>
      <c r="AL88" s="72">
        <v>12895.12</v>
      </c>
      <c r="AM88" s="72">
        <v>0</v>
      </c>
      <c r="AN88" s="72">
        <v>4870.76</v>
      </c>
      <c r="AO88" s="72">
        <v>53075.1</v>
      </c>
      <c r="AP88" s="72">
        <v>13913.44</v>
      </c>
      <c r="AQ88" s="72">
        <v>0</v>
      </c>
      <c r="AR88" s="72">
        <v>6495.28</v>
      </c>
      <c r="AS88" s="72">
        <v>3978.33</v>
      </c>
      <c r="AT88" s="72">
        <v>1581.09</v>
      </c>
      <c r="AU88" s="72">
        <v>56522.46</v>
      </c>
      <c r="AV88" s="72">
        <v>2171</v>
      </c>
      <c r="AW88" s="72">
        <v>28851.32</v>
      </c>
      <c r="AX88" s="72">
        <v>12793.58</v>
      </c>
      <c r="AY88" s="72">
        <v>0</v>
      </c>
      <c r="AZ88" s="72">
        <v>20509.38</v>
      </c>
      <c r="BA88" s="72">
        <v>0</v>
      </c>
      <c r="BB88" s="72">
        <v>0</v>
      </c>
      <c r="BC88" s="72">
        <v>0</v>
      </c>
      <c r="BD88" s="72">
        <v>0</v>
      </c>
      <c r="BE88" s="72">
        <v>20509.38</v>
      </c>
      <c r="BF88" s="131">
        <v>0</v>
      </c>
      <c r="BG88" s="72">
        <v>20509.38</v>
      </c>
      <c r="BH88" s="72">
        <v>0</v>
      </c>
      <c r="BI88" s="72">
        <v>0</v>
      </c>
    </row>
    <row r="89" spans="1:61">
      <c r="A89" s="131">
        <v>2055</v>
      </c>
      <c r="B89" s="131" t="s">
        <v>111</v>
      </c>
      <c r="C89" s="132">
        <v>91101</v>
      </c>
      <c r="D89" s="131"/>
      <c r="E89" s="71">
        <v>15260</v>
      </c>
      <c r="F89" s="72">
        <v>960003</v>
      </c>
      <c r="G89" s="72">
        <v>0</v>
      </c>
      <c r="H89" s="72">
        <v>248151</v>
      </c>
      <c r="I89" s="72">
        <v>8304</v>
      </c>
      <c r="J89" s="72">
        <v>52955</v>
      </c>
      <c r="K89" s="133">
        <f>21915-2460</f>
        <v>19455</v>
      </c>
      <c r="L89" s="133">
        <f>-2460+2460</f>
        <v>0</v>
      </c>
      <c r="M89" s="72">
        <v>18388.39</v>
      </c>
      <c r="N89" s="72">
        <v>20940.259999999998</v>
      </c>
      <c r="O89" s="72">
        <v>5130</v>
      </c>
      <c r="P89" s="72">
        <v>1779.97</v>
      </c>
      <c r="Q89" s="72">
        <v>8337.5400000000009</v>
      </c>
      <c r="R89" s="72">
        <v>411.2</v>
      </c>
      <c r="S89" s="72">
        <v>0</v>
      </c>
      <c r="T89" s="72">
        <v>0</v>
      </c>
      <c r="U89" s="72">
        <v>0</v>
      </c>
      <c r="V89" s="72">
        <v>0</v>
      </c>
      <c r="W89" s="72">
        <v>562295.12</v>
      </c>
      <c r="X89" s="72">
        <v>1354.9</v>
      </c>
      <c r="Y89" s="72">
        <v>316791.32</v>
      </c>
      <c r="Z89" s="72">
        <v>29250.26</v>
      </c>
      <c r="AA89" s="72">
        <v>45082.91</v>
      </c>
      <c r="AB89" s="72">
        <v>0</v>
      </c>
      <c r="AC89" s="72">
        <v>35323.050000000003</v>
      </c>
      <c r="AD89" s="72">
        <v>10975.66</v>
      </c>
      <c r="AE89" s="72">
        <v>6088.71</v>
      </c>
      <c r="AF89" s="72">
        <v>10405.43</v>
      </c>
      <c r="AG89" s="72">
        <v>1150</v>
      </c>
      <c r="AH89" s="72">
        <v>38171.17</v>
      </c>
      <c r="AI89" s="72">
        <v>7446.94</v>
      </c>
      <c r="AJ89" s="72">
        <v>17881.259999999998</v>
      </c>
      <c r="AK89" s="72">
        <v>5430.13</v>
      </c>
      <c r="AL89" s="72">
        <v>24904.15</v>
      </c>
      <c r="AM89" s="72">
        <v>15343</v>
      </c>
      <c r="AN89" s="72">
        <v>9076.43</v>
      </c>
      <c r="AO89" s="72">
        <v>37113.29</v>
      </c>
      <c r="AP89" s="72">
        <v>8352.06</v>
      </c>
      <c r="AQ89" s="72">
        <v>0</v>
      </c>
      <c r="AR89" s="72">
        <v>12637.11</v>
      </c>
      <c r="AS89" s="72">
        <v>4000</v>
      </c>
      <c r="AT89" s="72">
        <v>3937.36</v>
      </c>
      <c r="AU89" s="72">
        <v>42159.88</v>
      </c>
      <c r="AV89" s="72">
        <v>57966.43</v>
      </c>
      <c r="AW89" s="72">
        <v>45383.29</v>
      </c>
      <c r="AX89" s="72">
        <v>40562.75</v>
      </c>
      <c r="AY89" s="72">
        <v>0</v>
      </c>
      <c r="AZ89" s="72">
        <v>0</v>
      </c>
      <c r="BA89" s="72">
        <v>0</v>
      </c>
      <c r="BB89" s="72">
        <v>0</v>
      </c>
      <c r="BC89" s="72">
        <v>6576.24</v>
      </c>
      <c r="BD89" s="72">
        <v>0</v>
      </c>
      <c r="BE89" s="72">
        <v>0</v>
      </c>
      <c r="BF89" s="131">
        <v>0</v>
      </c>
      <c r="BG89" s="72">
        <v>21233.18</v>
      </c>
      <c r="BH89" s="72">
        <v>0</v>
      </c>
      <c r="BI89" s="72">
        <v>3790</v>
      </c>
    </row>
    <row r="90" spans="1:61">
      <c r="A90" s="131">
        <v>2057</v>
      </c>
      <c r="B90" s="131" t="s">
        <v>112</v>
      </c>
      <c r="C90" s="132">
        <v>91378</v>
      </c>
      <c r="D90" s="131"/>
      <c r="E90" s="71">
        <v>11692</v>
      </c>
      <c r="F90" s="72">
        <v>823079</v>
      </c>
      <c r="G90" s="72">
        <v>0</v>
      </c>
      <c r="H90" s="72">
        <v>227125</v>
      </c>
      <c r="I90" s="72">
        <v>7706</v>
      </c>
      <c r="J90" s="72">
        <v>47348</v>
      </c>
      <c r="K90" s="72">
        <v>1000</v>
      </c>
      <c r="L90" s="72">
        <v>5700.14</v>
      </c>
      <c r="M90" s="72">
        <v>11218.12</v>
      </c>
      <c r="N90" s="72">
        <v>11424.69</v>
      </c>
      <c r="O90" s="72">
        <v>0</v>
      </c>
      <c r="P90" s="72">
        <v>1026.9100000000001</v>
      </c>
      <c r="Q90" s="72">
        <v>3405</v>
      </c>
      <c r="R90" s="72">
        <v>3138.04</v>
      </c>
      <c r="S90" s="72">
        <v>0</v>
      </c>
      <c r="T90" s="72">
        <v>437138.2</v>
      </c>
      <c r="U90" s="72">
        <v>185923.94</v>
      </c>
      <c r="V90" s="72">
        <v>0</v>
      </c>
      <c r="W90" s="72">
        <v>430572.53</v>
      </c>
      <c r="X90" s="72">
        <v>0</v>
      </c>
      <c r="Y90" s="72">
        <v>212785.28</v>
      </c>
      <c r="Z90" s="72">
        <v>30807.84</v>
      </c>
      <c r="AA90" s="72">
        <v>42814.45</v>
      </c>
      <c r="AB90" s="72">
        <v>0</v>
      </c>
      <c r="AC90" s="72">
        <v>14215.48</v>
      </c>
      <c r="AD90" s="72">
        <v>17120.5</v>
      </c>
      <c r="AE90" s="72">
        <v>7568.24</v>
      </c>
      <c r="AF90" s="72">
        <v>5323.07</v>
      </c>
      <c r="AG90" s="72">
        <v>720</v>
      </c>
      <c r="AH90" s="72">
        <v>16192.77</v>
      </c>
      <c r="AI90" s="72">
        <v>2457.21</v>
      </c>
      <c r="AJ90" s="72">
        <v>5122</v>
      </c>
      <c r="AK90" s="72">
        <v>1594.97</v>
      </c>
      <c r="AL90" s="72">
        <v>9784.0400000000009</v>
      </c>
      <c r="AM90" s="72">
        <v>21869</v>
      </c>
      <c r="AN90" s="72">
        <v>3904</v>
      </c>
      <c r="AO90" s="72">
        <v>48052.49</v>
      </c>
      <c r="AP90" s="72">
        <v>20465.03</v>
      </c>
      <c r="AQ90" s="72">
        <v>0</v>
      </c>
      <c r="AR90" s="72">
        <v>5361.81</v>
      </c>
      <c r="AS90" s="72">
        <v>1500</v>
      </c>
      <c r="AT90" s="72">
        <v>10636.92</v>
      </c>
      <c r="AU90" s="72">
        <v>41639.68</v>
      </c>
      <c r="AV90" s="72">
        <v>71657.5</v>
      </c>
      <c r="AW90" s="72">
        <v>57738.58</v>
      </c>
      <c r="AX90" s="72">
        <v>20585.98</v>
      </c>
      <c r="AY90" s="72">
        <v>0</v>
      </c>
      <c r="AZ90" s="72">
        <v>3443</v>
      </c>
      <c r="BA90" s="72">
        <v>513645.49</v>
      </c>
      <c r="BB90" s="72">
        <v>109416.27</v>
      </c>
      <c r="BC90" s="72">
        <v>6047.52</v>
      </c>
      <c r="BD90" s="72">
        <v>0</v>
      </c>
      <c r="BE90" s="72">
        <v>3443</v>
      </c>
      <c r="BF90" s="131">
        <v>0</v>
      </c>
      <c r="BG90" s="72">
        <v>6955.93</v>
      </c>
      <c r="BH90" s="72">
        <v>14227</v>
      </c>
      <c r="BI90" s="72">
        <v>0</v>
      </c>
    </row>
    <row r="91" spans="1:61">
      <c r="A91" s="131">
        <v>2056</v>
      </c>
      <c r="B91" s="131" t="s">
        <v>113</v>
      </c>
      <c r="C91" s="132">
        <v>87150</v>
      </c>
      <c r="D91" s="131"/>
      <c r="E91" s="71">
        <v>10243</v>
      </c>
      <c r="F91" s="72">
        <v>968068</v>
      </c>
      <c r="G91" s="72">
        <v>0</v>
      </c>
      <c r="H91" s="72">
        <v>223815</v>
      </c>
      <c r="I91" s="72">
        <v>7182</v>
      </c>
      <c r="J91" s="72">
        <v>74885.83</v>
      </c>
      <c r="K91" s="72">
        <v>5300</v>
      </c>
      <c r="L91" s="72">
        <v>46788.59</v>
      </c>
      <c r="M91" s="72">
        <v>12869.68</v>
      </c>
      <c r="N91" s="72">
        <v>17933.22</v>
      </c>
      <c r="O91" s="72">
        <v>9336.6</v>
      </c>
      <c r="P91" s="72">
        <v>0</v>
      </c>
      <c r="Q91" s="72">
        <v>4212.8100000000004</v>
      </c>
      <c r="R91" s="72">
        <v>3081.93</v>
      </c>
      <c r="S91" s="72">
        <v>0</v>
      </c>
      <c r="T91" s="72">
        <v>0</v>
      </c>
      <c r="U91" s="72">
        <v>2462.4</v>
      </c>
      <c r="V91" s="72">
        <v>0</v>
      </c>
      <c r="W91" s="72">
        <v>607122.63</v>
      </c>
      <c r="X91" s="72">
        <v>1029.6600000000001</v>
      </c>
      <c r="Y91" s="72">
        <v>285236.25</v>
      </c>
      <c r="Z91" s="72">
        <v>48905.81</v>
      </c>
      <c r="AA91" s="72">
        <v>35375.440000000002</v>
      </c>
      <c r="AB91" s="72">
        <v>0</v>
      </c>
      <c r="AC91" s="72">
        <v>57006.46</v>
      </c>
      <c r="AD91" s="72">
        <v>8485.7000000000007</v>
      </c>
      <c r="AE91" s="72">
        <v>2513.29</v>
      </c>
      <c r="AF91" s="72">
        <v>10629.12</v>
      </c>
      <c r="AG91" s="72">
        <v>0</v>
      </c>
      <c r="AH91" s="72">
        <v>14451.09</v>
      </c>
      <c r="AI91" s="72">
        <v>4585.5</v>
      </c>
      <c r="AJ91" s="72">
        <v>2175.41</v>
      </c>
      <c r="AK91" s="72">
        <v>4821.1000000000004</v>
      </c>
      <c r="AL91" s="72">
        <v>25435.65</v>
      </c>
      <c r="AM91" s="72">
        <v>21868</v>
      </c>
      <c r="AN91" s="72">
        <v>4129.3599999999997</v>
      </c>
      <c r="AO91" s="72">
        <v>33570.660000000003</v>
      </c>
      <c r="AP91" s="72">
        <v>17185.169999999998</v>
      </c>
      <c r="AQ91" s="72">
        <v>0</v>
      </c>
      <c r="AR91" s="72">
        <v>15819.73</v>
      </c>
      <c r="AS91" s="72">
        <v>4752</v>
      </c>
      <c r="AT91" s="72">
        <v>2943.24</v>
      </c>
      <c r="AU91" s="72">
        <v>50222.16</v>
      </c>
      <c r="AV91" s="72">
        <v>45186.7</v>
      </c>
      <c r="AW91" s="72">
        <v>19660.29</v>
      </c>
      <c r="AX91" s="72">
        <v>20012.68</v>
      </c>
      <c r="AY91" s="72">
        <v>0</v>
      </c>
      <c r="AZ91" s="72">
        <v>0</v>
      </c>
      <c r="BA91" s="72">
        <v>1840.4</v>
      </c>
      <c r="BB91" s="72">
        <v>0</v>
      </c>
      <c r="BC91" s="72">
        <v>8335.6299999999992</v>
      </c>
      <c r="BD91" s="72">
        <v>0</v>
      </c>
      <c r="BE91" s="72">
        <v>0</v>
      </c>
      <c r="BF91" s="131">
        <v>0</v>
      </c>
      <c r="BG91" s="72">
        <v>5177.3900000000003</v>
      </c>
      <c r="BH91" s="72">
        <v>0</v>
      </c>
      <c r="BI91" s="72">
        <v>0</v>
      </c>
    </row>
    <row r="92" spans="1:61">
      <c r="A92" s="131">
        <v>2076</v>
      </c>
      <c r="B92" s="131" t="s">
        <v>114</v>
      </c>
      <c r="C92" s="132">
        <v>153291</v>
      </c>
      <c r="D92" s="131"/>
      <c r="E92" s="71">
        <v>15000</v>
      </c>
      <c r="F92" s="72">
        <v>1832710</v>
      </c>
      <c r="G92" s="72">
        <v>0</v>
      </c>
      <c r="H92" s="72">
        <v>397934</v>
      </c>
      <c r="I92" s="72">
        <v>19451</v>
      </c>
      <c r="J92" s="72">
        <v>114497</v>
      </c>
      <c r="K92" s="72">
        <v>23626.66</v>
      </c>
      <c r="L92" s="72">
        <v>1617.5</v>
      </c>
      <c r="M92" s="72">
        <v>141884.28</v>
      </c>
      <c r="N92" s="72">
        <v>45177.02</v>
      </c>
      <c r="O92" s="72">
        <v>4617</v>
      </c>
      <c r="P92" s="72">
        <v>0</v>
      </c>
      <c r="Q92" s="72">
        <v>18211.98</v>
      </c>
      <c r="R92" s="72">
        <v>1605.57</v>
      </c>
      <c r="S92" s="72">
        <v>0</v>
      </c>
      <c r="T92" s="72">
        <v>0</v>
      </c>
      <c r="U92" s="72">
        <v>0</v>
      </c>
      <c r="V92" s="72">
        <v>0</v>
      </c>
      <c r="W92" s="72">
        <v>1146761.7</v>
      </c>
      <c r="X92" s="72">
        <v>4767.26</v>
      </c>
      <c r="Y92" s="72">
        <v>449393.16</v>
      </c>
      <c r="Z92" s="72">
        <v>32645.78</v>
      </c>
      <c r="AA92" s="72">
        <v>113057.21</v>
      </c>
      <c r="AB92" s="72">
        <v>0</v>
      </c>
      <c r="AC92" s="72">
        <v>58775.5</v>
      </c>
      <c r="AD92" s="72">
        <v>15410.99</v>
      </c>
      <c r="AE92" s="72">
        <v>13330.4</v>
      </c>
      <c r="AF92" s="72">
        <v>10162.51</v>
      </c>
      <c r="AG92" s="72">
        <v>8675.01</v>
      </c>
      <c r="AH92" s="72">
        <v>51186.04</v>
      </c>
      <c r="AI92" s="72">
        <v>4180</v>
      </c>
      <c r="AJ92" s="72">
        <v>38208.68</v>
      </c>
      <c r="AK92" s="72">
        <v>5633.49</v>
      </c>
      <c r="AL92" s="72">
        <v>37363.120000000003</v>
      </c>
      <c r="AM92" s="72">
        <v>23816</v>
      </c>
      <c r="AN92" s="72">
        <v>8641.5400000000009</v>
      </c>
      <c r="AO92" s="72">
        <v>98111.19</v>
      </c>
      <c r="AP92" s="72">
        <v>37046.9</v>
      </c>
      <c r="AQ92" s="72">
        <v>0</v>
      </c>
      <c r="AR92" s="72">
        <v>18548.82</v>
      </c>
      <c r="AS92" s="72">
        <v>5050</v>
      </c>
      <c r="AT92" s="72">
        <v>15172.65</v>
      </c>
      <c r="AU92" s="72">
        <v>95647.72</v>
      </c>
      <c r="AV92" s="72">
        <v>60821.27</v>
      </c>
      <c r="AW92" s="72">
        <v>71268.53</v>
      </c>
      <c r="AX92" s="72">
        <v>38044.35</v>
      </c>
      <c r="AY92" s="72">
        <v>0</v>
      </c>
      <c r="AZ92" s="72">
        <v>37185</v>
      </c>
      <c r="BA92" s="72">
        <v>0</v>
      </c>
      <c r="BB92" s="72">
        <v>0</v>
      </c>
      <c r="BC92" s="72">
        <v>9242.52</v>
      </c>
      <c r="BD92" s="72">
        <v>0</v>
      </c>
      <c r="BE92" s="72">
        <v>37185</v>
      </c>
      <c r="BF92" s="131">
        <v>0</v>
      </c>
      <c r="BG92" s="72">
        <v>8347.5400000000009</v>
      </c>
      <c r="BH92" s="72">
        <v>0</v>
      </c>
      <c r="BI92" s="72">
        <v>28837.38</v>
      </c>
    </row>
    <row r="93" spans="1:61">
      <c r="A93" s="131">
        <v>2060</v>
      </c>
      <c r="B93" s="131" t="s">
        <v>115</v>
      </c>
      <c r="C93" s="132">
        <v>138660</v>
      </c>
      <c r="D93" s="131"/>
      <c r="E93" s="71">
        <v>0</v>
      </c>
      <c r="F93" s="72">
        <v>1669392</v>
      </c>
      <c r="G93" s="72">
        <v>0</v>
      </c>
      <c r="H93" s="72">
        <v>386872</v>
      </c>
      <c r="I93" s="72">
        <v>15262</v>
      </c>
      <c r="J93" s="72">
        <v>120489</v>
      </c>
      <c r="K93" s="72">
        <v>2987</v>
      </c>
      <c r="L93" s="72">
        <v>829.38</v>
      </c>
      <c r="M93" s="72">
        <v>91406.44</v>
      </c>
      <c r="N93" s="72">
        <v>37543.69</v>
      </c>
      <c r="O93" s="72">
        <v>15040.47</v>
      </c>
      <c r="P93" s="72">
        <v>1999.58</v>
      </c>
      <c r="Q93" s="72">
        <v>8482.5499999999993</v>
      </c>
      <c r="R93" s="72">
        <v>4899.3</v>
      </c>
      <c r="S93" s="72">
        <v>0</v>
      </c>
      <c r="T93" s="72">
        <v>0</v>
      </c>
      <c r="U93" s="72">
        <v>0</v>
      </c>
      <c r="V93" s="72">
        <v>0</v>
      </c>
      <c r="W93" s="72">
        <v>977383.35</v>
      </c>
      <c r="X93" s="72">
        <v>6042.09</v>
      </c>
      <c r="Y93" s="72">
        <v>528211.12</v>
      </c>
      <c r="Z93" s="72">
        <v>46433.03</v>
      </c>
      <c r="AA93" s="72">
        <v>56851.08</v>
      </c>
      <c r="AB93" s="72">
        <v>0</v>
      </c>
      <c r="AC93" s="72">
        <v>62794.47</v>
      </c>
      <c r="AD93" s="72">
        <v>6771.35</v>
      </c>
      <c r="AE93" s="72">
        <v>25069.81</v>
      </c>
      <c r="AF93" s="72">
        <v>17292.66</v>
      </c>
      <c r="AG93" s="72">
        <v>1900</v>
      </c>
      <c r="AH93" s="72">
        <v>80412.820000000007</v>
      </c>
      <c r="AI93" s="72">
        <v>7885.04</v>
      </c>
      <c r="AJ93" s="72">
        <v>34593.15</v>
      </c>
      <c r="AK93" s="72">
        <v>8282.56</v>
      </c>
      <c r="AL93" s="72">
        <v>74499.789999999994</v>
      </c>
      <c r="AM93" s="72">
        <v>17633</v>
      </c>
      <c r="AN93" s="72">
        <v>12056.64</v>
      </c>
      <c r="AO93" s="72">
        <v>62045.94</v>
      </c>
      <c r="AP93" s="72">
        <v>20580.72</v>
      </c>
      <c r="AQ93" s="72">
        <v>0</v>
      </c>
      <c r="AR93" s="72">
        <v>15085.52</v>
      </c>
      <c r="AS93" s="72">
        <v>11021</v>
      </c>
      <c r="AT93" s="72">
        <v>34777.9</v>
      </c>
      <c r="AU93" s="72">
        <v>88352.88</v>
      </c>
      <c r="AV93" s="72">
        <v>32401.66</v>
      </c>
      <c r="AW93" s="72">
        <v>26800.25</v>
      </c>
      <c r="AX93" s="72">
        <v>26464.5</v>
      </c>
      <c r="AY93" s="72">
        <v>0</v>
      </c>
      <c r="AZ93" s="72">
        <v>26000</v>
      </c>
      <c r="BA93" s="72">
        <v>0</v>
      </c>
      <c r="BB93" s="72">
        <v>0</v>
      </c>
      <c r="BC93" s="72">
        <v>8450.52</v>
      </c>
      <c r="BD93" s="72">
        <v>0</v>
      </c>
      <c r="BE93" s="72">
        <v>26000</v>
      </c>
      <c r="BF93" s="131">
        <v>0</v>
      </c>
      <c r="BG93" s="72">
        <v>34458.720000000001</v>
      </c>
      <c r="BH93" s="72">
        <v>0</v>
      </c>
      <c r="BI93" s="72">
        <v>0</v>
      </c>
    </row>
    <row r="94" spans="1:61">
      <c r="A94" s="131">
        <v>3518</v>
      </c>
      <c r="B94" s="131" t="s">
        <v>116</v>
      </c>
      <c r="C94" s="132">
        <v>258757</v>
      </c>
      <c r="D94" s="131"/>
      <c r="E94" s="71">
        <v>77431</v>
      </c>
      <c r="F94" s="72">
        <v>1780803</v>
      </c>
      <c r="G94" s="72">
        <v>0</v>
      </c>
      <c r="H94" s="72">
        <v>445976</v>
      </c>
      <c r="I94" s="72">
        <v>22294</v>
      </c>
      <c r="J94" s="72">
        <v>149987.57999999999</v>
      </c>
      <c r="K94" s="72">
        <v>20056</v>
      </c>
      <c r="L94" s="72">
        <v>9111</v>
      </c>
      <c r="M94" s="72">
        <v>26489.78</v>
      </c>
      <c r="N94" s="72">
        <v>24818.41</v>
      </c>
      <c r="O94" s="72">
        <v>1080</v>
      </c>
      <c r="P94" s="72">
        <v>0</v>
      </c>
      <c r="Q94" s="72">
        <v>11718.5</v>
      </c>
      <c r="R94" s="72">
        <v>22</v>
      </c>
      <c r="S94" s="72">
        <v>0</v>
      </c>
      <c r="T94" s="72">
        <v>0</v>
      </c>
      <c r="U94" s="72">
        <v>0</v>
      </c>
      <c r="V94" s="72">
        <v>0</v>
      </c>
      <c r="W94" s="72">
        <v>982488.18</v>
      </c>
      <c r="X94" s="72">
        <v>15219.05</v>
      </c>
      <c r="Y94" s="72">
        <v>496140.12</v>
      </c>
      <c r="Z94" s="72">
        <v>42188.53</v>
      </c>
      <c r="AA94" s="72">
        <v>47544.07</v>
      </c>
      <c r="AB94" s="72">
        <v>0</v>
      </c>
      <c r="AC94" s="72">
        <v>72430.8</v>
      </c>
      <c r="AD94" s="72">
        <v>6955.29</v>
      </c>
      <c r="AE94" s="72">
        <v>10378.83</v>
      </c>
      <c r="AF94" s="72">
        <v>22569.02</v>
      </c>
      <c r="AG94" s="72">
        <v>1700</v>
      </c>
      <c r="AH94" s="72">
        <v>35650.26</v>
      </c>
      <c r="AI94" s="72">
        <v>3233.77</v>
      </c>
      <c r="AJ94" s="72">
        <v>42711.43</v>
      </c>
      <c r="AK94" s="72">
        <v>1030.0899999999999</v>
      </c>
      <c r="AL94" s="72">
        <v>35704.78</v>
      </c>
      <c r="AM94" s="72">
        <v>24732</v>
      </c>
      <c r="AN94" s="72">
        <v>8874</v>
      </c>
      <c r="AO94" s="72">
        <v>72560.399999999994</v>
      </c>
      <c r="AP94" s="72">
        <v>22287.94</v>
      </c>
      <c r="AQ94" s="72">
        <v>0</v>
      </c>
      <c r="AR94" s="72">
        <v>15940.05</v>
      </c>
      <c r="AS94" s="72">
        <v>7600</v>
      </c>
      <c r="AT94" s="72">
        <v>21946.3</v>
      </c>
      <c r="AU94" s="72">
        <v>90174.04</v>
      </c>
      <c r="AV94" s="72">
        <v>113023.5</v>
      </c>
      <c r="AW94" s="72">
        <v>95504.320000000007</v>
      </c>
      <c r="AX94" s="72">
        <v>38921.9</v>
      </c>
      <c r="AY94" s="72">
        <v>0</v>
      </c>
      <c r="AZ94" s="72">
        <v>174680</v>
      </c>
      <c r="BA94" s="72">
        <v>0</v>
      </c>
      <c r="BB94" s="72">
        <v>0</v>
      </c>
      <c r="BC94" s="72">
        <v>8936.89</v>
      </c>
      <c r="BD94" s="72">
        <v>0</v>
      </c>
      <c r="BE94" s="72">
        <v>174680</v>
      </c>
      <c r="BF94" s="131">
        <v>0</v>
      </c>
      <c r="BG94" s="72">
        <v>73404.240000000005</v>
      </c>
      <c r="BH94" s="72">
        <v>30697.54</v>
      </c>
      <c r="BI94" s="72">
        <v>87369.89</v>
      </c>
    </row>
    <row r="95" spans="1:61">
      <c r="A95" s="131">
        <v>2054</v>
      </c>
      <c r="B95" s="131" t="s">
        <v>117</v>
      </c>
      <c r="C95" s="132">
        <v>84188</v>
      </c>
      <c r="D95" s="131"/>
      <c r="E95" s="71">
        <v>1887</v>
      </c>
      <c r="F95" s="72">
        <v>898459</v>
      </c>
      <c r="G95" s="72">
        <v>0</v>
      </c>
      <c r="H95" s="72">
        <v>97749</v>
      </c>
      <c r="I95" s="72">
        <v>748</v>
      </c>
      <c r="J95" s="72">
        <v>11214</v>
      </c>
      <c r="K95" s="72">
        <v>1999.9</v>
      </c>
      <c r="L95" s="72">
        <v>4635</v>
      </c>
      <c r="M95" s="72">
        <v>11819.46</v>
      </c>
      <c r="N95" s="72">
        <v>43087.37</v>
      </c>
      <c r="O95" s="72">
        <v>0</v>
      </c>
      <c r="P95" s="72">
        <v>1164.93</v>
      </c>
      <c r="Q95" s="72">
        <v>27832.53</v>
      </c>
      <c r="R95" s="72">
        <v>15206.1</v>
      </c>
      <c r="S95" s="72">
        <v>0</v>
      </c>
      <c r="T95" s="72">
        <v>0</v>
      </c>
      <c r="U95" s="72">
        <v>0</v>
      </c>
      <c r="V95" s="72">
        <v>0</v>
      </c>
      <c r="W95" s="72">
        <v>496642.71</v>
      </c>
      <c r="X95" s="72">
        <v>9740.6200000000008</v>
      </c>
      <c r="Y95" s="72">
        <v>168746.33</v>
      </c>
      <c r="Z95" s="72">
        <v>25046.83</v>
      </c>
      <c r="AA95" s="72">
        <v>36712.06</v>
      </c>
      <c r="AB95" s="72">
        <v>0</v>
      </c>
      <c r="AC95" s="72">
        <v>30934.43</v>
      </c>
      <c r="AD95" s="72">
        <v>4748.3900000000003</v>
      </c>
      <c r="AE95" s="72">
        <v>4526.6000000000004</v>
      </c>
      <c r="AF95" s="72">
        <v>7704.08</v>
      </c>
      <c r="AG95" s="72">
        <v>850</v>
      </c>
      <c r="AH95" s="72">
        <v>25601.62</v>
      </c>
      <c r="AI95" s="72">
        <v>17750</v>
      </c>
      <c r="AJ95" s="72">
        <v>12317.51</v>
      </c>
      <c r="AK95" s="72">
        <v>2145.04</v>
      </c>
      <c r="AL95" s="72">
        <v>11240.23</v>
      </c>
      <c r="AM95" s="72">
        <v>12709.5</v>
      </c>
      <c r="AN95" s="72">
        <v>5018.43</v>
      </c>
      <c r="AO95" s="72">
        <v>48074.720000000001</v>
      </c>
      <c r="AP95" s="72">
        <v>20996.7</v>
      </c>
      <c r="AQ95" s="72">
        <v>0</v>
      </c>
      <c r="AR95" s="72">
        <v>8055.39</v>
      </c>
      <c r="AS95" s="72">
        <v>3500.46</v>
      </c>
      <c r="AT95" s="72">
        <v>667.74</v>
      </c>
      <c r="AU95" s="72">
        <v>44161.599999999999</v>
      </c>
      <c r="AV95" s="72">
        <v>28571.56</v>
      </c>
      <c r="AW95" s="72">
        <v>12400.17</v>
      </c>
      <c r="AX95" s="72">
        <v>41308.99</v>
      </c>
      <c r="AY95" s="72">
        <v>0</v>
      </c>
      <c r="AZ95" s="72">
        <v>0</v>
      </c>
      <c r="BA95" s="72">
        <v>0</v>
      </c>
      <c r="BB95" s="72">
        <v>0</v>
      </c>
      <c r="BC95" s="72">
        <v>6666.24</v>
      </c>
      <c r="BD95" s="72">
        <v>0</v>
      </c>
      <c r="BE95" s="72">
        <v>0</v>
      </c>
      <c r="BF95" s="131">
        <v>0</v>
      </c>
      <c r="BG95" s="72">
        <v>8553</v>
      </c>
      <c r="BH95" s="72">
        <v>0</v>
      </c>
      <c r="BI95" s="72">
        <v>0</v>
      </c>
    </row>
    <row r="96" spans="1:61">
      <c r="A96" s="131">
        <v>5408</v>
      </c>
      <c r="B96" s="71" t="s">
        <v>118</v>
      </c>
      <c r="C96" s="132">
        <v>222430</v>
      </c>
      <c r="D96" s="131"/>
      <c r="E96" s="71">
        <v>0</v>
      </c>
      <c r="F96" s="72">
        <v>3225444</v>
      </c>
      <c r="G96" s="72">
        <v>1301583</v>
      </c>
      <c r="H96" s="72">
        <v>596178</v>
      </c>
      <c r="I96" s="72">
        <v>37850</v>
      </c>
      <c r="J96" s="72">
        <v>153517.59</v>
      </c>
      <c r="K96" s="72">
        <v>49000</v>
      </c>
      <c r="L96" s="72">
        <v>27995.41</v>
      </c>
      <c r="M96" s="72">
        <v>31981.26</v>
      </c>
      <c r="N96" s="72">
        <v>8062.36</v>
      </c>
      <c r="O96" s="72">
        <v>0</v>
      </c>
      <c r="P96" s="72">
        <v>0</v>
      </c>
      <c r="Q96" s="72">
        <v>61971.77</v>
      </c>
      <c r="R96" s="72">
        <v>0</v>
      </c>
      <c r="S96" s="72">
        <v>0</v>
      </c>
      <c r="T96" s="72">
        <v>0</v>
      </c>
      <c r="U96" s="72">
        <v>0</v>
      </c>
      <c r="V96" s="72">
        <v>23433</v>
      </c>
      <c r="W96" s="72">
        <v>3022416.27</v>
      </c>
      <c r="X96" s="72">
        <v>17011.8</v>
      </c>
      <c r="Y96" s="72">
        <v>705686.93</v>
      </c>
      <c r="Z96" s="72">
        <v>151527.64000000001</v>
      </c>
      <c r="AA96" s="72">
        <v>363602.83</v>
      </c>
      <c r="AB96" s="72">
        <v>0</v>
      </c>
      <c r="AC96" s="72">
        <v>11855</v>
      </c>
      <c r="AD96" s="72">
        <v>65587.64</v>
      </c>
      <c r="AE96" s="72">
        <v>56880.19</v>
      </c>
      <c r="AF96" s="72">
        <v>0</v>
      </c>
      <c r="AG96" s="72">
        <v>11101.66</v>
      </c>
      <c r="AH96" s="72">
        <v>52374.68</v>
      </c>
      <c r="AI96" s="72">
        <v>6470.6</v>
      </c>
      <c r="AJ96" s="72">
        <v>91292.74</v>
      </c>
      <c r="AK96" s="72">
        <v>17672.71</v>
      </c>
      <c r="AL96" s="72">
        <v>79391.53</v>
      </c>
      <c r="AM96" s="72">
        <v>0</v>
      </c>
      <c r="AN96" s="72">
        <v>58791.89</v>
      </c>
      <c r="AO96" s="72">
        <v>283652.89</v>
      </c>
      <c r="AP96" s="72">
        <v>73196.820000000007</v>
      </c>
      <c r="AQ96" s="72">
        <v>151202.64000000001</v>
      </c>
      <c r="AR96" s="72">
        <v>94474.9</v>
      </c>
      <c r="AS96" s="72">
        <v>47369.78</v>
      </c>
      <c r="AT96" s="72">
        <v>0</v>
      </c>
      <c r="AU96" s="72">
        <v>71913.16</v>
      </c>
      <c r="AV96" s="72">
        <v>27543.75</v>
      </c>
      <c r="AW96" s="72">
        <v>71758.75</v>
      </c>
      <c r="AX96" s="72">
        <v>26749.33</v>
      </c>
      <c r="AY96" s="72">
        <v>0</v>
      </c>
      <c r="AZ96" s="72">
        <v>20565.150000000001</v>
      </c>
      <c r="BA96" s="72">
        <v>0</v>
      </c>
      <c r="BB96" s="72">
        <v>0</v>
      </c>
      <c r="BC96" s="72">
        <v>0</v>
      </c>
      <c r="BD96" s="72">
        <v>0</v>
      </c>
      <c r="BE96" s="72">
        <v>20565.150000000001</v>
      </c>
      <c r="BF96" s="131">
        <v>0</v>
      </c>
      <c r="BG96" s="72">
        <v>0</v>
      </c>
      <c r="BH96" s="72">
        <v>0</v>
      </c>
      <c r="BI96" s="72">
        <v>20565.150000000001</v>
      </c>
    </row>
    <row r="97" spans="1:61">
      <c r="A97" s="131">
        <v>4003</v>
      </c>
      <c r="B97" s="131" t="s">
        <v>120</v>
      </c>
      <c r="C97" s="132">
        <v>228867</v>
      </c>
      <c r="D97" s="131"/>
      <c r="E97" s="71">
        <v>21465</v>
      </c>
      <c r="F97" s="72">
        <v>4079788</v>
      </c>
      <c r="G97" s="72">
        <v>0</v>
      </c>
      <c r="H97" s="72">
        <v>850457</v>
      </c>
      <c r="I97" s="72">
        <v>21012</v>
      </c>
      <c r="J97" s="72">
        <v>255703.16</v>
      </c>
      <c r="K97" s="72">
        <v>3623</v>
      </c>
      <c r="L97" s="72">
        <v>227.22</v>
      </c>
      <c r="M97" s="72">
        <v>84507.14</v>
      </c>
      <c r="N97" s="72">
        <v>0</v>
      </c>
      <c r="O97" s="72">
        <v>0</v>
      </c>
      <c r="P97" s="72">
        <v>0</v>
      </c>
      <c r="Q97" s="72">
        <v>14078.05</v>
      </c>
      <c r="R97" s="72">
        <v>333.33</v>
      </c>
      <c r="S97" s="72">
        <v>0</v>
      </c>
      <c r="T97" s="72">
        <v>0</v>
      </c>
      <c r="U97" s="72">
        <v>0</v>
      </c>
      <c r="V97" s="72">
        <v>33433</v>
      </c>
      <c r="W97" s="72">
        <v>2586518.8199999998</v>
      </c>
      <c r="X97" s="72">
        <v>3519.48</v>
      </c>
      <c r="Y97" s="72">
        <v>874506.97</v>
      </c>
      <c r="Z97" s="72">
        <v>91468.61</v>
      </c>
      <c r="AA97" s="72">
        <v>410268.64</v>
      </c>
      <c r="AB97" s="72">
        <v>0</v>
      </c>
      <c r="AC97" s="72">
        <v>69928.210000000006</v>
      </c>
      <c r="AD97" s="72">
        <v>63093.24</v>
      </c>
      <c r="AE97" s="72">
        <v>26838.45</v>
      </c>
      <c r="AF97" s="72">
        <v>0</v>
      </c>
      <c r="AG97" s="72">
        <v>3000</v>
      </c>
      <c r="AH97" s="72">
        <v>98936.74</v>
      </c>
      <c r="AI97" s="72">
        <v>6655.08</v>
      </c>
      <c r="AJ97" s="72">
        <v>45717.02</v>
      </c>
      <c r="AK97" s="72">
        <v>5565.95</v>
      </c>
      <c r="AL97" s="72">
        <v>68922.02</v>
      </c>
      <c r="AM97" s="72">
        <v>53058</v>
      </c>
      <c r="AN97" s="72">
        <v>41218.400000000001</v>
      </c>
      <c r="AO97" s="72">
        <v>153731.51999999999</v>
      </c>
      <c r="AP97" s="72">
        <v>79741.539999999994</v>
      </c>
      <c r="AQ97" s="72">
        <v>46907.47</v>
      </c>
      <c r="AR97" s="72">
        <v>26483.64</v>
      </c>
      <c r="AS97" s="72">
        <v>19506.84</v>
      </c>
      <c r="AT97" s="72">
        <v>0</v>
      </c>
      <c r="AU97" s="72">
        <v>75816.100000000006</v>
      </c>
      <c r="AV97" s="72">
        <v>128407.93</v>
      </c>
      <c r="AW97" s="72">
        <v>28995.03</v>
      </c>
      <c r="AX97" s="72">
        <v>17208.66</v>
      </c>
      <c r="AY97" s="72">
        <v>0</v>
      </c>
      <c r="AZ97" s="72">
        <v>336478</v>
      </c>
      <c r="BA97" s="72">
        <v>0</v>
      </c>
      <c r="BB97" s="72">
        <v>0</v>
      </c>
      <c r="BC97" s="72">
        <v>17520.88</v>
      </c>
      <c r="BD97" s="72">
        <v>0</v>
      </c>
      <c r="BE97" s="72">
        <v>336478</v>
      </c>
      <c r="BF97" s="131">
        <v>0</v>
      </c>
      <c r="BG97" s="72">
        <v>333615.45</v>
      </c>
      <c r="BH97" s="72">
        <v>7984</v>
      </c>
      <c r="BI97" s="72">
        <v>30636.3</v>
      </c>
    </row>
    <row r="98" spans="1:61">
      <c r="A98" s="131">
        <v>5407</v>
      </c>
      <c r="B98" s="131" t="s">
        <v>125</v>
      </c>
      <c r="C98" s="132">
        <v>101914</v>
      </c>
      <c r="D98" s="131"/>
      <c r="E98" s="71">
        <v>0</v>
      </c>
      <c r="F98" s="72">
        <v>4321967</v>
      </c>
      <c r="G98" s="72">
        <v>1080746</v>
      </c>
      <c r="H98" s="72">
        <v>580970</v>
      </c>
      <c r="I98" s="72">
        <v>21499</v>
      </c>
      <c r="J98" s="72">
        <v>147027.75</v>
      </c>
      <c r="K98" s="72">
        <v>0</v>
      </c>
      <c r="L98" s="72">
        <v>0</v>
      </c>
      <c r="M98" s="72">
        <v>8083.06</v>
      </c>
      <c r="N98" s="72">
        <v>0</v>
      </c>
      <c r="O98" s="72">
        <v>0</v>
      </c>
      <c r="P98" s="72">
        <v>0</v>
      </c>
      <c r="Q98" s="72">
        <v>75768.38</v>
      </c>
      <c r="R98" s="72">
        <v>181659.05</v>
      </c>
      <c r="S98" s="72">
        <v>0</v>
      </c>
      <c r="T98" s="72">
        <v>0</v>
      </c>
      <c r="U98" s="72">
        <v>0</v>
      </c>
      <c r="V98" s="72">
        <v>16282.16</v>
      </c>
      <c r="W98" s="72">
        <v>3803269.1200000001</v>
      </c>
      <c r="X98" s="72">
        <v>2439.6799999999998</v>
      </c>
      <c r="Y98" s="72">
        <v>762929.56</v>
      </c>
      <c r="Z98" s="72">
        <v>87773.55</v>
      </c>
      <c r="AA98" s="72">
        <v>345547.74</v>
      </c>
      <c r="AB98" s="72">
        <v>0</v>
      </c>
      <c r="AC98" s="72">
        <v>16870.05</v>
      </c>
      <c r="AD98" s="72">
        <v>26854.92</v>
      </c>
      <c r="AE98" s="72">
        <v>17853.21</v>
      </c>
      <c r="AF98" s="72">
        <v>0</v>
      </c>
      <c r="AG98" s="72">
        <v>5310.07</v>
      </c>
      <c r="AH98" s="72">
        <v>94474.69</v>
      </c>
      <c r="AI98" s="72">
        <v>10460.82</v>
      </c>
      <c r="AJ98" s="72">
        <v>127190.93</v>
      </c>
      <c r="AK98" s="72">
        <v>7047.26</v>
      </c>
      <c r="AL98" s="72">
        <v>153462.54</v>
      </c>
      <c r="AM98" s="72">
        <v>0</v>
      </c>
      <c r="AN98" s="72">
        <v>39842.620000000003</v>
      </c>
      <c r="AO98" s="72">
        <v>137434.82</v>
      </c>
      <c r="AP98" s="72">
        <v>54486.25</v>
      </c>
      <c r="AQ98" s="72">
        <v>96204.86</v>
      </c>
      <c r="AR98" s="72">
        <v>235656.34</v>
      </c>
      <c r="AS98" s="72">
        <v>43815.9</v>
      </c>
      <c r="AT98" s="72">
        <v>80</v>
      </c>
      <c r="AU98" s="72">
        <v>48023.68</v>
      </c>
      <c r="AV98" s="72">
        <v>49901.5</v>
      </c>
      <c r="AW98" s="72">
        <v>21121.25</v>
      </c>
      <c r="AX98" s="72">
        <v>72665.759999999995</v>
      </c>
      <c r="AY98" s="72">
        <v>0</v>
      </c>
      <c r="AZ98" s="72">
        <v>0</v>
      </c>
      <c r="BA98" s="72">
        <v>0</v>
      </c>
      <c r="BB98" s="72">
        <v>0</v>
      </c>
      <c r="BC98" s="72">
        <v>0</v>
      </c>
      <c r="BD98" s="72">
        <v>0</v>
      </c>
      <c r="BE98" s="72">
        <v>0</v>
      </c>
      <c r="BF98" s="131">
        <v>0</v>
      </c>
      <c r="BG98" s="72">
        <v>0</v>
      </c>
      <c r="BH98" s="72">
        <v>0</v>
      </c>
      <c r="BI98" s="72">
        <v>0</v>
      </c>
    </row>
    <row r="99" spans="1:61">
      <c r="A99" s="131">
        <v>5403</v>
      </c>
      <c r="B99" s="131" t="s">
        <v>126</v>
      </c>
      <c r="C99" s="132">
        <v>208406</v>
      </c>
      <c r="D99" s="131"/>
      <c r="E99" s="71">
        <v>0</v>
      </c>
      <c r="F99" s="72">
        <v>3251885</v>
      </c>
      <c r="G99" s="72">
        <v>661960</v>
      </c>
      <c r="H99" s="72">
        <v>585358</v>
      </c>
      <c r="I99" s="72">
        <v>27413</v>
      </c>
      <c r="J99" s="72">
        <v>156840.26999999999</v>
      </c>
      <c r="K99" s="72">
        <v>9199.5</v>
      </c>
      <c r="L99" s="72">
        <v>13510</v>
      </c>
      <c r="M99" s="72">
        <v>38833.51</v>
      </c>
      <c r="N99" s="72">
        <v>0</v>
      </c>
      <c r="O99" s="72">
        <v>0</v>
      </c>
      <c r="P99" s="72">
        <v>0</v>
      </c>
      <c r="Q99" s="72">
        <v>25048.18</v>
      </c>
      <c r="R99" s="72">
        <v>26023.33</v>
      </c>
      <c r="S99" s="72">
        <v>0</v>
      </c>
      <c r="T99" s="72">
        <v>0</v>
      </c>
      <c r="U99" s="72">
        <v>0</v>
      </c>
      <c r="V99" s="72">
        <v>4433</v>
      </c>
      <c r="W99" s="72">
        <v>2301443.25</v>
      </c>
      <c r="X99" s="72">
        <v>0</v>
      </c>
      <c r="Y99" s="72">
        <v>537549.69999999995</v>
      </c>
      <c r="Z99" s="72">
        <v>111730.91</v>
      </c>
      <c r="AA99" s="72">
        <v>348244.89</v>
      </c>
      <c r="AB99" s="72">
        <v>0</v>
      </c>
      <c r="AC99" s="72">
        <v>43284.05</v>
      </c>
      <c r="AD99" s="72">
        <v>18965.939999999999</v>
      </c>
      <c r="AE99" s="72">
        <v>20579.669999999998</v>
      </c>
      <c r="AF99" s="72">
        <v>0</v>
      </c>
      <c r="AG99" s="72">
        <v>6785.22</v>
      </c>
      <c r="AH99" s="72">
        <v>114525.89</v>
      </c>
      <c r="AI99" s="72">
        <v>7119</v>
      </c>
      <c r="AJ99" s="72">
        <v>91308.38</v>
      </c>
      <c r="AK99" s="72">
        <v>13764.85</v>
      </c>
      <c r="AL99" s="72">
        <v>86518.12</v>
      </c>
      <c r="AM99" s="72">
        <v>0</v>
      </c>
      <c r="AN99" s="72">
        <v>32396.799999999999</v>
      </c>
      <c r="AO99" s="72">
        <v>209419.71</v>
      </c>
      <c r="AP99" s="72">
        <v>97042.75</v>
      </c>
      <c r="AQ99" s="72">
        <v>119435.79</v>
      </c>
      <c r="AR99" s="72">
        <v>28815.62</v>
      </c>
      <c r="AS99" s="72">
        <v>24234.91</v>
      </c>
      <c r="AT99" s="72">
        <v>180</v>
      </c>
      <c r="AU99" s="72">
        <v>53957.51</v>
      </c>
      <c r="AV99" s="72">
        <v>202955.64</v>
      </c>
      <c r="AW99" s="72">
        <v>156176.88</v>
      </c>
      <c r="AX99" s="72">
        <v>33896.25</v>
      </c>
      <c r="AY99" s="72">
        <v>0</v>
      </c>
      <c r="AZ99" s="72">
        <v>3180.47</v>
      </c>
      <c r="BA99" s="72">
        <v>0</v>
      </c>
      <c r="BB99" s="72">
        <v>0</v>
      </c>
      <c r="BC99" s="72">
        <v>0</v>
      </c>
      <c r="BD99" s="72">
        <v>0</v>
      </c>
      <c r="BE99" s="72">
        <v>3180.47</v>
      </c>
      <c r="BF99" s="131">
        <v>0</v>
      </c>
      <c r="BG99" s="72">
        <v>0</v>
      </c>
      <c r="BH99" s="72">
        <v>0</v>
      </c>
      <c r="BI99" s="72">
        <v>3180.47</v>
      </c>
    </row>
    <row r="100" spans="1:61">
      <c r="A100" s="131">
        <v>5405</v>
      </c>
      <c r="B100" s="131" t="s">
        <v>119</v>
      </c>
      <c r="C100" s="132">
        <f>769533+1669</f>
        <v>771202</v>
      </c>
      <c r="D100" s="131">
        <v>1669</v>
      </c>
      <c r="E100" s="71">
        <v>0</v>
      </c>
      <c r="F100" s="72">
        <v>4032750</v>
      </c>
      <c r="G100" s="72">
        <v>1622629</v>
      </c>
      <c r="H100" s="72">
        <v>477812</v>
      </c>
      <c r="I100" s="72">
        <v>14611</v>
      </c>
      <c r="J100" s="72">
        <v>80367</v>
      </c>
      <c r="K100" s="72">
        <v>41468</v>
      </c>
      <c r="L100" s="72">
        <v>46581.03</v>
      </c>
      <c r="M100" s="72">
        <v>123161.54</v>
      </c>
      <c r="N100" s="72">
        <v>194694.14</v>
      </c>
      <c r="O100" s="72">
        <v>0</v>
      </c>
      <c r="P100" s="72">
        <v>0</v>
      </c>
      <c r="Q100" s="72">
        <v>108110.49</v>
      </c>
      <c r="R100" s="72">
        <v>0</v>
      </c>
      <c r="S100" s="72">
        <v>0</v>
      </c>
      <c r="T100" s="72">
        <v>9818.2099999999991</v>
      </c>
      <c r="U100" s="72">
        <v>0</v>
      </c>
      <c r="V100" s="72">
        <v>12433</v>
      </c>
      <c r="W100" s="72">
        <v>3776401.47</v>
      </c>
      <c r="X100" s="72">
        <v>69283.08</v>
      </c>
      <c r="Y100" s="72">
        <v>529688.97</v>
      </c>
      <c r="Z100" s="72">
        <v>71910.070000000007</v>
      </c>
      <c r="AA100" s="72">
        <v>327095.86</v>
      </c>
      <c r="AB100" s="72">
        <v>0</v>
      </c>
      <c r="AC100" s="72">
        <v>26739.01</v>
      </c>
      <c r="AD100" s="72">
        <v>63946.64</v>
      </c>
      <c r="AE100" s="72">
        <v>36297.94</v>
      </c>
      <c r="AF100" s="133">
        <f>-140.83+140.83</f>
        <v>0</v>
      </c>
      <c r="AG100" s="133">
        <f>3000-140.83</f>
        <v>2859.17</v>
      </c>
      <c r="AH100" s="72">
        <v>219897.02</v>
      </c>
      <c r="AI100" s="72">
        <v>43156.2</v>
      </c>
      <c r="AJ100" s="72">
        <v>79772.009999999995</v>
      </c>
      <c r="AK100" s="72">
        <v>4431.8599999999997</v>
      </c>
      <c r="AL100" s="72">
        <v>102619.41</v>
      </c>
      <c r="AM100" s="72">
        <v>0</v>
      </c>
      <c r="AN100" s="72">
        <v>20977.69</v>
      </c>
      <c r="AO100" s="72">
        <v>284469.07</v>
      </c>
      <c r="AP100" s="72">
        <v>98072.21</v>
      </c>
      <c r="AQ100" s="72">
        <v>192855.16</v>
      </c>
      <c r="AR100" s="72">
        <v>42725.39</v>
      </c>
      <c r="AS100" s="72">
        <v>21616.15</v>
      </c>
      <c r="AT100" s="72">
        <v>1055</v>
      </c>
      <c r="AU100" s="72">
        <v>224467.02</v>
      </c>
      <c r="AV100" s="72">
        <v>43005.5</v>
      </c>
      <c r="AW100" s="72">
        <v>45762.29</v>
      </c>
      <c r="AX100" s="72">
        <v>27849.09</v>
      </c>
      <c r="AY100" s="72">
        <v>0</v>
      </c>
      <c r="AZ100" s="72">
        <v>500000</v>
      </c>
      <c r="BA100" s="72">
        <v>10537.79</v>
      </c>
      <c r="BB100" s="72">
        <v>10628.93</v>
      </c>
      <c r="BC100" s="72">
        <v>0</v>
      </c>
      <c r="BD100" s="72">
        <v>0</v>
      </c>
      <c r="BE100" s="72">
        <v>500000</v>
      </c>
      <c r="BF100" s="131">
        <v>0</v>
      </c>
      <c r="BG100" s="72">
        <v>74159.740000000005</v>
      </c>
      <c r="BH100" s="72">
        <v>0</v>
      </c>
      <c r="BI100" s="72">
        <v>8579.73</v>
      </c>
    </row>
    <row r="101" spans="1:61">
      <c r="A101" s="131">
        <v>5404</v>
      </c>
      <c r="B101" s="131" t="s">
        <v>127</v>
      </c>
      <c r="C101" s="132">
        <v>222129</v>
      </c>
      <c r="D101" s="131"/>
      <c r="E101" s="71">
        <v>0</v>
      </c>
      <c r="F101" s="72">
        <v>2514430</v>
      </c>
      <c r="G101" s="72">
        <v>1527696</v>
      </c>
      <c r="H101" s="72">
        <v>39270</v>
      </c>
      <c r="I101" s="72">
        <v>9254</v>
      </c>
      <c r="J101" s="72">
        <v>25543.25</v>
      </c>
      <c r="K101" s="72">
        <v>32245</v>
      </c>
      <c r="L101" s="72">
        <v>0</v>
      </c>
      <c r="M101" s="72">
        <v>23683.53</v>
      </c>
      <c r="N101" s="72">
        <v>86115.61</v>
      </c>
      <c r="O101" s="72">
        <v>0</v>
      </c>
      <c r="P101" s="72">
        <v>0</v>
      </c>
      <c r="Q101" s="72">
        <v>0</v>
      </c>
      <c r="R101" s="72">
        <v>1800</v>
      </c>
      <c r="S101" s="72">
        <v>0</v>
      </c>
      <c r="T101" s="72">
        <v>0</v>
      </c>
      <c r="U101" s="72">
        <v>0</v>
      </c>
      <c r="V101" s="72">
        <v>4433</v>
      </c>
      <c r="W101" s="72">
        <v>2833787.92</v>
      </c>
      <c r="X101" s="72">
        <v>5099.2700000000004</v>
      </c>
      <c r="Y101" s="72">
        <v>164165.64000000001</v>
      </c>
      <c r="Z101" s="72">
        <v>184292.6</v>
      </c>
      <c r="AA101" s="72">
        <v>352347.57</v>
      </c>
      <c r="AB101" s="72">
        <v>54313.95</v>
      </c>
      <c r="AC101" s="72">
        <v>10910.61</v>
      </c>
      <c r="AD101" s="72">
        <v>29202.04</v>
      </c>
      <c r="AE101" s="72">
        <v>24938.74</v>
      </c>
      <c r="AF101" s="72">
        <v>0</v>
      </c>
      <c r="AG101" s="72">
        <v>3016.55</v>
      </c>
      <c r="AH101" s="72">
        <v>49271.26</v>
      </c>
      <c r="AI101" s="72">
        <v>11694.96</v>
      </c>
      <c r="AJ101" s="72">
        <v>24101.73</v>
      </c>
      <c r="AK101" s="72">
        <v>3783.01</v>
      </c>
      <c r="AL101" s="72">
        <v>67116.759999999995</v>
      </c>
      <c r="AM101" s="72">
        <v>0</v>
      </c>
      <c r="AN101" s="72">
        <v>40398.949999999997</v>
      </c>
      <c r="AO101" s="72">
        <v>177263.64</v>
      </c>
      <c r="AP101" s="72">
        <v>58748.800000000003</v>
      </c>
      <c r="AQ101" s="72">
        <v>108753.71</v>
      </c>
      <c r="AR101" s="72">
        <v>20814.05</v>
      </c>
      <c r="AS101" s="72">
        <v>34886.33</v>
      </c>
      <c r="AT101" s="72">
        <v>1603.1</v>
      </c>
      <c r="AU101" s="72">
        <v>39074.639999999999</v>
      </c>
      <c r="AV101" s="72">
        <v>3600.99</v>
      </c>
      <c r="AW101" s="72">
        <v>14302.45</v>
      </c>
      <c r="AX101" s="72">
        <v>38293.56</v>
      </c>
      <c r="AY101" s="72">
        <v>0</v>
      </c>
      <c r="AZ101" s="72">
        <v>61788.72</v>
      </c>
      <c r="BA101" s="72">
        <v>0</v>
      </c>
      <c r="BB101" s="72">
        <v>0</v>
      </c>
      <c r="BC101" s="72">
        <v>0</v>
      </c>
      <c r="BD101" s="72">
        <v>0</v>
      </c>
      <c r="BE101" s="72">
        <v>61788.72</v>
      </c>
      <c r="BF101" s="131">
        <v>0</v>
      </c>
      <c r="BG101" s="72">
        <v>47192</v>
      </c>
      <c r="BH101" s="72">
        <v>0</v>
      </c>
      <c r="BI101" s="72">
        <v>14596.4</v>
      </c>
    </row>
    <row r="102" spans="1:61">
      <c r="A102" s="131">
        <v>4210</v>
      </c>
      <c r="B102" s="131" t="s">
        <v>52</v>
      </c>
      <c r="C102" s="132">
        <v>987907</v>
      </c>
      <c r="D102" s="131"/>
      <c r="E102" s="71">
        <v>181397</v>
      </c>
      <c r="F102" s="72">
        <v>1840922</v>
      </c>
      <c r="G102" s="72">
        <v>582419</v>
      </c>
      <c r="H102" s="72">
        <v>304195</v>
      </c>
      <c r="I102" s="72">
        <v>11684</v>
      </c>
      <c r="J102" s="72">
        <v>100759.59</v>
      </c>
      <c r="K102" s="72">
        <v>45610</v>
      </c>
      <c r="L102" s="72">
        <v>3136.85</v>
      </c>
      <c r="M102" s="72">
        <v>34788.99</v>
      </c>
      <c r="N102" s="72">
        <v>0</v>
      </c>
      <c r="O102" s="72">
        <v>12141</v>
      </c>
      <c r="P102" s="72">
        <v>2431.2399999999998</v>
      </c>
      <c r="Q102" s="72">
        <v>61164.89</v>
      </c>
      <c r="R102" s="72">
        <v>6772.02</v>
      </c>
      <c r="S102" s="72">
        <v>0</v>
      </c>
      <c r="T102" s="72">
        <v>0</v>
      </c>
      <c r="U102" s="72">
        <v>0</v>
      </c>
      <c r="V102" s="72">
        <v>13000</v>
      </c>
      <c r="W102" s="72">
        <v>1493800.52</v>
      </c>
      <c r="X102" s="72">
        <v>6288.19</v>
      </c>
      <c r="Y102" s="72">
        <v>250831.17</v>
      </c>
      <c r="Z102" s="72">
        <v>65755.3</v>
      </c>
      <c r="AA102" s="72">
        <v>147894.20000000001</v>
      </c>
      <c r="AB102" s="72">
        <v>0</v>
      </c>
      <c r="AC102" s="72">
        <v>59602.1</v>
      </c>
      <c r="AD102" s="72">
        <v>7561.77</v>
      </c>
      <c r="AE102" s="72">
        <v>11510.38</v>
      </c>
      <c r="AF102" s="72">
        <v>21805.16</v>
      </c>
      <c r="AG102" s="72">
        <v>2557.3000000000002</v>
      </c>
      <c r="AH102" s="72">
        <v>118250.03</v>
      </c>
      <c r="AI102" s="72">
        <v>6780</v>
      </c>
      <c r="AJ102" s="72">
        <v>3970.39</v>
      </c>
      <c r="AK102" s="72">
        <v>857.31</v>
      </c>
      <c r="AL102" s="72">
        <v>22596.81</v>
      </c>
      <c r="AM102" s="72">
        <v>23843.69</v>
      </c>
      <c r="AN102" s="72">
        <v>3287.99</v>
      </c>
      <c r="AO102" s="72">
        <v>109712.89</v>
      </c>
      <c r="AP102" s="72">
        <v>27655.03</v>
      </c>
      <c r="AQ102" s="72">
        <v>81179.149999999994</v>
      </c>
      <c r="AR102" s="72">
        <v>33106.78</v>
      </c>
      <c r="AS102" s="72">
        <v>10240.36</v>
      </c>
      <c r="AT102" s="72">
        <v>1427351.24</v>
      </c>
      <c r="AU102" s="72">
        <v>22140.55</v>
      </c>
      <c r="AV102" s="72">
        <v>73975</v>
      </c>
      <c r="AW102" s="72">
        <v>42682.32</v>
      </c>
      <c r="AX102" s="72">
        <v>40550.58</v>
      </c>
      <c r="AY102" s="72">
        <v>0</v>
      </c>
      <c r="AZ102" s="72">
        <v>0</v>
      </c>
      <c r="BA102" s="72">
        <v>0</v>
      </c>
      <c r="BB102" s="72">
        <v>0</v>
      </c>
      <c r="BC102" s="72">
        <v>9677.6299999999992</v>
      </c>
      <c r="BD102" s="72">
        <v>0</v>
      </c>
      <c r="BE102" s="72">
        <v>0</v>
      </c>
      <c r="BF102" s="131">
        <v>0</v>
      </c>
      <c r="BG102" s="72">
        <v>0</v>
      </c>
      <c r="BH102" s="72">
        <v>50000</v>
      </c>
      <c r="BI102" s="72">
        <v>32220</v>
      </c>
    </row>
    <row r="103" spans="1:61">
      <c r="A103" s="131">
        <v>5427</v>
      </c>
      <c r="B103" s="131" t="s">
        <v>134</v>
      </c>
      <c r="C103" s="132">
        <v>140686</v>
      </c>
      <c r="D103" s="131"/>
      <c r="E103" s="71">
        <v>0</v>
      </c>
      <c r="F103" s="72">
        <v>2594614</v>
      </c>
      <c r="G103" s="72">
        <v>165813</v>
      </c>
      <c r="H103" s="72">
        <v>694647.53</v>
      </c>
      <c r="I103" s="72">
        <v>348</v>
      </c>
      <c r="J103" s="72">
        <v>23674</v>
      </c>
      <c r="K103" s="72">
        <v>137508.88</v>
      </c>
      <c r="L103" s="72">
        <v>3600</v>
      </c>
      <c r="M103" s="72">
        <v>405</v>
      </c>
      <c r="N103" s="72">
        <v>0</v>
      </c>
      <c r="O103" s="72">
        <v>12551.4</v>
      </c>
      <c r="P103" s="72">
        <v>0</v>
      </c>
      <c r="Q103" s="72">
        <v>69874.05</v>
      </c>
      <c r="R103" s="72">
        <v>618646</v>
      </c>
      <c r="S103" s="72">
        <v>0</v>
      </c>
      <c r="T103" s="72">
        <v>0</v>
      </c>
      <c r="U103" s="72">
        <v>0</v>
      </c>
      <c r="V103" s="72">
        <v>14933</v>
      </c>
      <c r="W103" s="72">
        <v>2164082.67</v>
      </c>
      <c r="X103" s="72">
        <v>4855.5</v>
      </c>
      <c r="Y103" s="72">
        <v>640779.28</v>
      </c>
      <c r="Z103" s="72">
        <v>98742.73</v>
      </c>
      <c r="AA103" s="72">
        <v>297638.17</v>
      </c>
      <c r="AB103" s="72">
        <v>0</v>
      </c>
      <c r="AC103" s="72">
        <v>20301.12</v>
      </c>
      <c r="AD103" s="72">
        <v>80066.8</v>
      </c>
      <c r="AE103" s="72">
        <v>26199.119999999999</v>
      </c>
      <c r="AF103" s="133">
        <f>18163.73-0.1</f>
        <v>18163.63</v>
      </c>
      <c r="AG103" s="133">
        <f>-0.1+0.1</f>
        <v>0</v>
      </c>
      <c r="AH103" s="72">
        <v>147444.39000000001</v>
      </c>
      <c r="AI103" s="72">
        <v>21566.080000000002</v>
      </c>
      <c r="AJ103" s="72">
        <v>86743.8</v>
      </c>
      <c r="AK103" s="72">
        <v>713.36</v>
      </c>
      <c r="AL103" s="72">
        <v>94052.6</v>
      </c>
      <c r="AM103" s="72">
        <v>0</v>
      </c>
      <c r="AN103" s="72">
        <v>100068</v>
      </c>
      <c r="AO103" s="72">
        <v>212789.95</v>
      </c>
      <c r="AP103" s="72">
        <v>19610.3</v>
      </c>
      <c r="AQ103" s="72">
        <v>6031.54</v>
      </c>
      <c r="AR103" s="72">
        <v>67962.149999999994</v>
      </c>
      <c r="AS103" s="72">
        <v>49111.49</v>
      </c>
      <c r="AT103" s="72">
        <v>30</v>
      </c>
      <c r="AU103" s="72">
        <v>11584.66</v>
      </c>
      <c r="AV103" s="72">
        <v>8262</v>
      </c>
      <c r="AW103" s="72">
        <v>96752.82</v>
      </c>
      <c r="AX103" s="72">
        <v>52030.59</v>
      </c>
      <c r="AY103" s="72">
        <v>0</v>
      </c>
      <c r="AZ103" s="72">
        <v>0</v>
      </c>
      <c r="BA103" s="72">
        <v>0</v>
      </c>
      <c r="BB103" s="72">
        <v>0</v>
      </c>
      <c r="BC103" s="72">
        <v>0</v>
      </c>
      <c r="BD103" s="72">
        <v>0</v>
      </c>
      <c r="BE103" s="72">
        <v>0</v>
      </c>
      <c r="BF103" s="131">
        <v>0</v>
      </c>
      <c r="BG103" s="72">
        <v>0</v>
      </c>
      <c r="BH103" s="72">
        <v>0</v>
      </c>
      <c r="BI103" s="72">
        <v>0</v>
      </c>
    </row>
    <row r="104" spans="1:61">
      <c r="A104" s="131">
        <v>7010</v>
      </c>
      <c r="B104" s="131" t="s">
        <v>129</v>
      </c>
      <c r="C104" s="132">
        <f>183371+33605</f>
        <v>216976</v>
      </c>
      <c r="D104" s="131">
        <v>33605</v>
      </c>
      <c r="E104" s="71">
        <v>8479</v>
      </c>
      <c r="F104" s="72">
        <v>1996354</v>
      </c>
      <c r="G104" s="72">
        <v>0</v>
      </c>
      <c r="H104" s="72">
        <v>251645.18</v>
      </c>
      <c r="I104" s="72">
        <v>4964</v>
      </c>
      <c r="J104" s="72">
        <v>14952</v>
      </c>
      <c r="K104" s="72">
        <v>40658.89</v>
      </c>
      <c r="L104" s="72">
        <v>36606.69</v>
      </c>
      <c r="M104" s="72">
        <v>1403.76</v>
      </c>
      <c r="N104" s="72">
        <v>14364.72</v>
      </c>
      <c r="O104" s="72">
        <v>9496.23</v>
      </c>
      <c r="P104" s="72">
        <v>10468.16</v>
      </c>
      <c r="Q104" s="72">
        <v>5</v>
      </c>
      <c r="R104" s="72">
        <v>16672.5</v>
      </c>
      <c r="S104" s="72">
        <v>0</v>
      </c>
      <c r="T104" s="72">
        <v>170000</v>
      </c>
      <c r="U104" s="72">
        <v>76769.7</v>
      </c>
      <c r="V104" s="72">
        <v>9433</v>
      </c>
      <c r="W104" s="72">
        <v>950431.75</v>
      </c>
      <c r="X104" s="72">
        <v>0</v>
      </c>
      <c r="Y104" s="72">
        <v>833000.95</v>
      </c>
      <c r="Z104" s="72">
        <v>49505.03</v>
      </c>
      <c r="AA104" s="72">
        <v>35324.620000000003</v>
      </c>
      <c r="AB104" s="72">
        <v>0</v>
      </c>
      <c r="AC104" s="72">
        <v>48334.28</v>
      </c>
      <c r="AD104" s="72">
        <v>24131.97</v>
      </c>
      <c r="AE104" s="72">
        <v>30317.51</v>
      </c>
      <c r="AF104" s="72">
        <v>16984.22</v>
      </c>
      <c r="AG104" s="72">
        <v>1234</v>
      </c>
      <c r="AH104" s="72">
        <v>49832.19</v>
      </c>
      <c r="AI104" s="72">
        <v>7342.59</v>
      </c>
      <c r="AJ104" s="72">
        <v>3123.7</v>
      </c>
      <c r="AK104" s="72">
        <v>4334.45</v>
      </c>
      <c r="AL104" s="72">
        <v>16869.57</v>
      </c>
      <c r="AM104" s="72">
        <v>0</v>
      </c>
      <c r="AN104" s="72">
        <v>16582.75</v>
      </c>
      <c r="AO104" s="72">
        <v>73317.490000000005</v>
      </c>
      <c r="AP104" s="72">
        <v>26447.38</v>
      </c>
      <c r="AQ104" s="72">
        <v>922.85</v>
      </c>
      <c r="AR104" s="72">
        <v>8177.25</v>
      </c>
      <c r="AS104" s="72">
        <v>10198</v>
      </c>
      <c r="AT104" s="72">
        <v>9914.6200000000008</v>
      </c>
      <c r="AU104" s="72">
        <v>23063.62</v>
      </c>
      <c r="AV104" s="72">
        <v>0</v>
      </c>
      <c r="AW104" s="72">
        <v>14851.66</v>
      </c>
      <c r="AX104" s="72">
        <v>24008.3</v>
      </c>
      <c r="AY104" s="72">
        <v>0</v>
      </c>
      <c r="AZ104" s="72">
        <v>117500</v>
      </c>
      <c r="BA104" s="72">
        <v>128467.15</v>
      </c>
      <c r="BB104" s="72">
        <v>17516.36</v>
      </c>
      <c r="BC104" s="72">
        <v>6025</v>
      </c>
      <c r="BD104" s="72">
        <v>0</v>
      </c>
      <c r="BE104" s="72">
        <v>117500</v>
      </c>
      <c r="BF104" s="131">
        <v>0</v>
      </c>
      <c r="BG104" s="72">
        <v>114204.3</v>
      </c>
      <c r="BH104" s="72">
        <v>18000</v>
      </c>
      <c r="BI104" s="72">
        <v>0</v>
      </c>
    </row>
    <row r="105" spans="1:61">
      <c r="A105" s="131">
        <v>7005</v>
      </c>
      <c r="B105" s="131" t="s">
        <v>130</v>
      </c>
      <c r="C105" s="132">
        <v>218260</v>
      </c>
      <c r="D105" s="131"/>
      <c r="E105" s="71">
        <v>2802</v>
      </c>
      <c r="F105" s="72">
        <v>1538649</v>
      </c>
      <c r="G105" s="72">
        <v>0</v>
      </c>
      <c r="H105" s="72">
        <v>217818.84</v>
      </c>
      <c r="I105" s="72">
        <v>7942</v>
      </c>
      <c r="J105" s="72">
        <v>26789</v>
      </c>
      <c r="K105" s="72">
        <v>4420.58</v>
      </c>
      <c r="L105" s="72">
        <v>4515</v>
      </c>
      <c r="M105" s="72">
        <v>41555.230000000003</v>
      </c>
      <c r="N105" s="72">
        <v>12863.48</v>
      </c>
      <c r="O105" s="72">
        <v>3249</v>
      </c>
      <c r="P105" s="72">
        <v>1729</v>
      </c>
      <c r="Q105" s="72">
        <v>53.49</v>
      </c>
      <c r="R105" s="72">
        <v>84.72</v>
      </c>
      <c r="S105" s="72">
        <v>0</v>
      </c>
      <c r="T105" s="72">
        <v>0</v>
      </c>
      <c r="U105" s="72">
        <v>0</v>
      </c>
      <c r="V105" s="72">
        <v>0</v>
      </c>
      <c r="W105" s="72">
        <v>684578.35</v>
      </c>
      <c r="X105" s="72">
        <v>0</v>
      </c>
      <c r="Y105" s="72">
        <v>688688.45</v>
      </c>
      <c r="Z105" s="72">
        <v>34553.129999999997</v>
      </c>
      <c r="AA105" s="72">
        <v>46525.39</v>
      </c>
      <c r="AB105" s="72">
        <v>0</v>
      </c>
      <c r="AC105" s="133">
        <f>-12+12</f>
        <v>0</v>
      </c>
      <c r="AD105" s="133">
        <f>13951.94-12</f>
        <v>13939.94</v>
      </c>
      <c r="AE105" s="72">
        <v>11818.18</v>
      </c>
      <c r="AF105" s="72">
        <v>11735.37</v>
      </c>
      <c r="AG105" s="72">
        <v>999.61</v>
      </c>
      <c r="AH105" s="72">
        <v>59034.98</v>
      </c>
      <c r="AI105" s="72">
        <v>3280.38</v>
      </c>
      <c r="AJ105" s="72">
        <v>16445.78</v>
      </c>
      <c r="AK105" s="72">
        <v>6666.4</v>
      </c>
      <c r="AL105" s="72">
        <v>37376.68</v>
      </c>
      <c r="AM105" s="72">
        <v>0</v>
      </c>
      <c r="AN105" s="72">
        <v>7302.07</v>
      </c>
      <c r="AO105" s="72">
        <v>78287.41</v>
      </c>
      <c r="AP105" s="72">
        <v>66522.86</v>
      </c>
      <c r="AQ105" s="72">
        <v>0</v>
      </c>
      <c r="AR105" s="72">
        <v>5581.33</v>
      </c>
      <c r="AS105" s="72">
        <v>17000.71</v>
      </c>
      <c r="AT105" s="72">
        <v>152.62</v>
      </c>
      <c r="AU105" s="72">
        <v>20822.78</v>
      </c>
      <c r="AV105" s="72">
        <v>0</v>
      </c>
      <c r="AW105" s="72">
        <v>34338.51</v>
      </c>
      <c r="AX105" s="72">
        <v>25743.3</v>
      </c>
      <c r="AY105" s="72">
        <v>0</v>
      </c>
      <c r="AZ105" s="72">
        <v>38500</v>
      </c>
      <c r="BA105" s="72">
        <v>0</v>
      </c>
      <c r="BB105" s="72">
        <v>0</v>
      </c>
      <c r="BC105" s="72">
        <v>6801.24</v>
      </c>
      <c r="BD105" s="72">
        <v>0</v>
      </c>
      <c r="BE105" s="72">
        <v>38500</v>
      </c>
      <c r="BF105" s="131">
        <v>0</v>
      </c>
      <c r="BG105" s="72">
        <v>22469</v>
      </c>
      <c r="BH105" s="72">
        <v>21000</v>
      </c>
      <c r="BI105" s="72">
        <v>0</v>
      </c>
    </row>
    <row r="106" spans="1:61">
      <c r="A106" s="131">
        <v>7000</v>
      </c>
      <c r="B106" s="131" t="s">
        <v>131</v>
      </c>
      <c r="C106" s="132">
        <v>233186</v>
      </c>
      <c r="D106" s="131"/>
      <c r="E106" s="71">
        <v>1455</v>
      </c>
      <c r="F106" s="72">
        <v>1885114</v>
      </c>
      <c r="G106" s="72">
        <v>850826</v>
      </c>
      <c r="H106" s="72">
        <v>364641.4</v>
      </c>
      <c r="I106" s="72">
        <v>14560</v>
      </c>
      <c r="J106" s="72">
        <v>33143.58</v>
      </c>
      <c r="K106" s="72">
        <v>68635.58</v>
      </c>
      <c r="L106" s="72">
        <v>10800</v>
      </c>
      <c r="M106" s="72">
        <v>47826.38</v>
      </c>
      <c r="N106" s="72">
        <v>21627.94</v>
      </c>
      <c r="O106" s="72">
        <v>0</v>
      </c>
      <c r="P106" s="72">
        <v>0</v>
      </c>
      <c r="Q106" s="72">
        <v>7777.75</v>
      </c>
      <c r="R106" s="72">
        <v>7286.7</v>
      </c>
      <c r="S106" s="72">
        <v>0</v>
      </c>
      <c r="T106" s="72">
        <v>0</v>
      </c>
      <c r="U106" s="72">
        <v>0</v>
      </c>
      <c r="V106" s="72">
        <v>14433</v>
      </c>
      <c r="W106" s="72">
        <v>1560500.36</v>
      </c>
      <c r="X106" s="72">
        <v>0</v>
      </c>
      <c r="Y106" s="72">
        <v>521121.48</v>
      </c>
      <c r="Z106" s="72">
        <v>42439.64</v>
      </c>
      <c r="AA106" s="72">
        <v>103840.8</v>
      </c>
      <c r="AB106" s="72">
        <v>3440.53</v>
      </c>
      <c r="AC106" s="72">
        <v>4123.6899999999996</v>
      </c>
      <c r="AD106" s="72">
        <v>31752.12</v>
      </c>
      <c r="AE106" s="72">
        <v>18716.79</v>
      </c>
      <c r="AF106" s="72">
        <v>0</v>
      </c>
      <c r="AG106" s="72">
        <v>2800</v>
      </c>
      <c r="AH106" s="72">
        <v>44996.97</v>
      </c>
      <c r="AI106" s="72">
        <v>4291.33</v>
      </c>
      <c r="AJ106" s="72">
        <v>26939.39</v>
      </c>
      <c r="AK106" s="72">
        <v>4649.53</v>
      </c>
      <c r="AL106" s="72">
        <v>26135.97</v>
      </c>
      <c r="AM106" s="72">
        <v>0</v>
      </c>
      <c r="AN106" s="72">
        <v>15876.78</v>
      </c>
      <c r="AO106" s="72">
        <v>101367.43</v>
      </c>
      <c r="AP106" s="72">
        <v>32247.34</v>
      </c>
      <c r="AQ106" s="72">
        <v>6051.23</v>
      </c>
      <c r="AR106" s="72">
        <v>16256.05</v>
      </c>
      <c r="AS106" s="72">
        <v>10938</v>
      </c>
      <c r="AT106" s="72">
        <v>1001.13</v>
      </c>
      <c r="AU106" s="72">
        <v>44354.9</v>
      </c>
      <c r="AV106" s="72">
        <v>42689.17</v>
      </c>
      <c r="AW106" s="72">
        <v>528089.82999999996</v>
      </c>
      <c r="AX106" s="72">
        <v>36704.550000000003</v>
      </c>
      <c r="AY106" s="72">
        <v>0</v>
      </c>
      <c r="AZ106" s="72">
        <v>45441.83</v>
      </c>
      <c r="BA106" s="72">
        <v>0</v>
      </c>
      <c r="BB106" s="72">
        <v>0</v>
      </c>
      <c r="BC106" s="72">
        <v>9568.76</v>
      </c>
      <c r="BD106" s="72">
        <v>0</v>
      </c>
      <c r="BE106" s="72">
        <v>45441.83</v>
      </c>
      <c r="BF106" s="131">
        <v>0</v>
      </c>
      <c r="BG106" s="72">
        <v>0</v>
      </c>
      <c r="BH106" s="72">
        <v>14000</v>
      </c>
      <c r="BI106" s="72">
        <v>45045.46</v>
      </c>
    </row>
    <row r="107" spans="1:61">
      <c r="A107" s="131">
        <v>7009</v>
      </c>
      <c r="B107" s="131" t="s">
        <v>132</v>
      </c>
      <c r="C107" s="132">
        <v>195301</v>
      </c>
      <c r="D107" s="131"/>
      <c r="E107" s="71">
        <v>48422</v>
      </c>
      <c r="F107" s="72">
        <v>2182663</v>
      </c>
      <c r="G107" s="72">
        <v>0</v>
      </c>
      <c r="H107" s="72">
        <v>61258.400000000001</v>
      </c>
      <c r="I107" s="72">
        <v>6618</v>
      </c>
      <c r="J107" s="72">
        <v>14329</v>
      </c>
      <c r="K107" s="72">
        <v>130550</v>
      </c>
      <c r="L107" s="72">
        <v>4220</v>
      </c>
      <c r="M107" s="72">
        <v>51032.61</v>
      </c>
      <c r="N107" s="72">
        <v>6695.07</v>
      </c>
      <c r="O107" s="72">
        <v>0</v>
      </c>
      <c r="P107" s="72">
        <v>2283.42</v>
      </c>
      <c r="Q107" s="72">
        <v>2293.1</v>
      </c>
      <c r="R107" s="72">
        <v>13924.27</v>
      </c>
      <c r="S107" s="72">
        <v>58837</v>
      </c>
      <c r="T107" s="72">
        <v>0</v>
      </c>
      <c r="U107" s="72">
        <v>0</v>
      </c>
      <c r="V107" s="72">
        <v>0</v>
      </c>
      <c r="W107" s="72">
        <v>1005959.59</v>
      </c>
      <c r="X107" s="72">
        <v>18993.93</v>
      </c>
      <c r="Y107" s="72">
        <v>756168.31</v>
      </c>
      <c r="Z107" s="72">
        <v>30714.83</v>
      </c>
      <c r="AA107" s="72">
        <v>42978.67</v>
      </c>
      <c r="AB107" s="133">
        <f>-0.28+0.28</f>
        <v>0</v>
      </c>
      <c r="AC107" s="133">
        <f>89257.28-0.28</f>
        <v>89257</v>
      </c>
      <c r="AD107" s="72">
        <v>27731.43</v>
      </c>
      <c r="AE107" s="72">
        <v>15856.7</v>
      </c>
      <c r="AF107" s="72">
        <v>7523.14</v>
      </c>
      <c r="AG107" s="72">
        <v>11350</v>
      </c>
      <c r="AH107" s="72">
        <v>47255.95</v>
      </c>
      <c r="AI107" s="72">
        <v>2261.89</v>
      </c>
      <c r="AJ107" s="72">
        <v>24418.74</v>
      </c>
      <c r="AK107" s="72">
        <v>4048.8</v>
      </c>
      <c r="AL107" s="72">
        <v>22239.25</v>
      </c>
      <c r="AM107" s="72">
        <v>0</v>
      </c>
      <c r="AN107" s="72">
        <v>17278.8</v>
      </c>
      <c r="AO107" s="72">
        <v>87744.09</v>
      </c>
      <c r="AP107" s="72">
        <v>32578.26</v>
      </c>
      <c r="AQ107" s="72">
        <v>0</v>
      </c>
      <c r="AR107" s="72">
        <v>18544.990000000002</v>
      </c>
      <c r="AS107" s="72">
        <v>3145</v>
      </c>
      <c r="AT107" s="72">
        <v>36211.769999999997</v>
      </c>
      <c r="AU107" s="72">
        <v>20493.419999999998</v>
      </c>
      <c r="AV107" s="72">
        <v>49718.7</v>
      </c>
      <c r="AW107" s="72">
        <v>180437.14</v>
      </c>
      <c r="AX107" s="72">
        <v>40881</v>
      </c>
      <c r="AY107" s="72">
        <v>0</v>
      </c>
      <c r="AZ107" s="72">
        <v>0</v>
      </c>
      <c r="BA107" s="72">
        <v>0</v>
      </c>
      <c r="BB107" s="72">
        <v>0</v>
      </c>
      <c r="BC107" s="72">
        <v>7010.52</v>
      </c>
      <c r="BD107" s="72">
        <v>17327.12</v>
      </c>
      <c r="BE107" s="72">
        <v>0</v>
      </c>
      <c r="BF107" s="131">
        <v>0</v>
      </c>
      <c r="BG107" s="72">
        <v>0</v>
      </c>
      <c r="BH107" s="72">
        <v>0</v>
      </c>
      <c r="BI107" s="72">
        <v>53136.83</v>
      </c>
    </row>
    <row r="110" spans="1:61">
      <c r="C110" s="43">
        <f t="shared" ref="C110:AH110" si="0">SUM(C6:C109)</f>
        <v>14228166</v>
      </c>
      <c r="D110" s="43">
        <f t="shared" si="0"/>
        <v>33994</v>
      </c>
      <c r="E110" s="43">
        <f t="shared" si="0"/>
        <v>1048622</v>
      </c>
      <c r="F110" s="43">
        <f t="shared" si="0"/>
        <v>141248566.47</v>
      </c>
      <c r="G110" s="43">
        <f t="shared" si="0"/>
        <v>7793672</v>
      </c>
      <c r="H110" s="43">
        <f t="shared" si="0"/>
        <v>25824947.34</v>
      </c>
      <c r="I110" s="43">
        <f t="shared" si="0"/>
        <v>824132</v>
      </c>
      <c r="J110" s="43">
        <f t="shared" si="0"/>
        <v>5587639.459999999</v>
      </c>
      <c r="K110" s="43">
        <f t="shared" si="0"/>
        <v>1713610.8799999997</v>
      </c>
      <c r="L110" s="43">
        <f t="shared" si="0"/>
        <v>961518.78</v>
      </c>
      <c r="M110" s="43">
        <f t="shared" si="0"/>
        <v>2967916.0599999996</v>
      </c>
      <c r="N110" s="43">
        <f t="shared" si="0"/>
        <v>4105668.9499999997</v>
      </c>
      <c r="O110" s="43">
        <f t="shared" si="0"/>
        <v>760735.16999999993</v>
      </c>
      <c r="P110" s="43">
        <f t="shared" si="0"/>
        <v>241846.08000000002</v>
      </c>
      <c r="Q110" s="43">
        <f t="shared" si="0"/>
        <v>2383486.1600000006</v>
      </c>
      <c r="R110" s="43">
        <f t="shared" si="0"/>
        <v>2284348.5900000008</v>
      </c>
      <c r="S110" s="43">
        <f t="shared" si="0"/>
        <v>60004</v>
      </c>
      <c r="T110" s="43">
        <f t="shared" si="0"/>
        <v>3617232.14</v>
      </c>
      <c r="U110" s="43">
        <f t="shared" si="0"/>
        <v>897271.66</v>
      </c>
      <c r="V110" s="43">
        <f t="shared" si="0"/>
        <v>146246.16</v>
      </c>
      <c r="W110" s="43">
        <f t="shared" si="0"/>
        <v>92313224.589999974</v>
      </c>
      <c r="X110" s="43">
        <f t="shared" si="0"/>
        <v>640199.76000000013</v>
      </c>
      <c r="Y110" s="43">
        <f t="shared" si="0"/>
        <v>35028850.620000005</v>
      </c>
      <c r="Z110" s="43">
        <f t="shared" si="0"/>
        <v>4110001.9199999985</v>
      </c>
      <c r="AA110" s="43">
        <f t="shared" si="0"/>
        <v>7753862.3800000008</v>
      </c>
      <c r="AB110" s="43">
        <f t="shared" si="0"/>
        <v>235952.57000000004</v>
      </c>
      <c r="AC110" s="43">
        <f t="shared" si="0"/>
        <v>3388559.0199999986</v>
      </c>
      <c r="AD110" s="43">
        <f t="shared" si="0"/>
        <v>1332562.9300000004</v>
      </c>
      <c r="AE110" s="43">
        <f t="shared" si="0"/>
        <v>1084634.6499999999</v>
      </c>
      <c r="AF110" s="43">
        <f t="shared" si="0"/>
        <v>938442.84999999974</v>
      </c>
      <c r="AG110" s="43">
        <f t="shared" si="0"/>
        <v>300172.90999999992</v>
      </c>
      <c r="AH110" s="43">
        <f t="shared" si="0"/>
        <v>4287531.4600000018</v>
      </c>
      <c r="AI110" s="43">
        <f t="shared" ref="AI110:BI110" si="1">SUM(AI6:AI109)</f>
        <v>614674.39</v>
      </c>
      <c r="AJ110" s="43">
        <f t="shared" si="1"/>
        <v>2126237.04</v>
      </c>
      <c r="AK110" s="43">
        <f t="shared" si="1"/>
        <v>367198.28000000009</v>
      </c>
      <c r="AL110" s="43">
        <f t="shared" si="1"/>
        <v>2647779.6</v>
      </c>
      <c r="AM110" s="43">
        <f t="shared" si="1"/>
        <v>1030230.6799999999</v>
      </c>
      <c r="AN110" s="43">
        <f t="shared" si="1"/>
        <v>1254502.96</v>
      </c>
      <c r="AO110" s="43">
        <f t="shared" si="1"/>
        <v>7836298.4999999981</v>
      </c>
      <c r="AP110" s="43">
        <f t="shared" si="1"/>
        <v>2538094.2499999981</v>
      </c>
      <c r="AQ110" s="43">
        <f t="shared" si="1"/>
        <v>809544.4</v>
      </c>
      <c r="AR110" s="43">
        <f t="shared" si="1"/>
        <v>1674968.2100000002</v>
      </c>
      <c r="AS110" s="43">
        <f t="shared" si="1"/>
        <v>722308.62</v>
      </c>
      <c r="AT110" s="43">
        <f t="shared" si="1"/>
        <v>2192994.8800000004</v>
      </c>
      <c r="AU110" s="43">
        <f t="shared" si="1"/>
        <v>6123855.5999999978</v>
      </c>
      <c r="AV110" s="43">
        <f t="shared" si="1"/>
        <v>4344490.3600000003</v>
      </c>
      <c r="AW110" s="43">
        <f t="shared" si="1"/>
        <v>5541989.5100000007</v>
      </c>
      <c r="AX110" s="43">
        <f t="shared" si="1"/>
        <v>3167244.7500000005</v>
      </c>
      <c r="AY110" s="43">
        <f t="shared" si="1"/>
        <v>125</v>
      </c>
      <c r="AZ110" s="43">
        <f t="shared" si="1"/>
        <v>2648960.6599999997</v>
      </c>
      <c r="BA110" s="43">
        <f t="shared" si="1"/>
        <v>3674460.9699999997</v>
      </c>
      <c r="BB110" s="43">
        <f t="shared" si="1"/>
        <v>752935.64</v>
      </c>
      <c r="BC110" s="43">
        <f t="shared" si="1"/>
        <v>493061.9200000001</v>
      </c>
      <c r="BD110" s="43">
        <f t="shared" si="1"/>
        <v>170709.46</v>
      </c>
      <c r="BE110" s="43">
        <f t="shared" si="1"/>
        <v>2648647.6599999997</v>
      </c>
      <c r="BF110" s="43">
        <f t="shared" si="1"/>
        <v>0</v>
      </c>
      <c r="BG110" s="43">
        <f t="shared" si="1"/>
        <v>2102924.0099999998</v>
      </c>
      <c r="BH110" s="43">
        <f t="shared" si="1"/>
        <v>283666.02</v>
      </c>
      <c r="BI110" s="43">
        <f t="shared" si="1"/>
        <v>1018261.59</v>
      </c>
    </row>
  </sheetData>
  <mergeCells count="6">
    <mergeCell ref="A4:B4"/>
    <mergeCell ref="F4:V4"/>
    <mergeCell ref="W4:BB4"/>
    <mergeCell ref="BC4:BE4"/>
    <mergeCell ref="BF4:BI4"/>
    <mergeCell ref="C4:E4"/>
  </mergeCells>
  <conditionalFormatting sqref="F6:BE107 BG6:BI107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109"/>
  <sheetViews>
    <sheetView workbookViewId="0">
      <selection activeCell="P27" sqref="P27"/>
    </sheetView>
  </sheetViews>
  <sheetFormatPr defaultRowHeight="12.75"/>
  <cols>
    <col min="1" max="1" width="38.5703125" customWidth="1"/>
    <col min="2" max="2" width="5.42578125" customWidth="1"/>
    <col min="3" max="3" width="7.7109375" customWidth="1"/>
    <col min="4" max="4" width="7" bestFit="1" customWidth="1"/>
    <col min="5" max="5" width="12.28515625" bestFit="1" customWidth="1"/>
    <col min="6" max="7" width="10.28515625" bestFit="1" customWidth="1"/>
    <col min="8" max="8" width="10" customWidth="1"/>
    <col min="9" max="9" width="7.7109375" bestFit="1" customWidth="1"/>
    <col min="10" max="10" width="12.28515625" style="326" bestFit="1" customWidth="1"/>
  </cols>
  <sheetData>
    <row r="1" spans="1:10">
      <c r="A1" t="s">
        <v>676</v>
      </c>
      <c r="H1" t="s">
        <v>690</v>
      </c>
    </row>
    <row r="2" spans="1:10">
      <c r="A2">
        <v>41844.597177083335</v>
      </c>
    </row>
    <row r="3" spans="1:10">
      <c r="A3" t="s">
        <v>677</v>
      </c>
      <c r="B3" t="s">
        <v>678</v>
      </c>
    </row>
    <row r="4" spans="1:10">
      <c r="A4" t="s">
        <v>679</v>
      </c>
      <c r="B4" t="s">
        <v>678</v>
      </c>
    </row>
    <row r="5" spans="1:10">
      <c r="A5" t="s">
        <v>680</v>
      </c>
      <c r="B5">
        <v>0</v>
      </c>
    </row>
    <row r="6" spans="1:10">
      <c r="C6">
        <v>1</v>
      </c>
      <c r="D6">
        <v>2</v>
      </c>
      <c r="E6">
        <v>3</v>
      </c>
      <c r="F6">
        <v>4</v>
      </c>
      <c r="G6">
        <v>5</v>
      </c>
      <c r="H6">
        <v>6</v>
      </c>
      <c r="I6">
        <v>7</v>
      </c>
      <c r="J6">
        <v>8</v>
      </c>
    </row>
    <row r="7" spans="1:10" ht="13.5" thickBot="1">
      <c r="A7" t="s">
        <v>681</v>
      </c>
      <c r="E7" t="s">
        <v>682</v>
      </c>
    </row>
    <row r="8" spans="1:10">
      <c r="A8" t="s">
        <v>148</v>
      </c>
      <c r="B8" t="s">
        <v>584</v>
      </c>
      <c r="D8" t="s">
        <v>683</v>
      </c>
      <c r="E8" t="s">
        <v>653</v>
      </c>
      <c r="F8" t="s">
        <v>684</v>
      </c>
      <c r="G8" t="s">
        <v>685</v>
      </c>
      <c r="H8" t="s">
        <v>686</v>
      </c>
      <c r="I8" t="s">
        <v>687</v>
      </c>
      <c r="J8" s="407" t="s">
        <v>688</v>
      </c>
    </row>
    <row r="9" spans="1:10">
      <c r="A9" t="s">
        <v>327</v>
      </c>
      <c r="B9">
        <v>302</v>
      </c>
      <c r="C9">
        <v>3520</v>
      </c>
      <c r="D9">
        <v>400125</v>
      </c>
      <c r="E9" s="124">
        <v>1566350.1356838071</v>
      </c>
      <c r="F9" s="124">
        <v>12000</v>
      </c>
      <c r="G9" s="124">
        <v>7970</v>
      </c>
      <c r="H9" s="124">
        <v>5588</v>
      </c>
      <c r="I9" s="124">
        <v>595.5</v>
      </c>
      <c r="J9" s="408">
        <v>1592503.6356838071</v>
      </c>
    </row>
    <row r="10" spans="1:10">
      <c r="A10" t="s">
        <v>328</v>
      </c>
      <c r="B10">
        <v>302</v>
      </c>
      <c r="C10">
        <v>3317</v>
      </c>
      <c r="D10">
        <v>400015</v>
      </c>
      <c r="E10" s="124">
        <v>1019767.6955348167</v>
      </c>
      <c r="F10" s="124">
        <v>8000</v>
      </c>
      <c r="G10" s="124">
        <v>50279.739402560452</v>
      </c>
      <c r="H10" s="124">
        <v>2019.849971550499</v>
      </c>
      <c r="I10" s="124">
        <v>-2058.7564580369849</v>
      </c>
      <c r="J10" s="408">
        <v>1078008.5284508907</v>
      </c>
    </row>
    <row r="11" spans="1:10">
      <c r="A11" t="s">
        <v>329</v>
      </c>
      <c r="B11">
        <v>302</v>
      </c>
      <c r="C11">
        <v>3300</v>
      </c>
      <c r="D11">
        <v>400069</v>
      </c>
      <c r="E11" s="124">
        <v>1010077.1898883427</v>
      </c>
      <c r="F11" s="124">
        <v>16000</v>
      </c>
      <c r="G11" s="124">
        <v>7970</v>
      </c>
      <c r="H11" s="124">
        <v>4458.1666666666661</v>
      </c>
      <c r="I11" s="124">
        <v>0</v>
      </c>
      <c r="J11" s="408">
        <v>1038505.3565550094</v>
      </c>
    </row>
    <row r="12" spans="1:10">
      <c r="A12" t="s">
        <v>330</v>
      </c>
      <c r="B12">
        <v>302</v>
      </c>
      <c r="C12">
        <v>2002</v>
      </c>
      <c r="D12">
        <v>400005</v>
      </c>
      <c r="E12" s="124">
        <v>2534544.2747788304</v>
      </c>
      <c r="F12" s="124">
        <v>28000</v>
      </c>
      <c r="G12" s="124">
        <v>-3080.5309325946437</v>
      </c>
      <c r="H12" s="124">
        <v>-6139.5007109879925</v>
      </c>
      <c r="I12" s="124">
        <v>-8402.4108956601976</v>
      </c>
      <c r="J12" s="408">
        <v>2544921.8322395878</v>
      </c>
    </row>
    <row r="13" spans="1:10">
      <c r="A13" t="s">
        <v>331</v>
      </c>
      <c r="B13">
        <v>302</v>
      </c>
      <c r="C13">
        <v>2079</v>
      </c>
      <c r="D13">
        <v>400070</v>
      </c>
      <c r="E13" s="124">
        <v>1918354.506308947</v>
      </c>
      <c r="F13" s="124">
        <v>12000</v>
      </c>
      <c r="G13" s="124">
        <v>-12096.303976608186</v>
      </c>
      <c r="H13" s="124">
        <v>-6377.7407407407445</v>
      </c>
      <c r="I13" s="124">
        <v>10106.868576998049</v>
      </c>
      <c r="J13" s="408">
        <v>1921987.3301685962</v>
      </c>
    </row>
    <row r="14" spans="1:10">
      <c r="A14" t="s">
        <v>602</v>
      </c>
      <c r="B14">
        <v>302</v>
      </c>
      <c r="C14">
        <v>3524</v>
      </c>
      <c r="D14">
        <v>400145</v>
      </c>
      <c r="E14" s="124">
        <v>891990.64985074499</v>
      </c>
      <c r="F14" s="124">
        <v>12000</v>
      </c>
      <c r="G14" s="124">
        <v>-724.02105263157955</v>
      </c>
      <c r="H14" s="124">
        <v>1279.1080701754386</v>
      </c>
      <c r="I14" s="124">
        <v>26267.924210526315</v>
      </c>
      <c r="J14" s="408">
        <v>930813.66107881512</v>
      </c>
    </row>
    <row r="15" spans="1:10">
      <c r="A15" t="s">
        <v>332</v>
      </c>
      <c r="B15">
        <v>302</v>
      </c>
      <c r="C15">
        <v>2003</v>
      </c>
      <c r="D15">
        <v>400051</v>
      </c>
      <c r="E15" s="124">
        <v>1933710.2817591575</v>
      </c>
      <c r="F15" s="124">
        <v>24000</v>
      </c>
      <c r="G15" s="124">
        <v>-1219.6821052631528</v>
      </c>
      <c r="H15" s="124">
        <v>-7388.5745614035095</v>
      </c>
      <c r="I15" s="124">
        <v>771.35192982456329</v>
      </c>
      <c r="J15" s="408">
        <v>1949873.3770223153</v>
      </c>
    </row>
    <row r="16" spans="1:10">
      <c r="A16" t="s">
        <v>380</v>
      </c>
      <c r="B16">
        <v>302</v>
      </c>
      <c r="C16">
        <v>5408</v>
      </c>
      <c r="D16">
        <v>400077</v>
      </c>
      <c r="E16" s="124">
        <v>4992922.0891612843</v>
      </c>
      <c r="F16" s="124">
        <v>29333.333333333336</v>
      </c>
      <c r="G16" s="124">
        <v>101290</v>
      </c>
      <c r="H16" s="124">
        <v>-2199.1999999999998</v>
      </c>
      <c r="I16" s="124">
        <v>53928.592069989485</v>
      </c>
      <c r="J16" s="408">
        <v>5175274.8145646062</v>
      </c>
    </row>
    <row r="17" spans="1:10">
      <c r="A17" t="s">
        <v>40</v>
      </c>
      <c r="B17">
        <v>302</v>
      </c>
      <c r="C17">
        <v>3511</v>
      </c>
      <c r="D17">
        <v>400024</v>
      </c>
      <c r="E17" s="124">
        <v>1362720.4780163781</v>
      </c>
      <c r="F17" s="124">
        <v>24000</v>
      </c>
      <c r="G17" s="124">
        <v>165.6637894736815</v>
      </c>
      <c r="H17" s="124">
        <v>12106.519578947369</v>
      </c>
      <c r="I17" s="124">
        <v>36145.888456140354</v>
      </c>
      <c r="J17" s="408">
        <v>1435138.5498409397</v>
      </c>
    </row>
    <row r="18" spans="1:10">
      <c r="A18" t="s">
        <v>41</v>
      </c>
      <c r="B18">
        <v>302</v>
      </c>
      <c r="C18">
        <v>3519</v>
      </c>
      <c r="D18">
        <v>400118</v>
      </c>
      <c r="E18" s="124">
        <v>3170699.0286093485</v>
      </c>
      <c r="F18" s="124">
        <v>36000</v>
      </c>
      <c r="G18" s="124">
        <v>-1592796.0030312864</v>
      </c>
      <c r="H18" s="124">
        <v>-33977.683337930088</v>
      </c>
      <c r="I18" s="124">
        <v>0</v>
      </c>
      <c r="J18" s="408">
        <v>1579925.3422401319</v>
      </c>
    </row>
    <row r="19" spans="1:10">
      <c r="A19" t="s">
        <v>28</v>
      </c>
      <c r="B19">
        <v>302</v>
      </c>
      <c r="C19">
        <v>1000</v>
      </c>
      <c r="D19">
        <v>400102</v>
      </c>
      <c r="E19" s="124">
        <v>519636.2705607455</v>
      </c>
      <c r="F19" s="124"/>
      <c r="G19" s="124">
        <v>4591.1078262730007</v>
      </c>
      <c r="H19" s="124">
        <v>-18573.572553701317</v>
      </c>
      <c r="I19" s="124">
        <v>-14916.371721865635</v>
      </c>
      <c r="J19" s="408">
        <v>490737.43411145161</v>
      </c>
    </row>
    <row r="20" spans="1:10">
      <c r="A20" t="s">
        <v>333</v>
      </c>
      <c r="B20">
        <v>302</v>
      </c>
      <c r="C20">
        <v>2008</v>
      </c>
      <c r="D20">
        <v>400057</v>
      </c>
      <c r="E20" s="124">
        <v>1260049.5895073798</v>
      </c>
      <c r="F20" s="124">
        <v>8000</v>
      </c>
      <c r="G20" s="124">
        <v>-1328.8168421052678</v>
      </c>
      <c r="H20" s="124">
        <v>-539.7219838056601</v>
      </c>
      <c r="I20" s="124">
        <v>-5438.1097165991887</v>
      </c>
      <c r="J20" s="408">
        <v>1260742.9409648697</v>
      </c>
    </row>
    <row r="21" spans="1:10">
      <c r="A21" t="s">
        <v>43</v>
      </c>
      <c r="B21">
        <v>302</v>
      </c>
      <c r="C21">
        <v>2007</v>
      </c>
      <c r="D21">
        <v>400040</v>
      </c>
      <c r="E21" s="124">
        <v>1496242.3396293919</v>
      </c>
      <c r="F21" s="124">
        <v>36000</v>
      </c>
      <c r="G21" s="124"/>
      <c r="H21" s="124"/>
      <c r="I21" s="124">
        <v>10153.874283502646</v>
      </c>
      <c r="J21" s="408">
        <v>1542396.2139128945</v>
      </c>
    </row>
    <row r="22" spans="1:10">
      <c r="A22" t="s">
        <v>334</v>
      </c>
      <c r="B22">
        <v>302</v>
      </c>
      <c r="C22">
        <v>2009</v>
      </c>
      <c r="D22">
        <v>400061</v>
      </c>
      <c r="E22" s="124">
        <v>1490838.6320141684</v>
      </c>
      <c r="F22" s="124">
        <v>20000</v>
      </c>
      <c r="G22" s="124">
        <v>-3403.1203007518793</v>
      </c>
      <c r="H22" s="124">
        <v>-1384.2060902255653</v>
      </c>
      <c r="I22" s="124">
        <v>-39405.149999999994</v>
      </c>
      <c r="J22" s="408">
        <v>1466646.155623191</v>
      </c>
    </row>
    <row r="23" spans="1:10">
      <c r="A23" t="s">
        <v>335</v>
      </c>
      <c r="B23">
        <v>302</v>
      </c>
      <c r="C23">
        <v>2067</v>
      </c>
      <c r="D23">
        <v>400065</v>
      </c>
      <c r="E23" s="124">
        <v>970981.92853501521</v>
      </c>
      <c r="F23" s="124">
        <v>12000</v>
      </c>
      <c r="G23" s="124"/>
      <c r="H23" s="124"/>
      <c r="I23" s="124">
        <v>-7512.3333333333321</v>
      </c>
      <c r="J23" s="408">
        <v>975469.59520168183</v>
      </c>
    </row>
    <row r="24" spans="1:10">
      <c r="A24" t="s">
        <v>46</v>
      </c>
      <c r="B24">
        <v>302</v>
      </c>
      <c r="C24">
        <v>2010</v>
      </c>
      <c r="D24">
        <v>400043</v>
      </c>
      <c r="E24" s="124">
        <v>2194630.2080173837</v>
      </c>
      <c r="F24" s="124">
        <v>52000</v>
      </c>
      <c r="G24" s="124">
        <v>856.87876737839179</v>
      </c>
      <c r="H24" s="124">
        <v>13540.705657268292</v>
      </c>
      <c r="I24" s="124">
        <v>-54390.461836945309</v>
      </c>
      <c r="J24" s="408">
        <v>2206637.330605085</v>
      </c>
    </row>
    <row r="25" spans="1:10">
      <c r="A25" t="s">
        <v>336</v>
      </c>
      <c r="B25">
        <v>302</v>
      </c>
      <c r="C25">
        <v>3302</v>
      </c>
      <c r="D25">
        <v>400039</v>
      </c>
      <c r="E25" s="124">
        <v>939786.48947723641</v>
      </c>
      <c r="F25" s="124">
        <v>4000</v>
      </c>
      <c r="G25" s="124">
        <v>-1827.4730030959743</v>
      </c>
      <c r="H25" s="124">
        <v>-6187.5566563467482</v>
      </c>
      <c r="I25" s="124">
        <v>1700.7555314757446</v>
      </c>
      <c r="J25" s="408">
        <v>937472.21534926945</v>
      </c>
    </row>
    <row r="26" spans="1:10">
      <c r="A26" t="s">
        <v>48</v>
      </c>
      <c r="B26">
        <v>302</v>
      </c>
      <c r="C26">
        <v>2011</v>
      </c>
      <c r="D26">
        <v>400020</v>
      </c>
      <c r="E26" s="124">
        <v>976431.23595483764</v>
      </c>
      <c r="F26" s="124">
        <v>8000</v>
      </c>
      <c r="G26" s="124">
        <v>21528</v>
      </c>
      <c r="H26" s="124">
        <v>7497.5000000000073</v>
      </c>
      <c r="I26" s="124">
        <v>-5728.3923626302076</v>
      </c>
      <c r="J26" s="408">
        <v>1007728.3435922074</v>
      </c>
    </row>
    <row r="27" spans="1:10">
      <c r="A27" t="s">
        <v>337</v>
      </c>
      <c r="B27">
        <v>302</v>
      </c>
      <c r="C27">
        <v>3522</v>
      </c>
      <c r="D27">
        <v>400120</v>
      </c>
      <c r="E27" s="124">
        <v>2050583.3791411372</v>
      </c>
      <c r="F27" s="124">
        <v>8000</v>
      </c>
      <c r="G27" s="124">
        <v>-1333.1115789473731</v>
      </c>
      <c r="H27" s="124">
        <v>58429.102105263155</v>
      </c>
      <c r="I27" s="124">
        <v>627.50140350877359</v>
      </c>
      <c r="J27" s="408">
        <v>2116306.8710709615</v>
      </c>
    </row>
    <row r="28" spans="1:10">
      <c r="A28" t="s">
        <v>338</v>
      </c>
      <c r="B28">
        <v>302</v>
      </c>
      <c r="C28">
        <v>2014</v>
      </c>
      <c r="D28">
        <v>400050</v>
      </c>
      <c r="E28" s="124">
        <v>2905743.2974710898</v>
      </c>
      <c r="F28" s="124">
        <v>40000</v>
      </c>
      <c r="G28" s="124">
        <v>-50120.736309302651</v>
      </c>
      <c r="H28" s="124">
        <v>34968.133711926268</v>
      </c>
      <c r="I28" s="124">
        <v>10844.404182825499</v>
      </c>
      <c r="J28" s="408">
        <v>2941435.0990565391</v>
      </c>
    </row>
    <row r="29" spans="1:10">
      <c r="A29" t="s">
        <v>339</v>
      </c>
      <c r="B29">
        <v>302</v>
      </c>
      <c r="C29">
        <v>2015</v>
      </c>
      <c r="D29">
        <v>400059</v>
      </c>
      <c r="E29" s="124">
        <v>1633004.0274882386</v>
      </c>
      <c r="F29" s="124">
        <v>20000</v>
      </c>
      <c r="G29" s="124">
        <v>-29007.130794175202</v>
      </c>
      <c r="H29" s="124">
        <v>9227.9743401558881</v>
      </c>
      <c r="I29" s="124">
        <v>9288.2638286893634</v>
      </c>
      <c r="J29" s="408">
        <v>1642513.1348629089</v>
      </c>
    </row>
    <row r="30" spans="1:10">
      <c r="A30" t="s">
        <v>53</v>
      </c>
      <c r="B30">
        <v>302</v>
      </c>
      <c r="C30">
        <v>2016</v>
      </c>
      <c r="D30">
        <v>400049</v>
      </c>
      <c r="E30" s="124">
        <v>943598.50197881577</v>
      </c>
      <c r="F30" s="124">
        <v>12000</v>
      </c>
      <c r="G30" s="124"/>
      <c r="H30" s="124">
        <v>412.75</v>
      </c>
      <c r="I30" s="124">
        <v>1629.8333333333285</v>
      </c>
      <c r="J30" s="408">
        <v>957641.08531214914</v>
      </c>
    </row>
    <row r="31" spans="1:10">
      <c r="A31" t="s">
        <v>340</v>
      </c>
      <c r="B31">
        <v>302</v>
      </c>
      <c r="C31">
        <v>2017</v>
      </c>
      <c r="D31">
        <v>400080</v>
      </c>
      <c r="E31" s="124">
        <v>1737627.083146889</v>
      </c>
      <c r="F31" s="124">
        <v>16000</v>
      </c>
      <c r="G31" s="124"/>
      <c r="H31" s="124"/>
      <c r="I31" s="124">
        <v>-14661.000000000007</v>
      </c>
      <c r="J31" s="408">
        <v>1738966.083146889</v>
      </c>
    </row>
    <row r="32" spans="1:10">
      <c r="A32" t="s">
        <v>341</v>
      </c>
      <c r="B32">
        <v>302</v>
      </c>
      <c r="C32">
        <v>2073</v>
      </c>
      <c r="D32">
        <v>400105</v>
      </c>
      <c r="E32" s="124">
        <v>2747197.7826438756</v>
      </c>
      <c r="F32" s="124">
        <v>32000</v>
      </c>
      <c r="G32" s="124">
        <v>-25563.640800203622</v>
      </c>
      <c r="H32" s="124"/>
      <c r="I32" s="124">
        <v>32730.833333333343</v>
      </c>
      <c r="J32" s="408">
        <v>2786364.9751770054</v>
      </c>
    </row>
    <row r="33" spans="1:10">
      <c r="A33" t="s">
        <v>56</v>
      </c>
      <c r="B33">
        <v>302</v>
      </c>
      <c r="C33">
        <v>2019</v>
      </c>
      <c r="D33">
        <v>400036</v>
      </c>
      <c r="E33" s="124">
        <v>1689849.562004965</v>
      </c>
      <c r="F33" s="124">
        <v>16000</v>
      </c>
      <c r="G33" s="124">
        <v>-1986.4244702665749</v>
      </c>
      <c r="H33" s="124">
        <v>-5966.3075187969889</v>
      </c>
      <c r="I33" s="124">
        <v>-12512.772791068583</v>
      </c>
      <c r="J33" s="408">
        <v>1685384.0572248329</v>
      </c>
    </row>
    <row r="34" spans="1:10">
      <c r="A34" t="s">
        <v>58</v>
      </c>
      <c r="B34">
        <v>302</v>
      </c>
      <c r="C34">
        <v>2021</v>
      </c>
      <c r="D34">
        <v>400042</v>
      </c>
      <c r="E34" s="124">
        <v>1586531.8366752567</v>
      </c>
      <c r="F34" s="124">
        <v>24000</v>
      </c>
      <c r="G34" s="124">
        <v>6596.4673684210484</v>
      </c>
      <c r="H34" s="124">
        <v>4981.6870715249679</v>
      </c>
      <c r="I34" s="124">
        <v>-1809.661888483344</v>
      </c>
      <c r="J34" s="408">
        <v>1620300.3292267194</v>
      </c>
    </row>
    <row r="35" spans="1:10">
      <c r="A35" t="s">
        <v>59</v>
      </c>
      <c r="B35">
        <v>302</v>
      </c>
      <c r="C35">
        <v>5200</v>
      </c>
      <c r="D35">
        <v>400052</v>
      </c>
      <c r="E35" s="124">
        <v>1670129.6081475781</v>
      </c>
      <c r="F35" s="124">
        <v>32000</v>
      </c>
      <c r="G35" s="124"/>
      <c r="H35" s="124"/>
      <c r="I35" s="124">
        <v>-12557.999999999985</v>
      </c>
      <c r="J35" s="408">
        <v>1689571.6081475781</v>
      </c>
    </row>
    <row r="36" spans="1:10">
      <c r="A36" t="s">
        <v>60</v>
      </c>
      <c r="B36">
        <v>302</v>
      </c>
      <c r="C36">
        <v>2023</v>
      </c>
      <c r="D36">
        <v>400068</v>
      </c>
      <c r="E36" s="124">
        <v>1524229.6296669845</v>
      </c>
      <c r="F36" s="124">
        <v>16000</v>
      </c>
      <c r="G36" s="124">
        <v>-8831.9726315789449</v>
      </c>
      <c r="H36" s="124">
        <v>95.771906116638547</v>
      </c>
      <c r="I36" s="124">
        <v>10243.216955903268</v>
      </c>
      <c r="J36" s="408">
        <v>1541736.6458974255</v>
      </c>
    </row>
    <row r="37" spans="1:10">
      <c r="A37" t="s">
        <v>61</v>
      </c>
      <c r="B37">
        <v>302</v>
      </c>
      <c r="C37">
        <v>2022</v>
      </c>
      <c r="D37">
        <v>400081</v>
      </c>
      <c r="E37" s="124">
        <v>1768060.7523737988</v>
      </c>
      <c r="F37" s="124">
        <v>40000</v>
      </c>
      <c r="G37" s="124"/>
      <c r="H37" s="124"/>
      <c r="I37" s="124">
        <v>-54861.833333333328</v>
      </c>
      <c r="J37" s="408">
        <v>1753198.9190404655</v>
      </c>
    </row>
    <row r="38" spans="1:10">
      <c r="A38" t="s">
        <v>342</v>
      </c>
      <c r="B38">
        <v>302</v>
      </c>
      <c r="C38">
        <v>2024</v>
      </c>
      <c r="D38">
        <v>400047</v>
      </c>
      <c r="E38" s="124">
        <v>1256894.126493345</v>
      </c>
      <c r="F38" s="124">
        <v>12000</v>
      </c>
      <c r="G38" s="124">
        <v>100432.86656436125</v>
      </c>
      <c r="H38" s="124">
        <v>-14262.151983805668</v>
      </c>
      <c r="I38" s="124">
        <v>16072.075654520922</v>
      </c>
      <c r="J38" s="408">
        <v>1371136.9167284213</v>
      </c>
    </row>
    <row r="39" spans="1:10">
      <c r="A39" t="s">
        <v>119</v>
      </c>
      <c r="B39">
        <v>302</v>
      </c>
      <c r="C39">
        <v>5405</v>
      </c>
      <c r="D39">
        <v>400041</v>
      </c>
      <c r="E39" s="124">
        <v>6008322.9169014227</v>
      </c>
      <c r="F39" s="124">
        <v>82921.333333333328</v>
      </c>
      <c r="G39" s="124">
        <v>1124</v>
      </c>
      <c r="H39" s="124"/>
      <c r="I39" s="124">
        <v>-11107.333333333314</v>
      </c>
      <c r="J39" s="408">
        <v>6081260.9169014227</v>
      </c>
    </row>
    <row r="40" spans="1:10">
      <c r="A40" t="s">
        <v>63</v>
      </c>
      <c r="B40">
        <v>302</v>
      </c>
      <c r="C40">
        <v>2025</v>
      </c>
      <c r="D40">
        <v>400001</v>
      </c>
      <c r="E40" s="124">
        <v>1242306.8269321288</v>
      </c>
      <c r="F40" s="124">
        <v>12000</v>
      </c>
      <c r="G40" s="124"/>
      <c r="H40" s="124"/>
      <c r="I40" s="124">
        <v>-2453.8333333333321</v>
      </c>
      <c r="J40" s="408">
        <v>1251852.9935987955</v>
      </c>
    </row>
    <row r="41" spans="1:10">
      <c r="A41" t="s">
        <v>120</v>
      </c>
      <c r="B41">
        <v>302</v>
      </c>
      <c r="C41">
        <v>4003</v>
      </c>
      <c r="D41">
        <v>400033</v>
      </c>
      <c r="E41" s="124">
        <v>4911373.3977958355</v>
      </c>
      <c r="F41" s="124">
        <v>62382</v>
      </c>
      <c r="G41" s="124">
        <v>-3573.7049999999999</v>
      </c>
      <c r="H41" s="124"/>
      <c r="I41" s="124">
        <v>13359.5</v>
      </c>
      <c r="J41" s="408">
        <v>4983541.1927958354</v>
      </c>
    </row>
    <row r="42" spans="1:10">
      <c r="A42" t="s">
        <v>343</v>
      </c>
      <c r="B42">
        <v>302</v>
      </c>
      <c r="C42">
        <v>2026</v>
      </c>
      <c r="D42">
        <v>400082</v>
      </c>
      <c r="E42" s="124">
        <v>2716944.9455280202</v>
      </c>
      <c r="F42" s="124">
        <v>24000</v>
      </c>
      <c r="G42" s="124">
        <v>5987.3393068035975</v>
      </c>
      <c r="H42" s="124">
        <v>13325.840875481386</v>
      </c>
      <c r="I42" s="124">
        <v>-2290.4269319640566</v>
      </c>
      <c r="J42" s="408">
        <v>2757967.6987783406</v>
      </c>
    </row>
    <row r="43" spans="1:10">
      <c r="A43" t="s">
        <v>65</v>
      </c>
      <c r="B43">
        <v>302</v>
      </c>
      <c r="C43">
        <v>2028</v>
      </c>
      <c r="D43">
        <v>400067</v>
      </c>
      <c r="E43" s="124">
        <v>1173923.9389625597</v>
      </c>
      <c r="F43" s="124">
        <v>28000</v>
      </c>
      <c r="G43" s="124">
        <v>6279</v>
      </c>
      <c r="H43" s="124">
        <v>3704.9166666666697</v>
      </c>
      <c r="I43" s="124">
        <v>828.33333333334303</v>
      </c>
      <c r="J43" s="408">
        <v>1212736.1889625597</v>
      </c>
    </row>
    <row r="44" spans="1:10">
      <c r="A44" t="s">
        <v>66</v>
      </c>
      <c r="B44">
        <v>302</v>
      </c>
      <c r="C44">
        <v>2027</v>
      </c>
      <c r="D44">
        <v>400002</v>
      </c>
      <c r="E44" s="124">
        <v>1471554.2223384229</v>
      </c>
      <c r="F44" s="124">
        <v>26382</v>
      </c>
      <c r="G44" s="124"/>
      <c r="H44" s="124">
        <v>445.25</v>
      </c>
      <c r="I44" s="124">
        <v>11668.5</v>
      </c>
      <c r="J44" s="408">
        <v>1510049.9723384229</v>
      </c>
    </row>
    <row r="45" spans="1:10">
      <c r="A45" t="s">
        <v>344</v>
      </c>
      <c r="B45">
        <v>302</v>
      </c>
      <c r="C45">
        <v>2029</v>
      </c>
      <c r="D45">
        <v>400035</v>
      </c>
      <c r="E45" s="124">
        <v>2212553.8767152773</v>
      </c>
      <c r="F45" s="124">
        <v>12000</v>
      </c>
      <c r="G45" s="124">
        <v>-37971.474736842109</v>
      </c>
      <c r="H45" s="124">
        <v>1661.3727368421064</v>
      </c>
      <c r="I45" s="124">
        <v>8018.9490175438641</v>
      </c>
      <c r="J45" s="408">
        <v>2196262.7237328207</v>
      </c>
    </row>
    <row r="46" spans="1:10">
      <c r="A46" t="s">
        <v>29</v>
      </c>
      <c r="B46">
        <v>302</v>
      </c>
      <c r="C46">
        <v>1001</v>
      </c>
      <c r="D46">
        <v>400103</v>
      </c>
      <c r="E46" s="124">
        <v>446059.89188023139</v>
      </c>
      <c r="F46" s="124"/>
      <c r="G46" s="124">
        <v>-6883.8576659038927</v>
      </c>
      <c r="H46" s="124">
        <v>-2001.1124942791748</v>
      </c>
      <c r="I46" s="124">
        <v>1560.8390732265448</v>
      </c>
      <c r="J46" s="408">
        <v>438735.76079327491</v>
      </c>
    </row>
    <row r="47" spans="1:10">
      <c r="A47" t="s">
        <v>69</v>
      </c>
      <c r="B47">
        <v>302</v>
      </c>
      <c r="C47">
        <v>3516</v>
      </c>
      <c r="D47">
        <v>400108</v>
      </c>
      <c r="E47" s="124">
        <v>964933.30276140769</v>
      </c>
      <c r="F47" s="124">
        <v>16000</v>
      </c>
      <c r="G47" s="124">
        <v>6343.702105263159</v>
      </c>
      <c r="H47" s="124">
        <v>7942.9684210526302</v>
      </c>
      <c r="I47" s="124">
        <v>1090.9947368420997</v>
      </c>
      <c r="J47" s="408">
        <v>996310.96802456561</v>
      </c>
    </row>
    <row r="48" spans="1:10">
      <c r="A48" t="s">
        <v>345</v>
      </c>
      <c r="B48">
        <v>302</v>
      </c>
      <c r="C48">
        <v>2031</v>
      </c>
      <c r="D48">
        <v>400026</v>
      </c>
      <c r="E48" s="124">
        <v>1186275.1622200464</v>
      </c>
      <c r="F48" s="124">
        <v>4000</v>
      </c>
      <c r="G48" s="124">
        <v>-7062.3032313341464</v>
      </c>
      <c r="H48" s="124">
        <v>-995.5045556915552</v>
      </c>
      <c r="I48" s="124">
        <v>5395.6554818441437</v>
      </c>
      <c r="J48" s="408">
        <v>1187613.009914865</v>
      </c>
    </row>
    <row r="49" spans="1:10">
      <c r="A49" t="s">
        <v>346</v>
      </c>
      <c r="B49">
        <v>302</v>
      </c>
      <c r="C49">
        <v>2032</v>
      </c>
      <c r="D49">
        <v>400084</v>
      </c>
      <c r="E49" s="124">
        <v>2242539.0584672326</v>
      </c>
      <c r="F49" s="124">
        <v>24000</v>
      </c>
      <c r="G49" s="124">
        <v>-6644.4434928229666</v>
      </c>
      <c r="H49" s="124">
        <v>-3939.8066985645901</v>
      </c>
      <c r="I49" s="124">
        <v>-1082.8111802232829</v>
      </c>
      <c r="J49" s="408">
        <v>2254871.9970956221</v>
      </c>
    </row>
    <row r="50" spans="1:10">
      <c r="A50" t="s">
        <v>347</v>
      </c>
      <c r="B50">
        <v>302</v>
      </c>
      <c r="C50">
        <v>3304</v>
      </c>
      <c r="D50">
        <v>400008</v>
      </c>
      <c r="E50" s="124">
        <v>1004369.7229633119</v>
      </c>
      <c r="F50" s="124">
        <v>10382</v>
      </c>
      <c r="G50" s="124">
        <v>57538.764438122336</v>
      </c>
      <c r="H50" s="124">
        <v>-2035.1604125177785</v>
      </c>
      <c r="I50" s="124">
        <v>-10452.307771455668</v>
      </c>
      <c r="J50" s="408">
        <v>1059803.0192174606</v>
      </c>
    </row>
    <row r="51" spans="1:10">
      <c r="A51" t="s">
        <v>134</v>
      </c>
      <c r="B51">
        <v>302</v>
      </c>
      <c r="C51">
        <v>5427</v>
      </c>
      <c r="D51">
        <v>400140</v>
      </c>
      <c r="E51" s="124">
        <v>4812055.8264326379</v>
      </c>
      <c r="F51" s="124">
        <v>26666.666666666668</v>
      </c>
      <c r="G51" s="124">
        <v>111313.48552601272</v>
      </c>
      <c r="H51" s="124">
        <v>-179783.72319167922</v>
      </c>
      <c r="I51" s="124">
        <v>31559.166666666672</v>
      </c>
      <c r="J51" s="408">
        <v>4801811.4221003056</v>
      </c>
    </row>
    <row r="52" spans="1:10">
      <c r="A52" t="s">
        <v>348</v>
      </c>
      <c r="B52">
        <v>302</v>
      </c>
      <c r="C52">
        <v>2036</v>
      </c>
      <c r="D52">
        <v>400046</v>
      </c>
      <c r="E52" s="124">
        <v>1689454.5060478381</v>
      </c>
      <c r="F52" s="124">
        <v>8000</v>
      </c>
      <c r="G52" s="124">
        <v>195706.32022654812</v>
      </c>
      <c r="H52" s="124">
        <v>7307.0038112522716</v>
      </c>
      <c r="I52" s="124">
        <v>17282.798487598302</v>
      </c>
      <c r="J52" s="408">
        <v>1917750.6285732368</v>
      </c>
    </row>
    <row r="53" spans="1:10">
      <c r="A53" t="s">
        <v>349</v>
      </c>
      <c r="B53">
        <v>302</v>
      </c>
      <c r="C53">
        <v>2037</v>
      </c>
      <c r="D53">
        <v>400030</v>
      </c>
      <c r="E53" s="124">
        <v>1326042.2056267748</v>
      </c>
      <c r="F53" s="124">
        <v>28000</v>
      </c>
      <c r="G53" s="124">
        <v>-779.70028895768769</v>
      </c>
      <c r="H53" s="124">
        <v>-1544.4813642930833</v>
      </c>
      <c r="I53" s="124">
        <v>-4975.9010794633778</v>
      </c>
      <c r="J53" s="408">
        <v>1346742.1228940608</v>
      </c>
    </row>
    <row r="54" spans="1:10">
      <c r="A54" t="s">
        <v>129</v>
      </c>
      <c r="B54">
        <v>302</v>
      </c>
      <c r="C54">
        <v>7010</v>
      </c>
      <c r="D54">
        <v>400063</v>
      </c>
      <c r="E54" s="124">
        <v>1687237.0087617466</v>
      </c>
      <c r="F54" s="124"/>
      <c r="G54" s="124">
        <v>417784.47083248198</v>
      </c>
      <c r="H54" s="124">
        <v>-28687.567730846989</v>
      </c>
      <c r="I54" s="124">
        <v>12195.410261249999</v>
      </c>
      <c r="J54" s="408">
        <v>2088529.3221246318</v>
      </c>
    </row>
    <row r="55" spans="1:10">
      <c r="A55" t="s">
        <v>350</v>
      </c>
      <c r="B55">
        <v>302</v>
      </c>
      <c r="C55">
        <v>3523</v>
      </c>
      <c r="D55">
        <v>400130</v>
      </c>
      <c r="E55" s="124">
        <v>2406383.0367765278</v>
      </c>
      <c r="F55" s="124">
        <v>40000</v>
      </c>
      <c r="G55" s="124">
        <v>308.51378514780481</v>
      </c>
      <c r="H55" s="124">
        <v>-1446.1044556596971</v>
      </c>
      <c r="I55" s="124">
        <v>-1591.9055443403017</v>
      </c>
      <c r="J55" s="408">
        <v>2443653.5405616756</v>
      </c>
    </row>
    <row r="56" spans="1:10">
      <c r="A56" t="s">
        <v>351</v>
      </c>
      <c r="B56">
        <v>302</v>
      </c>
      <c r="C56">
        <v>5948</v>
      </c>
      <c r="D56">
        <v>400112</v>
      </c>
      <c r="E56" s="124">
        <v>939735.31502894079</v>
      </c>
      <c r="F56" s="124">
        <v>20000</v>
      </c>
      <c r="G56" s="124">
        <v>-678.80842105263389</v>
      </c>
      <c r="H56" s="124">
        <v>2036.4252631578984</v>
      </c>
      <c r="I56" s="124">
        <v>-10008.262456140355</v>
      </c>
      <c r="J56" s="408">
        <v>951084.66941490571</v>
      </c>
    </row>
    <row r="57" spans="1:10">
      <c r="A57" t="s">
        <v>78</v>
      </c>
      <c r="B57">
        <v>302</v>
      </c>
      <c r="C57">
        <v>5949</v>
      </c>
      <c r="D57">
        <v>400110</v>
      </c>
      <c r="E57" s="124">
        <v>1076975.2792950438</v>
      </c>
      <c r="F57" s="124">
        <v>16000</v>
      </c>
      <c r="G57" s="124">
        <v>20413.400751879704</v>
      </c>
      <c r="H57" s="124">
        <v>6165.5160902255666</v>
      </c>
      <c r="I57" s="124">
        <v>3512.5021052631641</v>
      </c>
      <c r="J57" s="408">
        <v>1123066.6982424122</v>
      </c>
    </row>
    <row r="58" spans="1:10">
      <c r="A58" t="s">
        <v>79</v>
      </c>
      <c r="B58">
        <v>302</v>
      </c>
      <c r="C58">
        <v>3513</v>
      </c>
      <c r="D58">
        <v>400007</v>
      </c>
      <c r="E58" s="124">
        <v>1649792.497226289</v>
      </c>
      <c r="F58" s="124">
        <v>44000</v>
      </c>
      <c r="G58" s="124">
        <v>-3577.3449122807046</v>
      </c>
      <c r="H58" s="124">
        <v>1265.1838596491182</v>
      </c>
      <c r="I58" s="124">
        <v>-4258.0238596491399</v>
      </c>
      <c r="J58" s="408">
        <v>1687222.3123140081</v>
      </c>
    </row>
    <row r="59" spans="1:10">
      <c r="A59" t="s">
        <v>352</v>
      </c>
      <c r="B59">
        <v>302</v>
      </c>
      <c r="C59">
        <v>3305</v>
      </c>
      <c r="D59">
        <v>400086</v>
      </c>
      <c r="E59" s="124">
        <v>641826.19508028834</v>
      </c>
      <c r="F59" s="124">
        <v>8000</v>
      </c>
      <c r="G59" s="124"/>
      <c r="H59" s="124"/>
      <c r="I59" s="124">
        <v>-13558</v>
      </c>
      <c r="J59" s="408">
        <v>636268.19508028834</v>
      </c>
    </row>
    <row r="60" spans="1:10">
      <c r="A60" t="s">
        <v>353</v>
      </c>
      <c r="B60">
        <v>302</v>
      </c>
      <c r="C60">
        <v>2042</v>
      </c>
      <c r="D60">
        <v>400048</v>
      </c>
      <c r="E60" s="124">
        <v>1053443.4118725758</v>
      </c>
      <c r="F60" s="124">
        <v>28000</v>
      </c>
      <c r="G60" s="124"/>
      <c r="H60" s="124">
        <v>412.75</v>
      </c>
      <c r="I60" s="124">
        <v>0</v>
      </c>
      <c r="J60" s="408">
        <v>1081856.1618725758</v>
      </c>
    </row>
    <row r="61" spans="1:10">
      <c r="A61" t="s">
        <v>689</v>
      </c>
      <c r="B61">
        <v>302</v>
      </c>
      <c r="C61">
        <v>2041</v>
      </c>
      <c r="D61">
        <v>400155</v>
      </c>
      <c r="E61" s="124">
        <v>571383.51362626138</v>
      </c>
      <c r="F61" s="124"/>
      <c r="G61" s="124"/>
      <c r="H61" s="124"/>
      <c r="I61" s="124"/>
      <c r="J61" s="408">
        <v>571383.51362626138</v>
      </c>
    </row>
    <row r="62" spans="1:10">
      <c r="A62" t="s">
        <v>82</v>
      </c>
      <c r="B62">
        <v>302</v>
      </c>
      <c r="C62">
        <v>2044</v>
      </c>
      <c r="D62">
        <v>400087</v>
      </c>
      <c r="E62" s="124">
        <v>1423961.5938702712</v>
      </c>
      <c r="F62" s="124">
        <v>44000</v>
      </c>
      <c r="G62" s="124">
        <v>7970</v>
      </c>
      <c r="H62" s="124">
        <v>17204.400000000001</v>
      </c>
      <c r="I62" s="124">
        <v>-13457.366666666669</v>
      </c>
      <c r="J62" s="408">
        <v>1479678.6272036044</v>
      </c>
    </row>
    <row r="63" spans="1:10">
      <c r="A63" t="s">
        <v>83</v>
      </c>
      <c r="B63">
        <v>302</v>
      </c>
      <c r="C63">
        <v>2043</v>
      </c>
      <c r="D63">
        <v>400088</v>
      </c>
      <c r="E63" s="124">
        <v>1670206.4713284788</v>
      </c>
      <c r="F63" s="124">
        <v>36000</v>
      </c>
      <c r="G63" s="124"/>
      <c r="H63" s="124">
        <v>331.5</v>
      </c>
      <c r="I63" s="124">
        <v>9271</v>
      </c>
      <c r="J63" s="408">
        <v>1715808.9713284788</v>
      </c>
    </row>
    <row r="64" spans="1:10">
      <c r="A64" t="s">
        <v>30</v>
      </c>
      <c r="B64">
        <v>302</v>
      </c>
      <c r="C64">
        <v>1002</v>
      </c>
      <c r="D64">
        <v>400072</v>
      </c>
      <c r="E64" s="124">
        <v>556881.95751021919</v>
      </c>
      <c r="F64" s="124"/>
      <c r="G64" s="124">
        <v>7974.9700859993054</v>
      </c>
      <c r="H64" s="124">
        <v>5286.7120605435175</v>
      </c>
      <c r="I64" s="124">
        <v>4755.5054454764377</v>
      </c>
      <c r="J64" s="408">
        <v>574899.1451022384</v>
      </c>
    </row>
    <row r="65" spans="1:10">
      <c r="A65" t="s">
        <v>354</v>
      </c>
      <c r="B65">
        <v>302</v>
      </c>
      <c r="C65">
        <v>2045</v>
      </c>
      <c r="D65">
        <v>400089</v>
      </c>
      <c r="E65" s="124">
        <v>1232058.0226621241</v>
      </c>
      <c r="F65" s="124">
        <v>16000</v>
      </c>
      <c r="G65" s="124">
        <v>56645.877894736841</v>
      </c>
      <c r="H65" s="124">
        <v>5893.6321862348213</v>
      </c>
      <c r="I65" s="124">
        <v>-4434.758947368422</v>
      </c>
      <c r="J65" s="408">
        <v>1306162.7737957274</v>
      </c>
    </row>
    <row r="66" spans="1:10">
      <c r="A66" t="s">
        <v>130</v>
      </c>
      <c r="B66">
        <v>302</v>
      </c>
      <c r="C66">
        <v>7005</v>
      </c>
      <c r="D66">
        <v>400034</v>
      </c>
      <c r="E66" s="124">
        <v>1553362.5222684974</v>
      </c>
      <c r="F66" s="124"/>
      <c r="G66" s="124">
        <v>-15482.719875418697</v>
      </c>
      <c r="H66" s="124">
        <v>2544.892799546913</v>
      </c>
      <c r="I66" s="124">
        <v>2599.0230405176435</v>
      </c>
      <c r="J66" s="408">
        <v>1543023.7182331434</v>
      </c>
    </row>
    <row r="67" spans="1:10">
      <c r="A67" t="s">
        <v>131</v>
      </c>
      <c r="B67">
        <v>302</v>
      </c>
      <c r="C67">
        <v>7000</v>
      </c>
      <c r="D67">
        <v>400090</v>
      </c>
      <c r="E67" s="124">
        <v>2300290.3220260618</v>
      </c>
      <c r="F67" s="124"/>
      <c r="G67" s="124">
        <v>402225.60122049693</v>
      </c>
      <c r="H67" s="124">
        <v>29905.293448298093</v>
      </c>
      <c r="I67" s="124">
        <v>0</v>
      </c>
      <c r="J67" s="408">
        <v>2732421.216694857</v>
      </c>
    </row>
    <row r="68" spans="1:10">
      <c r="A68" t="s">
        <v>132</v>
      </c>
      <c r="B68">
        <v>302</v>
      </c>
      <c r="C68">
        <v>7009</v>
      </c>
      <c r="D68">
        <v>400091</v>
      </c>
      <c r="E68" s="124">
        <v>2208730.661652165</v>
      </c>
      <c r="F68" s="124"/>
      <c r="G68" s="124">
        <v>104206.89153837913</v>
      </c>
      <c r="H68" s="124">
        <v>-8.7311491370201111E-11</v>
      </c>
      <c r="I68" s="124">
        <v>0</v>
      </c>
      <c r="J68" s="408">
        <v>2312937.5531905442</v>
      </c>
    </row>
    <row r="69" spans="1:10">
      <c r="A69" t="s">
        <v>355</v>
      </c>
      <c r="B69">
        <v>302</v>
      </c>
      <c r="C69">
        <v>5201</v>
      </c>
      <c r="D69">
        <v>400021</v>
      </c>
      <c r="E69" s="124">
        <v>1694488.1274065652</v>
      </c>
      <c r="F69" s="124">
        <v>24000</v>
      </c>
      <c r="G69" s="124"/>
      <c r="H69" s="124"/>
      <c r="I69" s="124">
        <v>-1629.8333333333285</v>
      </c>
      <c r="J69" s="408">
        <v>1716858.294073232</v>
      </c>
    </row>
    <row r="70" spans="1:10">
      <c r="A70" t="s">
        <v>87</v>
      </c>
      <c r="B70">
        <v>302</v>
      </c>
      <c r="C70">
        <v>3501</v>
      </c>
      <c r="D70">
        <v>400003</v>
      </c>
      <c r="E70" s="124">
        <v>1050160.7831666258</v>
      </c>
      <c r="F70" s="124">
        <v>20000</v>
      </c>
      <c r="G70" s="124">
        <v>-2856.2927294981655</v>
      </c>
      <c r="H70" s="124">
        <v>5890.1473733170105</v>
      </c>
      <c r="I70" s="124">
        <v>-15930.798666666666</v>
      </c>
      <c r="J70" s="408">
        <v>1057263.839143778</v>
      </c>
    </row>
    <row r="71" spans="1:10">
      <c r="A71" t="s">
        <v>356</v>
      </c>
      <c r="B71">
        <v>302</v>
      </c>
      <c r="C71">
        <v>2078</v>
      </c>
      <c r="D71">
        <v>400014</v>
      </c>
      <c r="E71" s="124">
        <v>808758.43500944041</v>
      </c>
      <c r="F71" s="124">
        <v>0</v>
      </c>
      <c r="G71" s="124">
        <v>48000</v>
      </c>
      <c r="H71" s="124">
        <v>9453.7000000000007</v>
      </c>
      <c r="I71" s="124">
        <v>0</v>
      </c>
      <c r="J71" s="408">
        <v>866212.13500944036</v>
      </c>
    </row>
    <row r="72" spans="1:10">
      <c r="A72" t="s">
        <v>357</v>
      </c>
      <c r="B72">
        <v>302</v>
      </c>
      <c r="C72">
        <v>2000</v>
      </c>
      <c r="D72">
        <v>400092</v>
      </c>
      <c r="E72" s="124">
        <v>1846668.5309047038</v>
      </c>
      <c r="F72" s="124">
        <v>8000</v>
      </c>
      <c r="G72" s="124">
        <v>-1241966.7061192517</v>
      </c>
      <c r="H72" s="124">
        <v>0</v>
      </c>
      <c r="I72" s="124">
        <v>0</v>
      </c>
      <c r="J72" s="408">
        <v>612701.8247854521</v>
      </c>
    </row>
    <row r="73" spans="1:10">
      <c r="A73" t="s">
        <v>90</v>
      </c>
      <c r="B73">
        <v>302</v>
      </c>
      <c r="C73">
        <v>2071</v>
      </c>
      <c r="D73">
        <v>400010</v>
      </c>
      <c r="E73" s="124">
        <v>1631871.3528584701</v>
      </c>
      <c r="F73" s="124">
        <v>28000</v>
      </c>
      <c r="G73" s="124">
        <v>-1609.7315516062881</v>
      </c>
      <c r="H73" s="124">
        <v>-4333.9492276144938</v>
      </c>
      <c r="I73" s="124">
        <v>-19815.645677830937</v>
      </c>
      <c r="J73" s="408">
        <v>1634112.0264014183</v>
      </c>
    </row>
    <row r="74" spans="1:10">
      <c r="A74" t="s">
        <v>91</v>
      </c>
      <c r="B74">
        <v>302</v>
      </c>
      <c r="C74">
        <v>2072</v>
      </c>
      <c r="D74">
        <v>400012</v>
      </c>
      <c r="E74" s="124">
        <v>1520432.0902634582</v>
      </c>
      <c r="F74" s="124">
        <v>46382</v>
      </c>
      <c r="G74" s="124"/>
      <c r="H74" s="124">
        <v>89</v>
      </c>
      <c r="I74" s="124">
        <v>-38666.5</v>
      </c>
      <c r="J74" s="408">
        <v>1528236.5902634582</v>
      </c>
    </row>
    <row r="75" spans="1:10">
      <c r="A75" t="s">
        <v>358</v>
      </c>
      <c r="B75">
        <v>302</v>
      </c>
      <c r="C75">
        <v>3512</v>
      </c>
      <c r="D75">
        <v>400093</v>
      </c>
      <c r="E75" s="124">
        <v>1841253.2437401884</v>
      </c>
      <c r="F75" s="124">
        <v>32000</v>
      </c>
      <c r="G75" s="124">
        <v>3754.4000000000005</v>
      </c>
      <c r="H75" s="124">
        <v>4521.7999999999956</v>
      </c>
      <c r="I75" s="124">
        <v>-1548.8666666666672</v>
      </c>
      <c r="J75" s="408">
        <v>1879980.5770735217</v>
      </c>
    </row>
    <row r="76" spans="1:10">
      <c r="A76" t="s">
        <v>359</v>
      </c>
      <c r="B76">
        <v>302</v>
      </c>
      <c r="C76">
        <v>3510</v>
      </c>
      <c r="D76">
        <v>400071</v>
      </c>
      <c r="E76" s="124">
        <v>1616250.933966418</v>
      </c>
      <c r="F76" s="124">
        <v>16000</v>
      </c>
      <c r="G76" s="124"/>
      <c r="H76" s="124"/>
      <c r="I76" s="124">
        <v>7908.8333333333285</v>
      </c>
      <c r="J76" s="408">
        <v>1640159.7672997513</v>
      </c>
    </row>
    <row r="77" spans="1:10">
      <c r="A77" t="s">
        <v>360</v>
      </c>
      <c r="B77">
        <v>302</v>
      </c>
      <c r="C77">
        <v>3502</v>
      </c>
      <c r="D77">
        <v>400096</v>
      </c>
      <c r="E77" s="124">
        <v>1413004.9990626129</v>
      </c>
      <c r="F77" s="124">
        <v>8000</v>
      </c>
      <c r="G77" s="124">
        <v>-6208.2376076554992</v>
      </c>
      <c r="H77" s="124">
        <v>4560.755933014354</v>
      </c>
      <c r="I77" s="124">
        <v>13279.23113237639</v>
      </c>
      <c r="J77" s="408">
        <v>1432636.7485203482</v>
      </c>
    </row>
    <row r="78" spans="1:10">
      <c r="A78" t="s">
        <v>605</v>
      </c>
      <c r="B78">
        <v>302</v>
      </c>
      <c r="C78">
        <v>3315</v>
      </c>
      <c r="D78">
        <v>400062</v>
      </c>
      <c r="E78" s="124">
        <v>889782.35178131238</v>
      </c>
      <c r="F78" s="124">
        <v>16000</v>
      </c>
      <c r="G78" s="124"/>
      <c r="H78" s="124"/>
      <c r="I78" s="124">
        <v>-7908.8333333333358</v>
      </c>
      <c r="J78" s="408">
        <v>897873.518447979</v>
      </c>
    </row>
    <row r="79" spans="1:10">
      <c r="A79" t="s">
        <v>361</v>
      </c>
      <c r="B79">
        <v>302</v>
      </c>
      <c r="C79">
        <v>3504</v>
      </c>
      <c r="D79">
        <v>400064</v>
      </c>
      <c r="E79" s="124">
        <v>1781431.4400686345</v>
      </c>
      <c r="F79" s="124">
        <v>24000</v>
      </c>
      <c r="G79" s="124">
        <v>-1352.0168421052676</v>
      </c>
      <c r="H79" s="124">
        <v>10932.200283400818</v>
      </c>
      <c r="I79" s="124">
        <v>36897.901754385966</v>
      </c>
      <c r="J79" s="408">
        <v>1851909.525264316</v>
      </c>
    </row>
    <row r="80" spans="1:10">
      <c r="A80" t="s">
        <v>382</v>
      </c>
      <c r="B80">
        <v>302</v>
      </c>
      <c r="C80">
        <v>5407</v>
      </c>
      <c r="D80">
        <v>400013</v>
      </c>
      <c r="E80" s="124">
        <v>5805899.8901576251</v>
      </c>
      <c r="F80" s="124">
        <v>63303.333333333336</v>
      </c>
      <c r="G80" s="124">
        <v>167834.48923076922</v>
      </c>
      <c r="H80" s="124"/>
      <c r="I80" s="124">
        <v>-45136.499999999956</v>
      </c>
      <c r="J80" s="408">
        <v>5991901.2127217278</v>
      </c>
    </row>
    <row r="81" spans="1:10">
      <c r="A81" t="s">
        <v>606</v>
      </c>
      <c r="B81">
        <v>302</v>
      </c>
      <c r="C81">
        <v>3307</v>
      </c>
      <c r="D81">
        <v>400114</v>
      </c>
      <c r="E81" s="124">
        <v>954822.16254506947</v>
      </c>
      <c r="F81" s="124">
        <v>0</v>
      </c>
      <c r="G81" s="124">
        <v>5221.8629239766096</v>
      </c>
      <c r="H81" s="124">
        <v>1249.4487719298286</v>
      </c>
      <c r="I81" s="124">
        <v>4208.3403508771898</v>
      </c>
      <c r="J81" s="408">
        <v>965501.81459185306</v>
      </c>
    </row>
    <row r="82" spans="1:10">
      <c r="A82" t="s">
        <v>607</v>
      </c>
      <c r="B82">
        <v>302</v>
      </c>
      <c r="C82">
        <v>3309</v>
      </c>
      <c r="D82">
        <v>400098</v>
      </c>
      <c r="E82" s="124">
        <v>1054756.2852571129</v>
      </c>
      <c r="F82" s="124">
        <v>36000</v>
      </c>
      <c r="G82" s="124">
        <v>-2765.5277008310245</v>
      </c>
      <c r="H82" s="124">
        <v>-754.33986149584177</v>
      </c>
      <c r="I82" s="124">
        <v>-9019.5366851338986</v>
      </c>
      <c r="J82" s="408">
        <v>1078216.8810096523</v>
      </c>
    </row>
    <row r="83" spans="1:10">
      <c r="A83" t="s">
        <v>362</v>
      </c>
      <c r="B83">
        <v>302</v>
      </c>
      <c r="C83">
        <v>3508</v>
      </c>
      <c r="D83">
        <v>400022</v>
      </c>
      <c r="E83" s="124">
        <v>958655.39907441277</v>
      </c>
      <c r="F83" s="124">
        <v>4000</v>
      </c>
      <c r="G83" s="124">
        <v>-2000.5899484004105</v>
      </c>
      <c r="H83" s="124">
        <v>2073.9252631578993</v>
      </c>
      <c r="I83" s="124">
        <v>-4503.0491228070168</v>
      </c>
      <c r="J83" s="408">
        <v>958225.68526636332</v>
      </c>
    </row>
    <row r="84" spans="1:10">
      <c r="A84" t="s">
        <v>363</v>
      </c>
      <c r="B84">
        <v>302</v>
      </c>
      <c r="C84">
        <v>3509</v>
      </c>
      <c r="D84">
        <v>400066</v>
      </c>
      <c r="E84" s="124">
        <v>1093128.4867069356</v>
      </c>
      <c r="F84" s="124">
        <v>20000</v>
      </c>
      <c r="G84" s="124"/>
      <c r="H84" s="124"/>
      <c r="I84" s="124">
        <v>23096.666666666672</v>
      </c>
      <c r="J84" s="408">
        <v>1136225.1533736023</v>
      </c>
    </row>
    <row r="85" spans="1:10">
      <c r="A85" t="s">
        <v>31</v>
      </c>
      <c r="B85">
        <v>302</v>
      </c>
      <c r="C85">
        <v>1003</v>
      </c>
      <c r="D85">
        <v>400104</v>
      </c>
      <c r="E85" s="124">
        <v>597680.35925342795</v>
      </c>
      <c r="F85" s="124"/>
      <c r="G85" s="124">
        <v>2463.5616981132043</v>
      </c>
      <c r="H85" s="124">
        <v>-9958.8959543197452</v>
      </c>
      <c r="I85" s="124">
        <v>-4281.6850248262199</v>
      </c>
      <c r="J85" s="408">
        <v>585903.33997239522</v>
      </c>
    </row>
    <row r="86" spans="1:10">
      <c r="A86" t="s">
        <v>364</v>
      </c>
      <c r="B86">
        <v>302</v>
      </c>
      <c r="C86">
        <v>3521</v>
      </c>
      <c r="D86">
        <v>400135</v>
      </c>
      <c r="E86" s="124">
        <v>2007520.7029648817</v>
      </c>
      <c r="F86" s="124">
        <v>28000</v>
      </c>
      <c r="G86" s="124">
        <v>11011.101491228072</v>
      </c>
      <c r="H86" s="124">
        <v>746.86298245614125</v>
      </c>
      <c r="I86" s="124">
        <v>-5396.925964912296</v>
      </c>
      <c r="J86" s="408">
        <v>2041881.7414736534</v>
      </c>
    </row>
    <row r="87" spans="1:10">
      <c r="A87" t="s">
        <v>383</v>
      </c>
      <c r="B87">
        <v>302</v>
      </c>
      <c r="C87">
        <v>5403</v>
      </c>
      <c r="D87">
        <v>400025</v>
      </c>
      <c r="E87" s="124">
        <v>3295120.6277483338</v>
      </c>
      <c r="F87" s="124">
        <v>12217.333333333334</v>
      </c>
      <c r="G87" s="124">
        <v>-4366</v>
      </c>
      <c r="H87" s="124">
        <v>8405.2000000000007</v>
      </c>
      <c r="I87" s="124">
        <v>2911.0255624999986</v>
      </c>
      <c r="J87" s="408">
        <v>3314288.1866441676</v>
      </c>
    </row>
    <row r="88" spans="1:10">
      <c r="A88" t="s">
        <v>608</v>
      </c>
      <c r="B88">
        <v>302</v>
      </c>
      <c r="C88">
        <v>3311</v>
      </c>
      <c r="D88">
        <v>400058</v>
      </c>
      <c r="E88" s="124">
        <v>1788086.7753750468</v>
      </c>
      <c r="F88" s="124">
        <v>12000</v>
      </c>
      <c r="G88" s="124">
        <v>-11065.03734165923</v>
      </c>
      <c r="H88" s="124">
        <v>4793.6967662801053</v>
      </c>
      <c r="I88" s="124">
        <v>8666.6377163247053</v>
      </c>
      <c r="J88" s="408">
        <v>1802482.0725159924</v>
      </c>
    </row>
    <row r="89" spans="1:10">
      <c r="A89" t="s">
        <v>365</v>
      </c>
      <c r="B89">
        <v>302</v>
      </c>
      <c r="C89">
        <v>3312</v>
      </c>
      <c r="D89">
        <v>400017</v>
      </c>
      <c r="E89" s="124">
        <v>939368.72405297181</v>
      </c>
      <c r="F89" s="124">
        <v>28000</v>
      </c>
      <c r="G89" s="124"/>
      <c r="H89" s="124"/>
      <c r="I89" s="124">
        <v>-12962.5</v>
      </c>
      <c r="J89" s="408">
        <v>954406.22405297181</v>
      </c>
    </row>
    <row r="90" spans="1:10">
      <c r="A90" t="s">
        <v>384</v>
      </c>
      <c r="B90">
        <v>302</v>
      </c>
      <c r="C90">
        <v>5404</v>
      </c>
      <c r="D90">
        <v>400029</v>
      </c>
      <c r="E90" s="124">
        <v>3985268.2967309114</v>
      </c>
      <c r="F90" s="124">
        <v>0</v>
      </c>
      <c r="G90" s="124">
        <v>15482</v>
      </c>
      <c r="H90" s="124"/>
      <c r="I90" s="124">
        <v>0</v>
      </c>
      <c r="J90" s="408">
        <v>4000750.2967309114</v>
      </c>
    </row>
    <row r="91" spans="1:10">
      <c r="A91" t="s">
        <v>366</v>
      </c>
      <c r="B91">
        <v>302</v>
      </c>
      <c r="C91">
        <v>3313</v>
      </c>
      <c r="D91">
        <v>400006</v>
      </c>
      <c r="E91" s="124">
        <v>1048061.7583820324</v>
      </c>
      <c r="F91" s="124">
        <v>16000</v>
      </c>
      <c r="G91" s="124">
        <v>-1595.6471826625386</v>
      </c>
      <c r="H91" s="124">
        <v>-1402.7483900928778</v>
      </c>
      <c r="I91" s="124">
        <v>117.33947368420968</v>
      </c>
      <c r="J91" s="408">
        <v>1061180.7022829612</v>
      </c>
    </row>
    <row r="92" spans="1:10">
      <c r="A92" t="s">
        <v>609</v>
      </c>
      <c r="B92">
        <v>302</v>
      </c>
      <c r="C92">
        <v>3314</v>
      </c>
      <c r="D92">
        <v>400094</v>
      </c>
      <c r="E92" s="124">
        <v>915094.01501920435</v>
      </c>
      <c r="F92" s="124">
        <v>28000</v>
      </c>
      <c r="G92" s="124"/>
      <c r="H92" s="124"/>
      <c r="I92" s="124">
        <v>-13688.066666666657</v>
      </c>
      <c r="J92" s="408">
        <v>929405.9483525377</v>
      </c>
    </row>
    <row r="93" spans="1:10">
      <c r="A93" t="s">
        <v>367</v>
      </c>
      <c r="B93">
        <v>302</v>
      </c>
      <c r="C93">
        <v>3507</v>
      </c>
      <c r="D93">
        <v>400037</v>
      </c>
      <c r="E93" s="124">
        <v>965928.70215646585</v>
      </c>
      <c r="F93" s="124">
        <v>0</v>
      </c>
      <c r="G93" s="124"/>
      <c r="H93" s="124"/>
      <c r="I93" s="124">
        <v>0</v>
      </c>
      <c r="J93" s="408">
        <v>965928.70215646585</v>
      </c>
    </row>
    <row r="94" spans="1:10">
      <c r="A94" t="s">
        <v>368</v>
      </c>
      <c r="B94">
        <v>302</v>
      </c>
      <c r="C94">
        <v>3506</v>
      </c>
      <c r="D94">
        <v>400009</v>
      </c>
      <c r="E94" s="124">
        <v>1310686.6206705805</v>
      </c>
      <c r="F94" s="124">
        <v>28000</v>
      </c>
      <c r="G94" s="124">
        <v>34000</v>
      </c>
      <c r="H94" s="124">
        <v>14000</v>
      </c>
      <c r="I94" s="124">
        <v>129.83333333334303</v>
      </c>
      <c r="J94" s="408">
        <v>1386816.4540039138</v>
      </c>
    </row>
    <row r="95" spans="1:10">
      <c r="A95" t="s">
        <v>369</v>
      </c>
      <c r="B95">
        <v>302</v>
      </c>
      <c r="C95">
        <v>2052</v>
      </c>
      <c r="D95">
        <v>400099</v>
      </c>
      <c r="E95" s="124">
        <v>2313971.7920446824</v>
      </c>
      <c r="F95" s="124">
        <v>16000</v>
      </c>
      <c r="G95" s="124">
        <v>57823.736425736279</v>
      </c>
      <c r="H95" s="124">
        <v>586.98382003395625</v>
      </c>
      <c r="I95" s="124">
        <v>22317.019524617997</v>
      </c>
      <c r="J95" s="408">
        <v>2410699.5318150707</v>
      </c>
    </row>
    <row r="96" spans="1:10">
      <c r="A96" t="s">
        <v>370</v>
      </c>
      <c r="B96">
        <v>302</v>
      </c>
      <c r="C96">
        <v>2070</v>
      </c>
      <c r="D96">
        <v>400038</v>
      </c>
      <c r="E96" s="124">
        <v>1208129.2743973087</v>
      </c>
      <c r="F96" s="124">
        <v>24000</v>
      </c>
      <c r="G96" s="124">
        <v>-8057.1438901601796</v>
      </c>
      <c r="H96" s="124">
        <v>5722.6396338672839</v>
      </c>
      <c r="I96" s="124">
        <v>2461.7056064073213</v>
      </c>
      <c r="J96" s="408">
        <v>1232256.475747423</v>
      </c>
    </row>
    <row r="97" spans="1:10">
      <c r="A97" t="s">
        <v>371</v>
      </c>
      <c r="B97">
        <v>302</v>
      </c>
      <c r="C97">
        <v>3500</v>
      </c>
      <c r="D97">
        <v>400023</v>
      </c>
      <c r="E97" s="124">
        <v>922157.26440497208</v>
      </c>
      <c r="F97" s="124">
        <v>12000</v>
      </c>
      <c r="G97" s="124">
        <v>-5199.7099248120248</v>
      </c>
      <c r="H97" s="124">
        <v>-4612.2523845327578</v>
      </c>
      <c r="I97" s="124">
        <v>-6622.1919799498755</v>
      </c>
      <c r="J97" s="408">
        <v>917723.11011567747</v>
      </c>
    </row>
    <row r="98" spans="1:10">
      <c r="A98" t="s">
        <v>372</v>
      </c>
      <c r="B98">
        <v>302</v>
      </c>
      <c r="C98">
        <v>3514</v>
      </c>
      <c r="D98">
        <v>400107</v>
      </c>
      <c r="E98" s="124">
        <v>982044.34246853949</v>
      </c>
      <c r="F98" s="124">
        <v>20000</v>
      </c>
      <c r="G98" s="124"/>
      <c r="H98" s="124"/>
      <c r="I98" s="124">
        <v>-15817.666666666664</v>
      </c>
      <c r="J98" s="408">
        <v>986226.67580187286</v>
      </c>
    </row>
    <row r="99" spans="1:10">
      <c r="A99" t="s">
        <v>373</v>
      </c>
      <c r="B99">
        <v>302</v>
      </c>
      <c r="C99">
        <v>2074</v>
      </c>
      <c r="D99">
        <v>400109</v>
      </c>
      <c r="E99" s="124">
        <v>2086993.7076671026</v>
      </c>
      <c r="F99" s="124">
        <v>24000</v>
      </c>
      <c r="G99" s="124">
        <v>-1240206.6246384829</v>
      </c>
      <c r="H99" s="124">
        <v>0</v>
      </c>
      <c r="I99" s="124">
        <v>0</v>
      </c>
      <c r="J99" s="408">
        <v>870787.08302861964</v>
      </c>
    </row>
    <row r="100" spans="1:10">
      <c r="A100" t="s">
        <v>374</v>
      </c>
      <c r="B100">
        <v>302</v>
      </c>
      <c r="C100">
        <v>2077</v>
      </c>
      <c r="D100">
        <v>400113</v>
      </c>
      <c r="E100" s="124">
        <v>2797878.7147903657</v>
      </c>
      <c r="F100" s="124">
        <v>52000</v>
      </c>
      <c r="G100" s="124">
        <v>85259.447572041739</v>
      </c>
      <c r="H100" s="124">
        <v>-3399.5866553480482</v>
      </c>
      <c r="I100" s="124">
        <v>30060.56788907752</v>
      </c>
      <c r="J100" s="408">
        <v>2961799.1435961369</v>
      </c>
    </row>
    <row r="101" spans="1:10">
      <c r="A101" t="s">
        <v>375</v>
      </c>
      <c r="B101">
        <v>302</v>
      </c>
      <c r="C101">
        <v>3316</v>
      </c>
      <c r="D101">
        <v>400100</v>
      </c>
      <c r="E101" s="124">
        <v>842174.7984996622</v>
      </c>
      <c r="F101" s="124">
        <v>0</v>
      </c>
      <c r="G101" s="124"/>
      <c r="H101" s="124"/>
      <c r="I101" s="124">
        <v>0</v>
      </c>
      <c r="J101" s="408">
        <v>842174.7984996622</v>
      </c>
    </row>
    <row r="102" spans="1:10">
      <c r="A102" t="s">
        <v>376</v>
      </c>
      <c r="B102">
        <v>302</v>
      </c>
      <c r="C102">
        <v>2055</v>
      </c>
      <c r="D102">
        <v>400101</v>
      </c>
      <c r="E102" s="124">
        <v>1173716.5331122002</v>
      </c>
      <c r="F102" s="124">
        <v>16000</v>
      </c>
      <c r="G102" s="124">
        <v>-11847.676076555028</v>
      </c>
      <c r="H102" s="124">
        <v>152.62813397129264</v>
      </c>
      <c r="I102" s="124">
        <v>13202.533397129178</v>
      </c>
      <c r="J102" s="408">
        <v>1191224.0185667458</v>
      </c>
    </row>
    <row r="103" spans="1:10">
      <c r="A103" t="s">
        <v>112</v>
      </c>
      <c r="B103">
        <v>302</v>
      </c>
      <c r="C103">
        <v>2057</v>
      </c>
      <c r="D103">
        <v>400053</v>
      </c>
      <c r="E103" s="124">
        <v>1121471.6550266875</v>
      </c>
      <c r="F103" s="124">
        <v>20000</v>
      </c>
      <c r="G103" s="124">
        <v>-3583.1394859241186</v>
      </c>
      <c r="H103" s="124">
        <v>19489.083018359855</v>
      </c>
      <c r="I103" s="124">
        <v>-5620.0920008159937</v>
      </c>
      <c r="J103" s="408">
        <v>1151757.5065583074</v>
      </c>
    </row>
    <row r="104" spans="1:10">
      <c r="A104" t="s">
        <v>113</v>
      </c>
      <c r="B104">
        <v>302</v>
      </c>
      <c r="C104">
        <v>2056</v>
      </c>
      <c r="D104">
        <v>400055</v>
      </c>
      <c r="E104" s="124">
        <v>1223354.4183051549</v>
      </c>
      <c r="F104" s="124">
        <v>20000</v>
      </c>
      <c r="G104" s="124"/>
      <c r="H104" s="124">
        <v>9696.9</v>
      </c>
      <c r="I104" s="124">
        <v>8573</v>
      </c>
      <c r="J104" s="408">
        <v>1261624.3183051548</v>
      </c>
    </row>
    <row r="105" spans="1:10">
      <c r="A105" t="s">
        <v>377</v>
      </c>
      <c r="B105">
        <v>302</v>
      </c>
      <c r="C105">
        <v>2076</v>
      </c>
      <c r="D105">
        <v>400111</v>
      </c>
      <c r="E105" s="124">
        <v>2233806.7259344012</v>
      </c>
      <c r="F105" s="124">
        <v>8000</v>
      </c>
      <c r="G105" s="124">
        <v>-10877.99894736842</v>
      </c>
      <c r="H105" s="124">
        <v>2155.2797832817296</v>
      </c>
      <c r="I105" s="124">
        <v>1182.7577089783244</v>
      </c>
      <c r="J105" s="408">
        <v>2234266.7644792926</v>
      </c>
    </row>
    <row r="106" spans="1:10">
      <c r="A106" t="s">
        <v>378</v>
      </c>
      <c r="B106">
        <v>302</v>
      </c>
      <c r="C106">
        <v>2060</v>
      </c>
      <c r="D106">
        <v>400011</v>
      </c>
      <c r="E106" s="124">
        <v>2193149.7385703069</v>
      </c>
      <c r="F106" s="124">
        <v>8000</v>
      </c>
      <c r="G106" s="124">
        <v>4630.685263157895</v>
      </c>
      <c r="H106" s="124">
        <v>-835.28105263157499</v>
      </c>
      <c r="I106" s="124">
        <v>1021.305263157893</v>
      </c>
      <c r="J106" s="408">
        <v>2205966.4480439909</v>
      </c>
    </row>
    <row r="107" spans="1:10">
      <c r="A107" t="s">
        <v>116</v>
      </c>
      <c r="B107">
        <v>302</v>
      </c>
      <c r="C107">
        <v>3518</v>
      </c>
      <c r="D107">
        <v>400117</v>
      </c>
      <c r="E107" s="124">
        <v>2282565.7492296933</v>
      </c>
      <c r="F107" s="124">
        <v>20000</v>
      </c>
      <c r="G107" s="124">
        <v>-4852.1203508771941</v>
      </c>
      <c r="H107" s="124">
        <v>-5402.9728070175461</v>
      </c>
      <c r="I107" s="124">
        <v>24934.936767719282</v>
      </c>
      <c r="J107" s="408">
        <v>2317245.5928395176</v>
      </c>
    </row>
    <row r="108" spans="1:10">
      <c r="A108" t="s">
        <v>379</v>
      </c>
      <c r="B108">
        <v>302</v>
      </c>
      <c r="C108">
        <v>2054</v>
      </c>
      <c r="D108">
        <v>400004</v>
      </c>
      <c r="E108" s="124">
        <v>1016181.2896045481</v>
      </c>
      <c r="F108" s="124">
        <v>12000</v>
      </c>
      <c r="G108" s="124"/>
      <c r="H108" s="124"/>
      <c r="I108" s="124">
        <v>14187.833333333328</v>
      </c>
      <c r="J108" s="408">
        <v>1042369.1229378815</v>
      </c>
    </row>
    <row r="109" spans="1:10" ht="13.5" thickBot="1">
      <c r="A109" t="s">
        <v>688</v>
      </c>
      <c r="E109" s="124">
        <v>171355937.31945747</v>
      </c>
      <c r="F109" s="124">
        <v>1975970</v>
      </c>
      <c r="G109" s="124">
        <v>-2237399.1797559122</v>
      </c>
      <c r="H109" s="124">
        <v>10429.475687287093</v>
      </c>
      <c r="I109" s="124">
        <v>36887.652982532978</v>
      </c>
      <c r="J109" s="409">
        <v>171141825.2683714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indexed="10"/>
  </sheetPr>
  <dimension ref="A1:IO179"/>
  <sheetViews>
    <sheetView workbookViewId="0">
      <pane xSplit="2" ySplit="6" topLeftCell="C7" activePane="bottomRight" state="frozen"/>
      <selection activeCell="P27" sqref="P27"/>
      <selection pane="topRight" activeCell="P27" sqref="P27"/>
      <selection pane="bottomLeft" activeCell="P27" sqref="P27"/>
      <selection pane="bottomRight" activeCell="P27" sqref="P27"/>
    </sheetView>
  </sheetViews>
  <sheetFormatPr defaultRowHeight="12.75"/>
  <cols>
    <col min="1" max="1" width="11.28515625" style="190" bestFit="1" customWidth="1"/>
    <col min="2" max="2" width="48.28515625" style="92" customWidth="1"/>
    <col min="3" max="4" width="0" style="92" hidden="1" customWidth="1"/>
    <col min="5" max="5" width="0" style="177" hidden="1" customWidth="1"/>
    <col min="6" max="6" width="0" style="92" hidden="1" customWidth="1"/>
    <col min="7" max="7" width="11.28515625" style="92" hidden="1" customWidth="1"/>
    <col min="8" max="8" width="0" style="92" hidden="1" customWidth="1"/>
    <col min="9" max="9" width="12.85546875" style="92" hidden="1" customWidth="1"/>
    <col min="10" max="10" width="0" style="176" hidden="1" customWidth="1"/>
    <col min="11" max="11" width="12.85546875" style="92" hidden="1" customWidth="1"/>
    <col min="12" max="12" width="0" style="92" hidden="1" customWidth="1"/>
    <col min="13" max="23" width="0" style="124" hidden="1" customWidth="1"/>
    <col min="24" max="24" width="10.140625" style="124" hidden="1" customWidth="1"/>
    <col min="25" max="26" width="0" style="124" hidden="1" customWidth="1"/>
    <col min="27" max="27" width="16.42578125" style="92" hidden="1" customWidth="1"/>
    <col min="28" max="28" width="0" style="226" hidden="1" customWidth="1"/>
    <col min="29" max="29" width="12.5703125" style="226" hidden="1" customWidth="1"/>
    <col min="30" max="30" width="0" style="176" hidden="1" customWidth="1"/>
    <col min="31" max="31" width="11.28515625" style="179" hidden="1" customWidth="1"/>
    <col min="32" max="32" width="10.28515625" style="179" hidden="1" customWidth="1"/>
    <col min="33" max="33" width="12.85546875" style="179" hidden="1" customWidth="1"/>
    <col min="34" max="34" width="0" style="179" hidden="1" customWidth="1"/>
    <col min="35" max="35" width="10.28515625" style="176" hidden="1" customWidth="1"/>
    <col min="36" max="39" width="0" style="92" hidden="1" customWidth="1"/>
    <col min="40" max="40" width="0" style="176" hidden="1" customWidth="1"/>
    <col min="41" max="41" width="10.28515625" style="92" hidden="1" customWidth="1"/>
    <col min="42" max="49" width="0" style="92" hidden="1" customWidth="1"/>
    <col min="50" max="50" width="0" style="176" hidden="1" customWidth="1"/>
    <col min="51" max="51" width="0" style="221" hidden="1" customWidth="1"/>
    <col min="52" max="53" width="0" style="92" hidden="1" customWidth="1"/>
    <col min="54" max="55" width="0" style="176" hidden="1" customWidth="1"/>
    <col min="56" max="56" width="0" style="180" hidden="1" customWidth="1"/>
    <col min="57" max="57" width="0" style="92" hidden="1" customWidth="1"/>
    <col min="58" max="59" width="10.28515625" style="92" hidden="1" customWidth="1"/>
    <col min="60" max="66" width="0" style="92" hidden="1" customWidth="1"/>
    <col min="67" max="67" width="10.28515625" style="92" hidden="1" customWidth="1"/>
    <col min="68" max="68" width="12.85546875" style="92" hidden="1" customWidth="1"/>
    <col min="69" max="76" width="0" style="92" hidden="1" customWidth="1"/>
    <col min="77" max="77" width="12.7109375" style="92" hidden="1" customWidth="1"/>
    <col min="78" max="78" width="10.7109375" style="92" hidden="1" customWidth="1"/>
    <col min="79" max="79" width="14.7109375" style="92" hidden="1" customWidth="1"/>
    <col min="80" max="80" width="0" style="92" hidden="1" customWidth="1"/>
    <col min="81" max="81" width="10.28515625" style="92" hidden="1" customWidth="1"/>
    <col min="82" max="84" width="0" style="92" hidden="1" customWidth="1"/>
    <col min="85" max="85" width="12.85546875" style="92" hidden="1" customWidth="1"/>
    <col min="86" max="87" width="0" style="92" hidden="1" customWidth="1"/>
    <col min="88" max="89" width="12.85546875" style="176" hidden="1" customWidth="1"/>
    <col min="90" max="91" width="0" style="92" hidden="1" customWidth="1"/>
    <col min="92" max="92" width="10.28515625" style="176" hidden="1" customWidth="1"/>
    <col min="93" max="94" width="0" style="92" hidden="1" customWidth="1"/>
    <col min="95" max="95" width="9.28515625" style="232" bestFit="1" customWidth="1"/>
    <col min="96" max="96" width="9.140625" style="232"/>
    <col min="97" max="101" width="0" style="92" hidden="1" customWidth="1"/>
    <col min="102" max="102" width="10.85546875" style="92" hidden="1" customWidth="1"/>
    <col min="103" max="116" width="0" style="92" hidden="1" customWidth="1"/>
    <col min="117" max="117" width="11.28515625" style="92" hidden="1" customWidth="1"/>
    <col min="118" max="119" width="11.28515625" style="139" hidden="1" customWidth="1"/>
    <col min="120" max="135" width="0" style="139" hidden="1" customWidth="1"/>
    <col min="136" max="139" width="0" style="143" hidden="1" customWidth="1"/>
    <col min="140" max="16384" width="9.140625" style="139"/>
  </cols>
  <sheetData>
    <row r="1" spans="1:249">
      <c r="A1" s="136">
        <v>1</v>
      </c>
      <c r="B1" s="124">
        <v>2</v>
      </c>
      <c r="C1" s="124">
        <v>3</v>
      </c>
      <c r="D1" s="136">
        <v>4</v>
      </c>
      <c r="E1" s="137">
        <v>5</v>
      </c>
      <c r="F1" s="92">
        <v>6</v>
      </c>
      <c r="G1" s="136">
        <v>7</v>
      </c>
      <c r="H1" s="124">
        <v>8</v>
      </c>
      <c r="I1" s="124">
        <v>9</v>
      </c>
      <c r="J1" s="138">
        <v>10</v>
      </c>
      <c r="K1" s="124">
        <v>11</v>
      </c>
      <c r="L1" s="124">
        <v>12</v>
      </c>
      <c r="M1" s="136">
        <v>13</v>
      </c>
      <c r="N1" s="124">
        <v>14</v>
      </c>
      <c r="O1" s="124">
        <v>15</v>
      </c>
      <c r="P1" s="136">
        <v>16</v>
      </c>
      <c r="Q1" s="124">
        <v>17</v>
      </c>
      <c r="R1" s="124">
        <v>18</v>
      </c>
      <c r="S1" s="136">
        <v>19</v>
      </c>
      <c r="T1" s="124">
        <v>20</v>
      </c>
      <c r="U1" s="124">
        <v>21</v>
      </c>
      <c r="V1" s="136">
        <v>22</v>
      </c>
      <c r="W1" s="124">
        <v>23</v>
      </c>
      <c r="X1" s="124">
        <v>24</v>
      </c>
      <c r="Y1" s="136">
        <v>25</v>
      </c>
      <c r="Z1" s="124">
        <v>26</v>
      </c>
      <c r="AA1" s="124">
        <v>27</v>
      </c>
      <c r="AB1" s="136">
        <v>28</v>
      </c>
      <c r="AC1" s="124">
        <v>29</v>
      </c>
      <c r="AD1" s="137">
        <v>30</v>
      </c>
      <c r="AE1" s="136">
        <v>31</v>
      </c>
      <c r="AF1" s="124">
        <v>32</v>
      </c>
      <c r="AG1" s="124">
        <v>33</v>
      </c>
      <c r="AH1" s="136">
        <v>34</v>
      </c>
      <c r="AI1" s="137">
        <v>35</v>
      </c>
      <c r="AJ1" s="124">
        <v>36</v>
      </c>
      <c r="AK1" s="136">
        <v>37</v>
      </c>
      <c r="AL1" s="124">
        <v>38</v>
      </c>
      <c r="AM1" s="124">
        <v>39</v>
      </c>
      <c r="AN1" s="138">
        <v>40</v>
      </c>
      <c r="AO1" s="124">
        <v>41</v>
      </c>
      <c r="AP1" s="124">
        <v>42</v>
      </c>
      <c r="AQ1" s="136">
        <v>43</v>
      </c>
      <c r="AR1" s="124">
        <v>44</v>
      </c>
      <c r="AS1" s="124">
        <v>45</v>
      </c>
      <c r="AT1" s="136">
        <v>46</v>
      </c>
      <c r="AU1" s="124">
        <v>47</v>
      </c>
      <c r="AV1" s="124">
        <v>48</v>
      </c>
      <c r="AW1" s="136">
        <v>49</v>
      </c>
      <c r="AX1" s="137">
        <v>50</v>
      </c>
      <c r="AY1" s="124">
        <v>51</v>
      </c>
      <c r="AZ1" s="136">
        <v>52</v>
      </c>
      <c r="BA1" s="124">
        <v>53</v>
      </c>
      <c r="BB1" s="137">
        <v>54</v>
      </c>
      <c r="BC1" s="138">
        <v>55</v>
      </c>
      <c r="BD1" s="124">
        <v>56</v>
      </c>
      <c r="BE1" s="124">
        <v>57</v>
      </c>
      <c r="BF1" s="136">
        <v>58</v>
      </c>
      <c r="BG1" s="124">
        <v>59</v>
      </c>
      <c r="BH1" s="124">
        <v>60</v>
      </c>
      <c r="BI1" s="136">
        <v>61</v>
      </c>
      <c r="BJ1" s="124">
        <v>62</v>
      </c>
      <c r="BK1" s="124">
        <v>63</v>
      </c>
      <c r="BL1" s="136">
        <v>64</v>
      </c>
      <c r="BM1" s="124">
        <v>65</v>
      </c>
      <c r="BN1" s="124">
        <v>66</v>
      </c>
      <c r="BO1" s="136">
        <v>67</v>
      </c>
      <c r="BP1" s="124">
        <v>68</v>
      </c>
      <c r="BQ1" s="124">
        <v>69</v>
      </c>
      <c r="BR1" s="136">
        <v>70</v>
      </c>
      <c r="BS1" s="124">
        <v>71</v>
      </c>
      <c r="BT1" s="124">
        <v>72</v>
      </c>
      <c r="BU1" s="136">
        <v>73</v>
      </c>
      <c r="BV1" s="124">
        <v>74</v>
      </c>
      <c r="BW1" s="124">
        <v>75</v>
      </c>
      <c r="BX1" s="136">
        <v>76</v>
      </c>
      <c r="BY1" s="124">
        <v>77</v>
      </c>
      <c r="BZ1" s="124">
        <v>78</v>
      </c>
      <c r="CA1" s="136">
        <v>79</v>
      </c>
      <c r="CB1" s="124">
        <v>80</v>
      </c>
      <c r="CC1" s="124">
        <v>81</v>
      </c>
      <c r="CD1" s="136">
        <v>82</v>
      </c>
      <c r="CE1" s="124">
        <v>83</v>
      </c>
      <c r="CF1" s="124">
        <v>84</v>
      </c>
      <c r="CG1" s="136">
        <v>85</v>
      </c>
      <c r="CH1" s="124">
        <v>86</v>
      </c>
      <c r="CI1" s="124">
        <v>87</v>
      </c>
      <c r="CJ1" s="138">
        <v>88</v>
      </c>
      <c r="CK1" s="137">
        <v>89</v>
      </c>
      <c r="CL1" s="124">
        <v>90</v>
      </c>
      <c r="CM1" s="136">
        <v>91</v>
      </c>
      <c r="CN1" s="137">
        <v>92</v>
      </c>
      <c r="CO1" s="124">
        <v>93</v>
      </c>
      <c r="CP1" s="124">
        <v>94</v>
      </c>
      <c r="CQ1" s="227">
        <v>95</v>
      </c>
      <c r="CR1" s="228">
        <v>96</v>
      </c>
      <c r="CS1" s="124">
        <v>97</v>
      </c>
      <c r="CT1" s="124">
        <v>98</v>
      </c>
      <c r="CU1" s="136">
        <v>99</v>
      </c>
      <c r="CV1" s="137">
        <v>100</v>
      </c>
      <c r="CW1" s="124">
        <v>101</v>
      </c>
      <c r="CX1" s="124">
        <v>102</v>
      </c>
      <c r="CY1" s="136">
        <v>103</v>
      </c>
      <c r="CZ1" s="137">
        <v>104</v>
      </c>
      <c r="DA1" s="124">
        <v>105</v>
      </c>
      <c r="DB1" s="124">
        <v>106</v>
      </c>
      <c r="DC1" s="136">
        <v>107</v>
      </c>
      <c r="DD1" s="137">
        <v>108</v>
      </c>
      <c r="DE1" s="124">
        <v>109</v>
      </c>
      <c r="DF1" s="124">
        <v>110</v>
      </c>
      <c r="DG1" s="136">
        <v>111</v>
      </c>
      <c r="DH1" s="137">
        <v>112</v>
      </c>
      <c r="DI1" s="124">
        <v>113</v>
      </c>
      <c r="DJ1" s="124">
        <v>114</v>
      </c>
      <c r="DK1" s="136">
        <v>115</v>
      </c>
      <c r="DL1" s="137">
        <v>116</v>
      </c>
      <c r="DM1" s="124">
        <v>117</v>
      </c>
      <c r="DN1" s="124">
        <v>118</v>
      </c>
      <c r="DO1" s="136">
        <v>119</v>
      </c>
      <c r="DP1" s="137">
        <v>120</v>
      </c>
      <c r="DQ1" s="124">
        <v>121</v>
      </c>
      <c r="DR1" s="124">
        <v>122</v>
      </c>
      <c r="DS1" s="136">
        <v>123</v>
      </c>
      <c r="DT1" s="137">
        <v>124</v>
      </c>
      <c r="DU1" s="124">
        <v>125</v>
      </c>
      <c r="DV1" s="124">
        <v>126</v>
      </c>
      <c r="DW1" s="136">
        <v>127</v>
      </c>
      <c r="DX1" s="137">
        <v>128</v>
      </c>
      <c r="DY1" s="124">
        <v>129</v>
      </c>
      <c r="DZ1" s="124">
        <v>130</v>
      </c>
      <c r="EA1" s="136">
        <v>131</v>
      </c>
      <c r="EB1" s="137">
        <v>132</v>
      </c>
      <c r="EC1" s="124">
        <v>133</v>
      </c>
      <c r="ED1" s="124">
        <v>134</v>
      </c>
      <c r="EE1" s="136">
        <v>135</v>
      </c>
      <c r="EF1" s="137">
        <v>136</v>
      </c>
      <c r="EG1" s="124">
        <v>137</v>
      </c>
      <c r="EH1" s="124">
        <v>138</v>
      </c>
      <c r="EI1" s="136">
        <v>139</v>
      </c>
      <c r="EJ1" s="137">
        <v>140</v>
      </c>
      <c r="EK1" s="137">
        <v>144</v>
      </c>
      <c r="EL1" s="124">
        <v>145</v>
      </c>
    </row>
    <row r="2" spans="1:249" s="143" customFormat="1">
      <c r="A2" s="136"/>
      <c r="B2" s="124"/>
      <c r="C2" s="124"/>
      <c r="D2" s="124"/>
      <c r="E2" s="140"/>
      <c r="F2" s="92"/>
      <c r="G2" s="124"/>
      <c r="H2" s="124"/>
      <c r="I2" s="124"/>
      <c r="J2" s="137"/>
      <c r="K2" s="124"/>
      <c r="L2" s="124"/>
      <c r="M2" s="124">
        <v>6</v>
      </c>
      <c r="N2" s="124">
        <v>7</v>
      </c>
      <c r="O2" s="124">
        <v>8</v>
      </c>
      <c r="P2" s="124">
        <v>9</v>
      </c>
      <c r="Q2" s="124">
        <v>10</v>
      </c>
      <c r="R2" s="124">
        <v>11</v>
      </c>
      <c r="S2" s="124">
        <v>3</v>
      </c>
      <c r="T2" s="124">
        <v>4</v>
      </c>
      <c r="U2" s="124">
        <v>5</v>
      </c>
      <c r="V2" s="124">
        <v>6</v>
      </c>
      <c r="W2" s="124">
        <v>7</v>
      </c>
      <c r="X2" s="124">
        <v>3</v>
      </c>
      <c r="Y2" s="124"/>
      <c r="Z2" s="124">
        <v>5</v>
      </c>
      <c r="AA2" s="124">
        <v>20</v>
      </c>
      <c r="AB2" s="137"/>
      <c r="AC2" s="137"/>
      <c r="AD2" s="137"/>
      <c r="AE2" s="141">
        <v>6</v>
      </c>
      <c r="AF2" s="141">
        <v>14</v>
      </c>
      <c r="AG2" s="141">
        <v>10</v>
      </c>
      <c r="AH2" s="141">
        <v>18</v>
      </c>
      <c r="AI2" s="137"/>
      <c r="AJ2" s="124">
        <v>23</v>
      </c>
      <c r="AK2" s="124"/>
      <c r="AL2" s="124"/>
      <c r="AM2" s="124"/>
      <c r="AN2" s="137"/>
      <c r="AO2" s="124">
        <v>2718.99</v>
      </c>
      <c r="AP2" s="124"/>
      <c r="AQ2" s="124"/>
      <c r="AR2" s="124"/>
      <c r="AS2" s="124"/>
      <c r="AT2" s="124"/>
      <c r="AU2" s="124"/>
      <c r="AV2" s="124"/>
      <c r="AW2" s="124"/>
      <c r="AX2" s="137"/>
      <c r="AY2" s="137"/>
      <c r="AZ2" s="124"/>
      <c r="BA2" s="124"/>
      <c r="BB2" s="137"/>
      <c r="BC2" s="137"/>
      <c r="BD2" s="142"/>
      <c r="BE2" s="124"/>
      <c r="BF2" s="124">
        <v>23</v>
      </c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37"/>
      <c r="CK2" s="137"/>
      <c r="CL2" s="124"/>
      <c r="CM2" s="124"/>
      <c r="CN2" s="137"/>
      <c r="CO2" s="124"/>
      <c r="CP2" s="124"/>
      <c r="CQ2" s="228"/>
      <c r="CR2" s="228"/>
      <c r="CS2" s="124"/>
      <c r="CT2" s="124"/>
      <c r="CU2" s="124">
        <v>17</v>
      </c>
      <c r="CV2" s="124">
        <v>18</v>
      </c>
      <c r="CW2" s="124">
        <v>19</v>
      </c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</row>
    <row r="3" spans="1:249" s="153" customFormat="1" ht="55.5">
      <c r="A3" s="144" t="s">
        <v>463</v>
      </c>
      <c r="B3" s="145" t="s">
        <v>464</v>
      </c>
      <c r="C3" s="144" t="s">
        <v>465</v>
      </c>
      <c r="D3" s="144" t="s">
        <v>466</v>
      </c>
      <c r="E3" s="146" t="s">
        <v>467</v>
      </c>
      <c r="F3" s="144" t="s">
        <v>468</v>
      </c>
      <c r="G3" s="144" t="s">
        <v>469</v>
      </c>
      <c r="H3" s="144" t="s">
        <v>470</v>
      </c>
      <c r="I3" s="144" t="s">
        <v>471</v>
      </c>
      <c r="J3" s="147" t="s">
        <v>472</v>
      </c>
      <c r="K3" s="144" t="s">
        <v>473</v>
      </c>
      <c r="L3" s="144" t="s">
        <v>474</v>
      </c>
      <c r="M3" s="148" t="s">
        <v>465</v>
      </c>
      <c r="N3" s="148" t="s">
        <v>465</v>
      </c>
      <c r="O3" s="148" t="s">
        <v>465</v>
      </c>
      <c r="P3" s="148" t="s">
        <v>465</v>
      </c>
      <c r="Q3" s="148" t="s">
        <v>465</v>
      </c>
      <c r="R3" s="148" t="s">
        <v>465</v>
      </c>
      <c r="S3" s="148" t="s">
        <v>465</v>
      </c>
      <c r="T3" s="148" t="s">
        <v>465</v>
      </c>
      <c r="U3" s="148" t="s">
        <v>465</v>
      </c>
      <c r="V3" s="148" t="s">
        <v>465</v>
      </c>
      <c r="W3" s="148" t="s">
        <v>465</v>
      </c>
      <c r="X3" s="148" t="s">
        <v>475</v>
      </c>
      <c r="Y3" s="148" t="s">
        <v>476</v>
      </c>
      <c r="Z3" s="148" t="s">
        <v>465</v>
      </c>
      <c r="AA3" s="144" t="s">
        <v>475</v>
      </c>
      <c r="AB3" s="147" t="s">
        <v>472</v>
      </c>
      <c r="AC3" s="147" t="s">
        <v>477</v>
      </c>
      <c r="AD3" s="147" t="s">
        <v>477</v>
      </c>
      <c r="AE3" s="149" t="s">
        <v>465</v>
      </c>
      <c r="AF3" s="149" t="s">
        <v>478</v>
      </c>
      <c r="AG3" s="149" t="s">
        <v>465</v>
      </c>
      <c r="AH3" s="149" t="s">
        <v>478</v>
      </c>
      <c r="AI3" s="147" t="s">
        <v>479</v>
      </c>
      <c r="AJ3" s="144" t="s">
        <v>480</v>
      </c>
      <c r="AK3" s="144" t="s">
        <v>474</v>
      </c>
      <c r="AL3" s="144" t="s">
        <v>474</v>
      </c>
      <c r="AM3" s="144" t="s">
        <v>474</v>
      </c>
      <c r="AN3" s="147" t="s">
        <v>465</v>
      </c>
      <c r="AO3" s="144" t="s">
        <v>470</v>
      </c>
      <c r="AP3" s="144" t="s">
        <v>474</v>
      </c>
      <c r="AQ3" s="144" t="s">
        <v>465</v>
      </c>
      <c r="AR3" s="144" t="s">
        <v>481</v>
      </c>
      <c r="AS3" s="144" t="s">
        <v>465</v>
      </c>
      <c r="AT3" s="144" t="s">
        <v>467</v>
      </c>
      <c r="AU3" s="144" t="s">
        <v>474</v>
      </c>
      <c r="AV3" s="144" t="s">
        <v>482</v>
      </c>
      <c r="AW3" s="144" t="s">
        <v>474</v>
      </c>
      <c r="AX3" s="147" t="s">
        <v>467</v>
      </c>
      <c r="AY3" s="150" t="s">
        <v>474</v>
      </c>
      <c r="AZ3" s="144" t="s">
        <v>483</v>
      </c>
      <c r="BA3" s="147" t="s">
        <v>472</v>
      </c>
      <c r="BB3" s="147" t="s">
        <v>467</v>
      </c>
      <c r="BC3" s="147" t="s">
        <v>467</v>
      </c>
      <c r="BD3" s="151" t="s">
        <v>467</v>
      </c>
      <c r="BE3" s="144" t="s">
        <v>474</v>
      </c>
      <c r="BF3" s="144" t="s">
        <v>484</v>
      </c>
      <c r="BG3" s="144" t="s">
        <v>485</v>
      </c>
      <c r="BH3" s="144" t="s">
        <v>486</v>
      </c>
      <c r="BI3" s="144" t="s">
        <v>486</v>
      </c>
      <c r="BJ3" s="144" t="s">
        <v>486</v>
      </c>
      <c r="BK3" s="144" t="s">
        <v>486</v>
      </c>
      <c r="BL3" s="144" t="s">
        <v>486</v>
      </c>
      <c r="BM3" s="144" t="s">
        <v>486</v>
      </c>
      <c r="BN3" s="144" t="s">
        <v>486</v>
      </c>
      <c r="BO3" s="144" t="s">
        <v>455</v>
      </c>
      <c r="BP3" s="144" t="s">
        <v>487</v>
      </c>
      <c r="BQ3" s="144" t="s">
        <v>486</v>
      </c>
      <c r="BR3" s="144" t="s">
        <v>486</v>
      </c>
      <c r="BS3" s="144" t="s">
        <v>474</v>
      </c>
      <c r="BT3" s="144" t="s">
        <v>486</v>
      </c>
      <c r="BU3" s="144" t="s">
        <v>486</v>
      </c>
      <c r="BV3" s="144" t="s">
        <v>486</v>
      </c>
      <c r="BW3" s="144" t="s">
        <v>488</v>
      </c>
      <c r="BX3" s="144" t="s">
        <v>489</v>
      </c>
      <c r="BY3" s="144" t="s">
        <v>490</v>
      </c>
      <c r="BZ3" s="144" t="s">
        <v>491</v>
      </c>
      <c r="CA3" s="144" t="s">
        <v>489</v>
      </c>
      <c r="CB3" s="144" t="s">
        <v>474</v>
      </c>
      <c r="CC3" s="144" t="s">
        <v>490</v>
      </c>
      <c r="CD3" s="144" t="s">
        <v>467</v>
      </c>
      <c r="CE3" s="144" t="s">
        <v>474</v>
      </c>
      <c r="CF3" s="144" t="s">
        <v>492</v>
      </c>
      <c r="CG3" s="144" t="s">
        <v>492</v>
      </c>
      <c r="CH3" s="144" t="s">
        <v>474</v>
      </c>
      <c r="CI3" s="144" t="s">
        <v>465</v>
      </c>
      <c r="CJ3" s="147" t="s">
        <v>493</v>
      </c>
      <c r="CK3" s="147" t="s">
        <v>493</v>
      </c>
      <c r="CL3" s="144" t="s">
        <v>474</v>
      </c>
      <c r="CM3" s="144" t="s">
        <v>474</v>
      </c>
      <c r="CN3" s="147"/>
      <c r="CO3" s="144" t="s">
        <v>474</v>
      </c>
      <c r="CP3" s="144" t="s">
        <v>474</v>
      </c>
      <c r="CQ3" s="229" t="s">
        <v>494</v>
      </c>
      <c r="CR3" s="229" t="s">
        <v>494</v>
      </c>
      <c r="CS3" s="144" t="s">
        <v>455</v>
      </c>
      <c r="CT3" s="144" t="s">
        <v>495</v>
      </c>
      <c r="CU3" s="144" t="s">
        <v>465</v>
      </c>
      <c r="CV3" s="144" t="s">
        <v>465</v>
      </c>
      <c r="CW3" s="144" t="s">
        <v>465</v>
      </c>
      <c r="CX3" s="144" t="s">
        <v>496</v>
      </c>
      <c r="CY3" s="144" t="s">
        <v>467</v>
      </c>
      <c r="CZ3" s="144" t="s">
        <v>467</v>
      </c>
      <c r="DA3" s="144" t="s">
        <v>467</v>
      </c>
      <c r="DB3" s="144" t="s">
        <v>467</v>
      </c>
      <c r="DC3" s="144" t="s">
        <v>467</v>
      </c>
      <c r="DD3" s="144" t="s">
        <v>467</v>
      </c>
      <c r="DE3" s="144" t="s">
        <v>497</v>
      </c>
      <c r="DF3" s="144" t="s">
        <v>498</v>
      </c>
      <c r="DG3" s="144" t="s">
        <v>467</v>
      </c>
      <c r="DH3" s="152" t="s">
        <v>499</v>
      </c>
      <c r="DI3" s="124" t="s">
        <v>465</v>
      </c>
      <c r="DJ3" s="124"/>
      <c r="DK3" s="124"/>
      <c r="DL3" s="124"/>
      <c r="DM3" s="124"/>
      <c r="DN3" s="143"/>
      <c r="DO3" s="143"/>
      <c r="DP3" s="143"/>
      <c r="DQ3" s="143"/>
      <c r="DR3" s="143"/>
      <c r="DS3" s="143"/>
      <c r="DT3" s="143"/>
      <c r="DU3" s="143"/>
      <c r="DV3" s="143"/>
      <c r="DW3" s="143"/>
      <c r="DX3" s="143"/>
      <c r="DY3" s="143"/>
      <c r="DZ3" s="143"/>
      <c r="EA3" s="143"/>
      <c r="EB3" s="143"/>
      <c r="EC3" s="143"/>
      <c r="ED3" s="143"/>
      <c r="EE3" s="143"/>
      <c r="EF3" s="143"/>
      <c r="EG3" s="143"/>
      <c r="EH3" s="143"/>
      <c r="EI3" s="143"/>
      <c r="EJ3" s="143"/>
      <c r="EK3" s="143"/>
      <c r="EL3" s="143"/>
      <c r="EM3" s="143"/>
      <c r="EN3" s="143"/>
      <c r="EO3" s="143"/>
      <c r="EP3" s="143"/>
      <c r="EQ3" s="143"/>
      <c r="ER3" s="143"/>
      <c r="ES3" s="143"/>
      <c r="ET3" s="143"/>
      <c r="EU3" s="143"/>
      <c r="EV3" s="143"/>
      <c r="EW3" s="143"/>
      <c r="EX3" s="143"/>
      <c r="EY3" s="143"/>
      <c r="EZ3" s="143"/>
      <c r="FA3" s="143"/>
      <c r="FB3" s="143"/>
      <c r="FC3" s="143"/>
      <c r="FD3" s="143"/>
      <c r="FE3" s="143"/>
      <c r="FF3" s="143"/>
      <c r="FG3" s="143"/>
      <c r="FH3" s="143"/>
      <c r="FI3" s="143"/>
      <c r="FJ3" s="143"/>
      <c r="FK3" s="143"/>
      <c r="FL3" s="143"/>
      <c r="FM3" s="143"/>
      <c r="FN3" s="143"/>
      <c r="FO3" s="143"/>
      <c r="FP3" s="143"/>
      <c r="FQ3" s="143"/>
      <c r="FR3" s="143"/>
      <c r="FS3" s="143"/>
      <c r="FT3" s="143"/>
      <c r="FU3" s="143"/>
      <c r="FV3" s="143"/>
      <c r="FW3" s="143"/>
      <c r="FX3" s="143"/>
      <c r="FY3" s="143"/>
      <c r="FZ3" s="143"/>
      <c r="GA3" s="143"/>
      <c r="GB3" s="143"/>
      <c r="GC3" s="143"/>
      <c r="GD3" s="143"/>
      <c r="GE3" s="143"/>
      <c r="GF3" s="143"/>
      <c r="GG3" s="143"/>
      <c r="GH3" s="143"/>
      <c r="GI3" s="143"/>
      <c r="GJ3" s="143"/>
      <c r="GK3" s="143"/>
      <c r="GL3" s="143"/>
      <c r="GM3" s="143"/>
      <c r="GN3" s="143"/>
      <c r="GO3" s="143"/>
      <c r="GP3" s="143"/>
      <c r="GQ3" s="143"/>
      <c r="GR3" s="143"/>
      <c r="GS3" s="143"/>
      <c r="GT3" s="143"/>
      <c r="GU3" s="143"/>
      <c r="GV3" s="143"/>
      <c r="GW3" s="143"/>
      <c r="GX3" s="143"/>
      <c r="GY3" s="143"/>
      <c r="GZ3" s="143"/>
      <c r="HA3" s="143"/>
      <c r="HB3" s="143"/>
      <c r="HC3" s="143"/>
      <c r="HD3" s="143"/>
      <c r="HE3" s="143"/>
      <c r="HF3" s="143"/>
      <c r="HG3" s="143"/>
      <c r="HH3" s="143"/>
      <c r="HI3" s="143"/>
      <c r="HJ3" s="143"/>
      <c r="HK3" s="143"/>
      <c r="HL3" s="143"/>
      <c r="HM3" s="143"/>
      <c r="HN3" s="143"/>
      <c r="HO3" s="143"/>
      <c r="HP3" s="143"/>
      <c r="HQ3" s="143"/>
      <c r="HR3" s="143"/>
      <c r="HS3" s="143"/>
      <c r="HT3" s="143"/>
      <c r="HU3" s="143"/>
      <c r="HV3" s="143"/>
      <c r="HW3" s="143"/>
      <c r="HX3" s="143"/>
      <c r="HY3" s="143"/>
      <c r="HZ3" s="143"/>
      <c r="IA3" s="143"/>
      <c r="IB3" s="143"/>
      <c r="IC3" s="143"/>
      <c r="ID3" s="143"/>
      <c r="IE3" s="143"/>
      <c r="IF3" s="143"/>
      <c r="IG3" s="143"/>
      <c r="IH3" s="143"/>
      <c r="II3" s="143"/>
      <c r="IJ3" s="143"/>
      <c r="IK3" s="143"/>
      <c r="IL3" s="143"/>
      <c r="IM3" s="143"/>
      <c r="IN3" s="143"/>
      <c r="IO3" s="143"/>
    </row>
    <row r="4" spans="1:249" s="156" customFormat="1">
      <c r="A4" s="154"/>
      <c r="B4" s="155" t="s">
        <v>500</v>
      </c>
      <c r="C4" s="397" t="s">
        <v>307</v>
      </c>
      <c r="D4" s="397" t="s">
        <v>270</v>
      </c>
      <c r="E4" s="397" t="s">
        <v>305</v>
      </c>
      <c r="F4" s="397" t="s">
        <v>306</v>
      </c>
      <c r="G4" s="397" t="s">
        <v>303</v>
      </c>
      <c r="H4" s="397" t="s">
        <v>308</v>
      </c>
      <c r="I4" s="397" t="s">
        <v>304</v>
      </c>
      <c r="J4" s="397" t="s">
        <v>501</v>
      </c>
      <c r="K4" s="397" t="s">
        <v>302</v>
      </c>
      <c r="L4" s="397" t="s">
        <v>502</v>
      </c>
      <c r="M4" s="397" t="s">
        <v>283</v>
      </c>
      <c r="N4" s="397" t="s">
        <v>284</v>
      </c>
      <c r="O4" s="397" t="s">
        <v>285</v>
      </c>
      <c r="P4" s="397" t="s">
        <v>286</v>
      </c>
      <c r="Q4" s="397" t="s">
        <v>287</v>
      </c>
      <c r="R4" s="397" t="s">
        <v>288</v>
      </c>
      <c r="S4" s="397" t="s">
        <v>289</v>
      </c>
      <c r="T4" s="397" t="s">
        <v>290</v>
      </c>
      <c r="U4" s="397" t="s">
        <v>291</v>
      </c>
      <c r="V4" s="397" t="s">
        <v>292</v>
      </c>
      <c r="W4" s="397" t="s">
        <v>293</v>
      </c>
      <c r="X4" s="397" t="s">
        <v>281</v>
      </c>
      <c r="Y4" s="397" t="s">
        <v>503</v>
      </c>
      <c r="Z4" s="397" t="s">
        <v>282</v>
      </c>
      <c r="AA4" s="397" t="s">
        <v>294</v>
      </c>
      <c r="AB4" s="397" t="s">
        <v>504</v>
      </c>
      <c r="AC4" s="397" t="s">
        <v>505</v>
      </c>
      <c r="AD4" s="397" t="s">
        <v>506</v>
      </c>
      <c r="AE4" s="397" t="s">
        <v>507</v>
      </c>
      <c r="AF4" s="397" t="s">
        <v>508</v>
      </c>
      <c r="AG4" s="397" t="s">
        <v>509</v>
      </c>
      <c r="AH4" s="397" t="s">
        <v>510</v>
      </c>
      <c r="AI4" s="397" t="s">
        <v>511</v>
      </c>
      <c r="AJ4" s="397" t="s">
        <v>300</v>
      </c>
      <c r="AK4" s="397" t="s">
        <v>298</v>
      </c>
      <c r="AL4" s="397" t="s">
        <v>296</v>
      </c>
      <c r="AM4" s="397" t="s">
        <v>301</v>
      </c>
      <c r="AN4" s="397" t="s">
        <v>297</v>
      </c>
      <c r="AO4" s="397" t="s">
        <v>512</v>
      </c>
      <c r="AP4" s="397" t="s">
        <v>299</v>
      </c>
      <c r="AQ4" s="397" t="s">
        <v>415</v>
      </c>
      <c r="AR4" s="397" t="s">
        <v>417</v>
      </c>
      <c r="AS4" s="397" t="s">
        <v>416</v>
      </c>
      <c r="AT4" s="397" t="s">
        <v>318</v>
      </c>
      <c r="AU4" s="397" t="s">
        <v>513</v>
      </c>
      <c r="AV4" s="397" t="s">
        <v>323</v>
      </c>
      <c r="AW4" s="397" t="s">
        <v>319</v>
      </c>
      <c r="AX4" s="397" t="s">
        <v>322</v>
      </c>
      <c r="AY4" s="397" t="s">
        <v>514</v>
      </c>
      <c r="AZ4" s="397" t="s">
        <v>418</v>
      </c>
      <c r="BA4" s="397" t="s">
        <v>325</v>
      </c>
      <c r="BB4" s="397" t="s">
        <v>320</v>
      </c>
      <c r="BC4" s="397" t="s">
        <v>321</v>
      </c>
      <c r="BD4" s="397" t="s">
        <v>324</v>
      </c>
      <c r="BE4" s="397">
        <v>121</v>
      </c>
      <c r="BF4" s="397" t="s">
        <v>426</v>
      </c>
      <c r="BG4" s="397" t="s">
        <v>425</v>
      </c>
      <c r="BH4" s="397" t="s">
        <v>427</v>
      </c>
      <c r="BI4" s="397" t="s">
        <v>515</v>
      </c>
      <c r="BJ4" s="397" t="s">
        <v>428</v>
      </c>
      <c r="BK4" s="397" t="s">
        <v>421</v>
      </c>
      <c r="BL4" s="397" t="s">
        <v>423</v>
      </c>
      <c r="BM4" s="397" t="s">
        <v>433</v>
      </c>
      <c r="BN4" s="397" t="s">
        <v>422</v>
      </c>
      <c r="BO4" s="397" t="s">
        <v>516</v>
      </c>
      <c r="BP4" s="397" t="s">
        <v>430</v>
      </c>
      <c r="BQ4" s="397" t="s">
        <v>432</v>
      </c>
      <c r="BR4" s="397" t="s">
        <v>431</v>
      </c>
      <c r="BS4" s="397" t="s">
        <v>429</v>
      </c>
      <c r="BT4" s="397" t="s">
        <v>424</v>
      </c>
      <c r="BU4" s="397" t="s">
        <v>419</v>
      </c>
      <c r="BV4" s="397" t="s">
        <v>420</v>
      </c>
      <c r="BW4" s="397" t="s">
        <v>317</v>
      </c>
      <c r="BX4" s="397" t="s">
        <v>316</v>
      </c>
      <c r="BY4" s="397" t="s">
        <v>311</v>
      </c>
      <c r="BZ4" s="397" t="s">
        <v>314</v>
      </c>
      <c r="CA4" s="397" t="s">
        <v>315</v>
      </c>
      <c r="CB4" s="397" t="s">
        <v>313</v>
      </c>
      <c r="CC4" s="397" t="s">
        <v>309</v>
      </c>
      <c r="CD4" s="397" t="s">
        <v>310</v>
      </c>
      <c r="CE4" s="397" t="s">
        <v>312</v>
      </c>
      <c r="CF4" s="397" t="s">
        <v>517</v>
      </c>
      <c r="CG4" s="397" t="s">
        <v>518</v>
      </c>
      <c r="CH4" s="397" t="s">
        <v>414</v>
      </c>
      <c r="CI4" s="397" t="s">
        <v>519</v>
      </c>
      <c r="CJ4" s="397" t="s">
        <v>520</v>
      </c>
      <c r="CK4" s="397" t="s">
        <v>521</v>
      </c>
      <c r="CL4" s="397" t="s">
        <v>522</v>
      </c>
      <c r="CM4" s="397" t="s">
        <v>523</v>
      </c>
      <c r="CN4" s="397" t="s">
        <v>524</v>
      </c>
      <c r="CO4" s="397" t="s">
        <v>525</v>
      </c>
      <c r="CP4" s="397" t="s">
        <v>526</v>
      </c>
      <c r="CQ4" s="397" t="s">
        <v>527</v>
      </c>
      <c r="CR4" s="397" t="s">
        <v>528</v>
      </c>
      <c r="CS4" s="397" t="s">
        <v>529</v>
      </c>
      <c r="CT4" s="397" t="s">
        <v>530</v>
      </c>
      <c r="CU4" s="397" t="s">
        <v>531</v>
      </c>
      <c r="CV4" s="397" t="s">
        <v>532</v>
      </c>
      <c r="CW4" s="397" t="s">
        <v>533</v>
      </c>
      <c r="CX4" s="397" t="s">
        <v>534</v>
      </c>
      <c r="CY4" s="397" t="s">
        <v>535</v>
      </c>
      <c r="CZ4" s="397" t="s">
        <v>536</v>
      </c>
      <c r="DA4" s="397" t="s">
        <v>537</v>
      </c>
      <c r="DB4" s="397" t="s">
        <v>538</v>
      </c>
      <c r="DC4" s="397" t="s">
        <v>539</v>
      </c>
      <c r="DD4" s="397" t="s">
        <v>540</v>
      </c>
      <c r="DE4" s="397" t="s">
        <v>271</v>
      </c>
      <c r="DF4" s="397" t="s">
        <v>541</v>
      </c>
      <c r="DG4" s="397" t="s">
        <v>542</v>
      </c>
      <c r="DH4" s="397" t="s">
        <v>543</v>
      </c>
      <c r="DI4" s="397" t="s">
        <v>544</v>
      </c>
      <c r="DJ4" s="397" t="s">
        <v>545</v>
      </c>
      <c r="DK4" s="397" t="s">
        <v>546</v>
      </c>
      <c r="DL4" s="397" t="s">
        <v>547</v>
      </c>
      <c r="DM4" s="397" t="s">
        <v>548</v>
      </c>
      <c r="DN4" s="397" t="s">
        <v>549</v>
      </c>
      <c r="DO4" s="397" t="s">
        <v>550</v>
      </c>
      <c r="DP4" s="397" t="s">
        <v>551</v>
      </c>
      <c r="DQ4" s="397" t="s">
        <v>552</v>
      </c>
      <c r="DR4" s="397" t="s">
        <v>553</v>
      </c>
      <c r="DS4" s="397" t="s">
        <v>554</v>
      </c>
      <c r="DT4" s="397" t="s">
        <v>555</v>
      </c>
      <c r="DU4" s="397" t="s">
        <v>556</v>
      </c>
      <c r="DV4" s="397" t="s">
        <v>557</v>
      </c>
      <c r="DW4" s="397" t="s">
        <v>558</v>
      </c>
      <c r="DX4" s="397" t="s">
        <v>559</v>
      </c>
      <c r="DY4" s="397" t="s">
        <v>560</v>
      </c>
      <c r="DZ4" s="397" t="s">
        <v>561</v>
      </c>
      <c r="EA4" s="397" t="s">
        <v>562</v>
      </c>
      <c r="EB4" s="397" t="s">
        <v>563</v>
      </c>
      <c r="EC4" s="397" t="s">
        <v>564</v>
      </c>
      <c r="ED4" s="397" t="s">
        <v>565</v>
      </c>
      <c r="EE4" s="397" t="s">
        <v>566</v>
      </c>
      <c r="EF4" s="397" t="s">
        <v>567</v>
      </c>
      <c r="EG4" s="397" t="s">
        <v>568</v>
      </c>
      <c r="EH4" s="397" t="s">
        <v>569</v>
      </c>
      <c r="EI4" s="397" t="s">
        <v>570</v>
      </c>
    </row>
    <row r="5" spans="1:249" s="164" customFormat="1">
      <c r="A5" s="157"/>
      <c r="B5" s="158" t="s">
        <v>571</v>
      </c>
      <c r="C5" s="662" t="s">
        <v>572</v>
      </c>
      <c r="D5" s="663"/>
      <c r="E5" s="663"/>
      <c r="F5" s="663"/>
      <c r="G5" s="663"/>
      <c r="H5" s="663"/>
      <c r="I5" s="663"/>
      <c r="J5" s="663"/>
      <c r="K5" s="664"/>
      <c r="L5" s="159" t="s">
        <v>573</v>
      </c>
      <c r="M5" s="160" t="s">
        <v>574</v>
      </c>
      <c r="N5" s="161"/>
      <c r="O5" s="665" t="s">
        <v>575</v>
      </c>
      <c r="P5" s="666"/>
      <c r="Q5" s="666"/>
      <c r="R5" s="667"/>
      <c r="S5" s="665" t="s">
        <v>576</v>
      </c>
      <c r="T5" s="666"/>
      <c r="U5" s="667"/>
      <c r="V5" s="665" t="s">
        <v>577</v>
      </c>
      <c r="W5" s="667"/>
      <c r="X5" s="665" t="s">
        <v>281</v>
      </c>
      <c r="Y5" s="667"/>
      <c r="Z5" s="162" t="s">
        <v>282</v>
      </c>
      <c r="AA5" s="159" t="s">
        <v>294</v>
      </c>
      <c r="AB5" s="163" t="s">
        <v>504</v>
      </c>
      <c r="AC5" s="163" t="s">
        <v>505</v>
      </c>
      <c r="AD5" s="668" t="s">
        <v>578</v>
      </c>
      <c r="AE5" s="669"/>
      <c r="AF5" s="669"/>
      <c r="AG5" s="669"/>
      <c r="AH5" s="670"/>
      <c r="AI5" s="163" t="s">
        <v>511</v>
      </c>
      <c r="AJ5" s="662" t="s">
        <v>295</v>
      </c>
      <c r="AK5" s="663"/>
      <c r="AL5" s="663"/>
      <c r="AM5" s="663"/>
      <c r="AN5" s="663"/>
      <c r="AO5" s="663"/>
      <c r="AP5" s="664"/>
      <c r="AQ5" s="662" t="s">
        <v>579</v>
      </c>
      <c r="AR5" s="663"/>
      <c r="AS5" s="664"/>
      <c r="AT5" s="662" t="s">
        <v>580</v>
      </c>
      <c r="AU5" s="663"/>
      <c r="AV5" s="663"/>
      <c r="AW5" s="663"/>
      <c r="AX5" s="663"/>
      <c r="AY5" s="663"/>
      <c r="AZ5" s="663"/>
      <c r="BA5" s="663"/>
      <c r="BB5" s="663"/>
      <c r="BC5" s="663"/>
      <c r="BD5" s="664"/>
      <c r="BE5" s="662" t="s">
        <v>581</v>
      </c>
      <c r="BF5" s="663"/>
      <c r="BG5" s="663"/>
      <c r="BH5" s="663"/>
      <c r="BI5" s="663"/>
      <c r="BJ5" s="663"/>
      <c r="BK5" s="663"/>
      <c r="BL5" s="663"/>
      <c r="BM5" s="663"/>
      <c r="BN5" s="663"/>
      <c r="BO5" s="663"/>
      <c r="BP5" s="663"/>
      <c r="BQ5" s="663"/>
      <c r="BR5" s="663"/>
      <c r="BS5" s="663"/>
      <c r="BT5" s="663"/>
      <c r="BU5" s="663"/>
      <c r="BV5" s="664"/>
      <c r="BW5" s="662" t="s">
        <v>582</v>
      </c>
      <c r="BX5" s="663"/>
      <c r="BY5" s="663"/>
      <c r="BZ5" s="663"/>
      <c r="CA5" s="663"/>
      <c r="CB5" s="663"/>
      <c r="CC5" s="663"/>
      <c r="CD5" s="663"/>
      <c r="CE5" s="664"/>
      <c r="CF5" s="662" t="s">
        <v>492</v>
      </c>
      <c r="CG5" s="663"/>
      <c r="CH5" s="663"/>
      <c r="CI5" s="664"/>
      <c r="CJ5" s="662" t="s">
        <v>583</v>
      </c>
      <c r="CK5" s="663"/>
      <c r="CL5" s="663"/>
      <c r="CM5" s="663"/>
      <c r="CN5" s="663"/>
      <c r="CO5" s="663"/>
      <c r="CP5" s="663"/>
      <c r="CQ5" s="230"/>
      <c r="CR5" s="230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EF5" s="165"/>
      <c r="EG5" s="165"/>
      <c r="EH5" s="165"/>
      <c r="EI5" s="165"/>
    </row>
    <row r="6" spans="1:249" s="173" customFormat="1" ht="25.5" customHeight="1">
      <c r="A6" s="166" t="s">
        <v>584</v>
      </c>
      <c r="B6" s="167" t="s">
        <v>585</v>
      </c>
      <c r="C6" s="168"/>
      <c r="D6" s="168"/>
      <c r="E6" s="169"/>
      <c r="F6" s="170"/>
      <c r="G6" s="169"/>
      <c r="H6" s="168"/>
      <c r="I6" s="168"/>
      <c r="J6" s="169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71"/>
      <c r="Z6" s="168"/>
      <c r="AA6" s="168"/>
      <c r="AB6" s="169"/>
      <c r="AC6" s="169"/>
      <c r="AD6" s="169"/>
      <c r="AE6" s="172" t="s">
        <v>586</v>
      </c>
      <c r="AF6" s="172" t="s">
        <v>586</v>
      </c>
      <c r="AG6" s="172" t="s">
        <v>586</v>
      </c>
      <c r="AH6" s="172" t="s">
        <v>586</v>
      </c>
      <c r="AI6" s="169"/>
      <c r="AJ6" s="168"/>
      <c r="AK6" s="168"/>
      <c r="AL6" s="168"/>
      <c r="AM6" s="168"/>
      <c r="AN6" s="169" t="s">
        <v>587</v>
      </c>
      <c r="AO6" s="168"/>
      <c r="AP6" s="168"/>
      <c r="AQ6" s="168" t="s">
        <v>588</v>
      </c>
      <c r="AR6" s="168"/>
      <c r="AS6" s="168"/>
      <c r="AT6" s="168"/>
      <c r="AU6" s="168"/>
      <c r="AV6" s="168"/>
      <c r="AW6" s="168"/>
      <c r="AX6" s="168"/>
      <c r="AY6" s="168"/>
      <c r="AZ6" s="168" t="s">
        <v>458</v>
      </c>
      <c r="BA6" s="168"/>
      <c r="BB6" s="169"/>
      <c r="BC6" s="169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 t="s">
        <v>589</v>
      </c>
      <c r="BY6" s="168" t="s">
        <v>458</v>
      </c>
      <c r="BZ6" s="168" t="s">
        <v>589</v>
      </c>
      <c r="CA6" s="168" t="s">
        <v>590</v>
      </c>
      <c r="CB6" s="168"/>
      <c r="CC6" s="168" t="s">
        <v>458</v>
      </c>
      <c r="CD6" s="168"/>
      <c r="CE6" s="168"/>
      <c r="CF6" s="168" t="s">
        <v>591</v>
      </c>
      <c r="CG6" s="168" t="s">
        <v>592</v>
      </c>
      <c r="CH6" s="168"/>
      <c r="CI6" s="168" t="s">
        <v>593</v>
      </c>
      <c r="CJ6" s="169"/>
      <c r="CK6" s="169"/>
      <c r="CL6" s="168"/>
      <c r="CM6" s="168"/>
      <c r="CN6" s="168"/>
      <c r="CO6" s="168"/>
      <c r="CP6" s="168"/>
      <c r="CQ6" s="231"/>
      <c r="CR6" s="231"/>
      <c r="CS6" s="167"/>
      <c r="CT6" s="167"/>
      <c r="CU6" s="167"/>
      <c r="CV6" s="167"/>
      <c r="CW6" s="167"/>
      <c r="CX6" s="167" t="s">
        <v>594</v>
      </c>
      <c r="CY6" s="167"/>
      <c r="CZ6" s="167" t="s">
        <v>595</v>
      </c>
      <c r="DA6" s="167" t="s">
        <v>595</v>
      </c>
      <c r="DB6" s="167" t="s">
        <v>595</v>
      </c>
      <c r="DC6" s="167" t="s">
        <v>595</v>
      </c>
      <c r="DD6" s="167" t="s">
        <v>595</v>
      </c>
      <c r="DE6" s="167"/>
      <c r="DF6" s="167"/>
      <c r="DG6" s="167"/>
      <c r="DH6" s="167"/>
      <c r="DI6" s="167"/>
      <c r="DJ6" s="167"/>
      <c r="DK6" s="167"/>
      <c r="DL6" s="167"/>
      <c r="DM6" s="167"/>
      <c r="EF6" s="174"/>
      <c r="EG6" s="174"/>
      <c r="EH6" s="174"/>
      <c r="EI6" s="174"/>
    </row>
    <row r="7" spans="1:249">
      <c r="A7" s="175">
        <v>1000</v>
      </c>
      <c r="B7" s="92" t="s">
        <v>28</v>
      </c>
      <c r="C7" s="176">
        <v>0</v>
      </c>
      <c r="D7" s="176">
        <v>38</v>
      </c>
      <c r="E7" s="177">
        <v>0</v>
      </c>
      <c r="F7" s="176"/>
      <c r="G7" s="178">
        <v>0</v>
      </c>
      <c r="H7" s="176">
        <v>0</v>
      </c>
      <c r="I7" s="176">
        <v>0</v>
      </c>
      <c r="J7" s="176">
        <v>0</v>
      </c>
      <c r="K7" s="178">
        <v>15</v>
      </c>
      <c r="L7" s="176">
        <v>0</v>
      </c>
      <c r="M7" s="137">
        <v>0</v>
      </c>
      <c r="N7" s="137">
        <v>0</v>
      </c>
      <c r="O7" s="137">
        <v>0</v>
      </c>
      <c r="P7" s="137">
        <v>0</v>
      </c>
      <c r="Q7" s="137">
        <v>0</v>
      </c>
      <c r="R7" s="137">
        <v>0</v>
      </c>
      <c r="S7" s="137"/>
      <c r="T7" s="137"/>
      <c r="U7" s="137"/>
      <c r="V7" s="137"/>
      <c r="W7" s="137"/>
      <c r="X7" s="137">
        <v>122</v>
      </c>
      <c r="Y7" s="137"/>
      <c r="Z7" s="137">
        <v>0</v>
      </c>
      <c r="AA7" s="137">
        <v>0</v>
      </c>
      <c r="AB7" s="176"/>
      <c r="AC7" s="176">
        <v>0</v>
      </c>
      <c r="AE7" s="179">
        <v>30</v>
      </c>
      <c r="AF7" s="179">
        <v>204.45263157894738</v>
      </c>
      <c r="AG7" s="179">
        <v>58269</v>
      </c>
      <c r="AH7" s="179">
        <v>18.933344537815131</v>
      </c>
      <c r="AJ7" s="178">
        <v>0</v>
      </c>
      <c r="AK7" s="176"/>
      <c r="AL7" s="176"/>
      <c r="AM7" s="176"/>
      <c r="AN7" s="176">
        <v>0</v>
      </c>
      <c r="AO7" s="176"/>
      <c r="AP7" s="176"/>
      <c r="AQ7" s="176">
        <v>0</v>
      </c>
      <c r="AR7" s="176">
        <v>0</v>
      </c>
      <c r="AS7" s="176">
        <v>0</v>
      </c>
      <c r="AT7" s="178">
        <v>1</v>
      </c>
      <c r="AU7" s="176"/>
      <c r="AV7" s="178">
        <v>0</v>
      </c>
      <c r="AW7" s="177"/>
      <c r="AX7" s="176">
        <v>0</v>
      </c>
      <c r="AY7" s="176"/>
      <c r="AZ7" s="178">
        <v>0</v>
      </c>
      <c r="BA7" s="176"/>
      <c r="BB7" s="176">
        <v>0</v>
      </c>
      <c r="BC7" s="176">
        <v>0</v>
      </c>
      <c r="BD7" s="180" t="s">
        <v>214</v>
      </c>
      <c r="BE7" s="176"/>
      <c r="BF7" s="178">
        <v>73.2</v>
      </c>
      <c r="BG7" s="176">
        <v>20</v>
      </c>
      <c r="BJ7" s="176"/>
      <c r="BL7" s="176"/>
      <c r="BM7" s="176"/>
      <c r="BN7" s="176"/>
      <c r="BO7" s="176">
        <v>0</v>
      </c>
      <c r="BP7" s="176">
        <v>0</v>
      </c>
      <c r="BQ7" s="176"/>
      <c r="BR7" s="176"/>
      <c r="BS7" s="176"/>
      <c r="BT7" s="176"/>
      <c r="BU7" s="176"/>
      <c r="BV7" s="176"/>
      <c r="BW7" s="178">
        <v>0</v>
      </c>
      <c r="BX7" s="178">
        <v>0</v>
      </c>
      <c r="BY7" s="92">
        <v>2007</v>
      </c>
      <c r="BZ7" s="92">
        <v>552</v>
      </c>
      <c r="CA7" s="92">
        <v>1900.7</v>
      </c>
      <c r="CB7" s="176"/>
      <c r="CC7" s="92">
        <v>370</v>
      </c>
      <c r="CD7" s="92">
        <v>0</v>
      </c>
      <c r="CE7" s="176"/>
      <c r="CF7" s="176"/>
      <c r="CG7" s="176"/>
      <c r="CH7" s="176"/>
      <c r="CI7" s="176"/>
      <c r="CJ7" s="176">
        <v>0</v>
      </c>
      <c r="CK7" s="176">
        <v>0</v>
      </c>
      <c r="CN7" s="92"/>
      <c r="CQ7" s="232">
        <v>73.2</v>
      </c>
      <c r="CR7" s="232">
        <v>18.600000000000001</v>
      </c>
      <c r="CS7" s="176">
        <v>0</v>
      </c>
      <c r="CT7" s="92">
        <v>38</v>
      </c>
      <c r="CU7" s="92">
        <v>0</v>
      </c>
      <c r="CV7" s="92">
        <v>0</v>
      </c>
      <c r="CW7" s="92">
        <v>0</v>
      </c>
      <c r="DE7" s="92">
        <v>0</v>
      </c>
      <c r="DF7" s="135">
        <v>0</v>
      </c>
      <c r="DG7" s="92" t="s">
        <v>208</v>
      </c>
      <c r="DH7" s="92">
        <v>1</v>
      </c>
      <c r="DI7" s="92">
        <v>0</v>
      </c>
      <c r="DJ7" s="92">
        <v>10.263157894736842</v>
      </c>
      <c r="DK7" s="92">
        <v>11.368421052631579</v>
      </c>
      <c r="DL7" s="92">
        <v>8.3684210526315788</v>
      </c>
      <c r="DM7" s="92">
        <v>20670</v>
      </c>
      <c r="DN7" s="92">
        <v>18360</v>
      </c>
      <c r="DO7" s="92">
        <v>19239</v>
      </c>
      <c r="DP7" s="92">
        <v>72.526315789473685</v>
      </c>
      <c r="DQ7" s="92">
        <v>64.421052631578945</v>
      </c>
      <c r="DR7" s="92">
        <v>67.505263157894731</v>
      </c>
      <c r="DS7" s="92">
        <v>6.7163025210084051</v>
      </c>
      <c r="DT7" s="92">
        <v>5.9657142857142871</v>
      </c>
      <c r="DU7" s="92">
        <v>6.251327731092438</v>
      </c>
      <c r="DZ7" s="139">
        <v>0</v>
      </c>
      <c r="EA7" s="139">
        <v>0</v>
      </c>
      <c r="EB7" s="139">
        <v>5</v>
      </c>
      <c r="EC7" s="139">
        <v>3</v>
      </c>
      <c r="ED7" s="139">
        <v>0</v>
      </c>
      <c r="EE7" s="139">
        <v>2</v>
      </c>
      <c r="EF7" s="143">
        <v>0</v>
      </c>
      <c r="EG7" s="143">
        <v>0</v>
      </c>
      <c r="EH7" s="143">
        <v>8</v>
      </c>
      <c r="EI7" s="143">
        <v>14</v>
      </c>
    </row>
    <row r="8" spans="1:249">
      <c r="A8" s="175">
        <v>1001</v>
      </c>
      <c r="B8" s="92" t="s">
        <v>29</v>
      </c>
      <c r="C8" s="176">
        <v>0</v>
      </c>
      <c r="D8" s="176">
        <v>35</v>
      </c>
      <c r="E8" s="177">
        <v>0</v>
      </c>
      <c r="F8" s="176"/>
      <c r="G8" s="178">
        <v>0</v>
      </c>
      <c r="H8" s="176">
        <v>0</v>
      </c>
      <c r="I8" s="176">
        <v>0</v>
      </c>
      <c r="J8" s="176">
        <v>0</v>
      </c>
      <c r="K8" s="178">
        <v>0</v>
      </c>
      <c r="L8" s="176">
        <v>0</v>
      </c>
      <c r="M8" s="137">
        <v>0</v>
      </c>
      <c r="N8" s="137">
        <v>0</v>
      </c>
      <c r="O8" s="137">
        <v>0</v>
      </c>
      <c r="P8" s="137">
        <v>0</v>
      </c>
      <c r="Q8" s="137">
        <v>0</v>
      </c>
      <c r="R8" s="137">
        <v>0</v>
      </c>
      <c r="S8" s="137"/>
      <c r="T8" s="137"/>
      <c r="U8" s="137"/>
      <c r="V8" s="137"/>
      <c r="W8" s="137"/>
      <c r="X8" s="137">
        <v>98</v>
      </c>
      <c r="Y8" s="137"/>
      <c r="Z8" s="137">
        <v>0</v>
      </c>
      <c r="AA8" s="137">
        <v>0</v>
      </c>
      <c r="AB8" s="176"/>
      <c r="AC8" s="176">
        <v>0</v>
      </c>
      <c r="AE8" s="179">
        <v>30</v>
      </c>
      <c r="AF8" s="179">
        <v>183.72631578947369</v>
      </c>
      <c r="AG8" s="179">
        <v>52362</v>
      </c>
      <c r="AH8" s="179">
        <v>17.330884427563753</v>
      </c>
      <c r="AJ8" s="178">
        <v>0</v>
      </c>
      <c r="AK8" s="176"/>
      <c r="AL8" s="176"/>
      <c r="AM8" s="176"/>
      <c r="AN8" s="176">
        <v>0</v>
      </c>
      <c r="AO8" s="176"/>
      <c r="AP8" s="176"/>
      <c r="AQ8" s="176">
        <v>0</v>
      </c>
      <c r="AR8" s="176">
        <v>0</v>
      </c>
      <c r="AS8" s="176">
        <v>0</v>
      </c>
      <c r="AT8" s="178">
        <v>1</v>
      </c>
      <c r="AU8" s="176"/>
      <c r="AV8" s="178">
        <v>0</v>
      </c>
      <c r="AW8" s="177"/>
      <c r="AX8" s="176">
        <v>0</v>
      </c>
      <c r="AY8" s="176"/>
      <c r="AZ8" s="178">
        <v>0</v>
      </c>
      <c r="BA8" s="176"/>
      <c r="BB8" s="176">
        <v>0</v>
      </c>
      <c r="BC8" s="176">
        <v>0</v>
      </c>
      <c r="BD8" s="180" t="s">
        <v>214</v>
      </c>
      <c r="BE8" s="176"/>
      <c r="BF8" s="178">
        <v>58.8</v>
      </c>
      <c r="BG8" s="176">
        <v>10</v>
      </c>
      <c r="BJ8" s="176"/>
      <c r="BL8" s="176"/>
      <c r="BM8" s="176"/>
      <c r="BN8" s="176"/>
      <c r="BO8" s="176">
        <v>0</v>
      </c>
      <c r="BP8" s="176">
        <v>0</v>
      </c>
      <c r="BQ8" s="176"/>
      <c r="BR8" s="176"/>
      <c r="BS8" s="176"/>
      <c r="BT8" s="176"/>
      <c r="BU8" s="176"/>
      <c r="BV8" s="176"/>
      <c r="BW8" s="178">
        <v>0</v>
      </c>
      <c r="BX8" s="178">
        <v>0</v>
      </c>
      <c r="BY8" s="92">
        <v>2000</v>
      </c>
      <c r="BZ8" s="92">
        <v>570</v>
      </c>
      <c r="CA8" s="92">
        <v>8752.2482014388497</v>
      </c>
      <c r="CB8" s="176"/>
      <c r="CC8" s="92">
        <v>200</v>
      </c>
      <c r="CD8" s="92">
        <v>0</v>
      </c>
      <c r="CE8" s="176"/>
      <c r="CF8" s="176"/>
      <c r="CG8" s="176"/>
      <c r="CH8" s="176"/>
      <c r="CI8" s="176"/>
      <c r="CJ8" s="176">
        <v>0</v>
      </c>
      <c r="CK8" s="176">
        <v>0</v>
      </c>
      <c r="CN8" s="92"/>
      <c r="CQ8" s="232">
        <v>58.8</v>
      </c>
      <c r="CR8" s="232">
        <v>1.8</v>
      </c>
      <c r="CS8" s="176">
        <v>0</v>
      </c>
      <c r="CT8" s="92">
        <v>35</v>
      </c>
      <c r="CU8" s="92">
        <v>0</v>
      </c>
      <c r="CV8" s="92">
        <v>0</v>
      </c>
      <c r="CW8" s="92">
        <v>0</v>
      </c>
      <c r="DE8" s="92">
        <v>0</v>
      </c>
      <c r="DF8" s="135">
        <v>0</v>
      </c>
      <c r="DG8" s="92" t="s">
        <v>208</v>
      </c>
      <c r="DH8" s="92">
        <v>1</v>
      </c>
      <c r="DI8" s="92">
        <v>0</v>
      </c>
      <c r="DJ8" s="92">
        <v>10.263157894736842</v>
      </c>
      <c r="DK8" s="92">
        <v>11.368421052631579</v>
      </c>
      <c r="DL8" s="92">
        <v>8.3684210526315788</v>
      </c>
      <c r="DM8" s="92">
        <v>19500</v>
      </c>
      <c r="DN8" s="92">
        <v>17280</v>
      </c>
      <c r="DO8" s="92">
        <v>15582</v>
      </c>
      <c r="DP8" s="92">
        <v>68.421052631578945</v>
      </c>
      <c r="DQ8" s="92">
        <v>60.631578947368418</v>
      </c>
      <c r="DR8" s="92">
        <v>54.673684210526311</v>
      </c>
      <c r="DS8" s="92">
        <v>6.4541508410200752</v>
      </c>
      <c r="DT8" s="92">
        <v>5.7193705914270199</v>
      </c>
      <c r="DU8" s="92">
        <v>5.1573629951166566</v>
      </c>
      <c r="DZ8" s="139">
        <v>0</v>
      </c>
      <c r="EA8" s="139">
        <v>0</v>
      </c>
      <c r="EB8" s="139">
        <v>1</v>
      </c>
      <c r="EC8" s="139">
        <v>5</v>
      </c>
      <c r="ED8" s="139">
        <v>0</v>
      </c>
      <c r="EE8" s="139">
        <v>2</v>
      </c>
      <c r="EF8" s="143">
        <v>0</v>
      </c>
      <c r="EG8" s="143">
        <v>0</v>
      </c>
      <c r="EH8" s="143">
        <v>2</v>
      </c>
      <c r="EI8" s="143">
        <v>29</v>
      </c>
    </row>
    <row r="9" spans="1:249">
      <c r="A9" s="175">
        <v>1002</v>
      </c>
      <c r="B9" s="92" t="s">
        <v>30</v>
      </c>
      <c r="C9" s="176">
        <v>0</v>
      </c>
      <c r="D9" s="176">
        <v>52</v>
      </c>
      <c r="E9" s="177">
        <v>0</v>
      </c>
      <c r="F9" s="176"/>
      <c r="G9" s="178">
        <v>0</v>
      </c>
      <c r="H9" s="176">
        <v>0</v>
      </c>
      <c r="I9" s="176">
        <v>0</v>
      </c>
      <c r="J9" s="176">
        <v>0</v>
      </c>
      <c r="K9" s="178">
        <v>30</v>
      </c>
      <c r="L9" s="176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0</v>
      </c>
      <c r="S9" s="137"/>
      <c r="T9" s="137"/>
      <c r="U9" s="137"/>
      <c r="V9" s="137"/>
      <c r="W9" s="137"/>
      <c r="X9" s="137">
        <v>142</v>
      </c>
      <c r="Y9" s="137"/>
      <c r="Z9" s="137">
        <v>0</v>
      </c>
      <c r="AA9" s="137">
        <v>0</v>
      </c>
      <c r="AB9" s="176"/>
      <c r="AC9" s="176">
        <v>0</v>
      </c>
      <c r="AE9" s="179">
        <v>30</v>
      </c>
      <c r="AF9" s="179">
        <v>0</v>
      </c>
      <c r="AG9" s="179">
        <v>72774</v>
      </c>
      <c r="AH9" s="179">
        <v>20.913309117865076</v>
      </c>
      <c r="AJ9" s="178">
        <v>0</v>
      </c>
      <c r="AK9" s="176"/>
      <c r="AL9" s="176"/>
      <c r="AM9" s="176"/>
      <c r="AN9" s="176">
        <v>0</v>
      </c>
      <c r="AO9" s="176"/>
      <c r="AP9" s="176"/>
      <c r="AQ9" s="176">
        <v>0</v>
      </c>
      <c r="AR9" s="176">
        <v>0</v>
      </c>
      <c r="AS9" s="176">
        <v>0</v>
      </c>
      <c r="AT9" s="178">
        <v>1</v>
      </c>
      <c r="AU9" s="176"/>
      <c r="AV9" s="178">
        <v>0</v>
      </c>
      <c r="AW9" s="177"/>
      <c r="AX9" s="176">
        <v>0</v>
      </c>
      <c r="AY9" s="176"/>
      <c r="AZ9" s="178">
        <v>0</v>
      </c>
      <c r="BA9" s="176"/>
      <c r="BB9" s="176">
        <v>0</v>
      </c>
      <c r="BC9" s="176">
        <v>0</v>
      </c>
      <c r="BD9" s="180" t="s">
        <v>214</v>
      </c>
      <c r="BE9" s="176"/>
      <c r="BF9" s="178">
        <v>85.2</v>
      </c>
      <c r="BG9" s="176">
        <v>7</v>
      </c>
      <c r="BJ9" s="176"/>
      <c r="BL9" s="176"/>
      <c r="BM9" s="176"/>
      <c r="BN9" s="176"/>
      <c r="BO9" s="176">
        <v>0</v>
      </c>
      <c r="BP9" s="176">
        <v>0</v>
      </c>
      <c r="BQ9" s="176"/>
      <c r="BR9" s="176"/>
      <c r="BS9" s="176"/>
      <c r="BT9" s="176"/>
      <c r="BU9" s="176"/>
      <c r="BV9" s="176"/>
      <c r="BW9" s="178">
        <v>0</v>
      </c>
      <c r="BX9" s="178">
        <v>0</v>
      </c>
      <c r="BY9" s="92">
        <v>3000</v>
      </c>
      <c r="BZ9" s="92">
        <v>903</v>
      </c>
      <c r="CA9" s="92">
        <v>5610.5</v>
      </c>
      <c r="CB9" s="176"/>
      <c r="CC9" s="92">
        <v>672</v>
      </c>
      <c r="CD9" s="92">
        <v>0</v>
      </c>
      <c r="CE9" s="176"/>
      <c r="CF9" s="176"/>
      <c r="CG9" s="176"/>
      <c r="CH9" s="176"/>
      <c r="CI9" s="176"/>
      <c r="CJ9" s="176">
        <v>0</v>
      </c>
      <c r="CK9" s="176">
        <v>0</v>
      </c>
      <c r="CN9" s="92"/>
      <c r="CQ9" s="232">
        <v>85.2</v>
      </c>
      <c r="CR9" s="232">
        <v>12.6</v>
      </c>
      <c r="CS9" s="176">
        <v>0</v>
      </c>
      <c r="CT9" s="92">
        <v>52</v>
      </c>
      <c r="CU9" s="92">
        <v>0</v>
      </c>
      <c r="CV9" s="92">
        <v>0</v>
      </c>
      <c r="CW9" s="92">
        <v>0</v>
      </c>
      <c r="DE9" s="92">
        <v>0</v>
      </c>
      <c r="DF9" s="135">
        <v>0</v>
      </c>
      <c r="DG9" s="92" t="s">
        <v>208</v>
      </c>
      <c r="DH9" s="92">
        <v>1</v>
      </c>
      <c r="DI9" s="92">
        <v>0</v>
      </c>
      <c r="DJ9" s="92">
        <v>10.263157894736842</v>
      </c>
      <c r="DK9" s="92">
        <v>11.368421052631579</v>
      </c>
      <c r="DL9" s="92">
        <v>8.3684210526315788</v>
      </c>
      <c r="DM9" s="92">
        <v>27300</v>
      </c>
      <c r="DN9" s="92">
        <v>22896</v>
      </c>
      <c r="DO9" s="92">
        <v>22578</v>
      </c>
      <c r="DP9" s="92">
        <v>0</v>
      </c>
      <c r="DQ9" s="92">
        <v>0</v>
      </c>
      <c r="DR9" s="92">
        <v>0</v>
      </c>
      <c r="DS9" s="92">
        <v>7.8452928094885062</v>
      </c>
      <c r="DT9" s="92">
        <v>6.5797005189028885</v>
      </c>
      <c r="DU9" s="92">
        <v>6.4883157894736811</v>
      </c>
      <c r="DZ9" s="139">
        <v>0</v>
      </c>
      <c r="EA9" s="139">
        <v>0</v>
      </c>
      <c r="EB9" s="139">
        <v>0</v>
      </c>
      <c r="EC9" s="139">
        <v>6</v>
      </c>
      <c r="ED9" s="139">
        <v>0</v>
      </c>
      <c r="EE9" s="139">
        <v>1</v>
      </c>
      <c r="EF9" s="143">
        <v>0</v>
      </c>
      <c r="EG9" s="143">
        <v>0</v>
      </c>
      <c r="EH9" s="143">
        <v>0</v>
      </c>
      <c r="EI9" s="143">
        <v>52</v>
      </c>
    </row>
    <row r="10" spans="1:249">
      <c r="A10" s="175">
        <v>1003</v>
      </c>
      <c r="B10" s="92" t="s">
        <v>31</v>
      </c>
      <c r="C10" s="176">
        <v>0</v>
      </c>
      <c r="D10" s="176">
        <v>59</v>
      </c>
      <c r="E10" s="177">
        <v>0</v>
      </c>
      <c r="F10" s="176"/>
      <c r="G10" s="178">
        <v>0</v>
      </c>
      <c r="H10" s="176">
        <v>0</v>
      </c>
      <c r="I10" s="176">
        <v>0</v>
      </c>
      <c r="J10" s="176">
        <v>0</v>
      </c>
      <c r="K10" s="178">
        <v>0</v>
      </c>
      <c r="L10" s="176">
        <v>0</v>
      </c>
      <c r="M10" s="137">
        <v>0</v>
      </c>
      <c r="N10" s="137">
        <v>0</v>
      </c>
      <c r="O10" s="137">
        <v>0</v>
      </c>
      <c r="P10" s="137">
        <v>0</v>
      </c>
      <c r="Q10" s="137">
        <v>0</v>
      </c>
      <c r="R10" s="137">
        <v>0</v>
      </c>
      <c r="S10" s="137"/>
      <c r="T10" s="137"/>
      <c r="U10" s="137"/>
      <c r="V10" s="137"/>
      <c r="W10" s="137"/>
      <c r="X10" s="137">
        <v>135</v>
      </c>
      <c r="Y10" s="137"/>
      <c r="Z10" s="137">
        <v>0</v>
      </c>
      <c r="AA10" s="137">
        <v>0</v>
      </c>
      <c r="AB10" s="176"/>
      <c r="AC10" s="176">
        <v>0</v>
      </c>
      <c r="AE10" s="179">
        <v>30</v>
      </c>
      <c r="AF10" s="179">
        <v>241.0526315789474</v>
      </c>
      <c r="AG10" s="179">
        <v>68700</v>
      </c>
      <c r="AH10" s="179">
        <v>25.84619883040936</v>
      </c>
      <c r="AJ10" s="178">
        <v>0</v>
      </c>
      <c r="AK10" s="176"/>
      <c r="AL10" s="176"/>
      <c r="AM10" s="176"/>
      <c r="AN10" s="176">
        <v>0</v>
      </c>
      <c r="AO10" s="176"/>
      <c r="AP10" s="176"/>
      <c r="AQ10" s="176">
        <v>0</v>
      </c>
      <c r="AR10" s="176">
        <v>0</v>
      </c>
      <c r="AS10" s="176">
        <v>0</v>
      </c>
      <c r="AT10" s="178">
        <v>1</v>
      </c>
      <c r="AU10" s="176"/>
      <c r="AV10" s="178">
        <v>0</v>
      </c>
      <c r="AW10" s="177"/>
      <c r="AX10" s="176">
        <v>0</v>
      </c>
      <c r="AY10" s="176"/>
      <c r="AZ10" s="178">
        <v>0</v>
      </c>
      <c r="BA10" s="176"/>
      <c r="BB10" s="176">
        <v>0</v>
      </c>
      <c r="BC10" s="176">
        <v>0</v>
      </c>
      <c r="BD10" s="180" t="s">
        <v>214</v>
      </c>
      <c r="BE10" s="176"/>
      <c r="BF10" s="178">
        <v>81</v>
      </c>
      <c r="BG10" s="176">
        <v>36</v>
      </c>
      <c r="BJ10" s="176"/>
      <c r="BL10" s="176"/>
      <c r="BM10" s="176"/>
      <c r="BN10" s="176"/>
      <c r="BO10" s="176">
        <v>0</v>
      </c>
      <c r="BP10" s="176">
        <v>0</v>
      </c>
      <c r="BQ10" s="176"/>
      <c r="BR10" s="176"/>
      <c r="BS10" s="176"/>
      <c r="BT10" s="176"/>
      <c r="BU10" s="176"/>
      <c r="BV10" s="176"/>
      <c r="BW10" s="178">
        <v>0</v>
      </c>
      <c r="BX10" s="178">
        <v>0</v>
      </c>
      <c r="BY10" s="92">
        <v>2116</v>
      </c>
      <c r="BZ10" s="92">
        <v>1698</v>
      </c>
      <c r="CA10" s="92">
        <v>7160.5253218884118</v>
      </c>
      <c r="CB10" s="176"/>
      <c r="CC10" s="92">
        <v>832.64</v>
      </c>
      <c r="CD10" s="92">
        <v>0</v>
      </c>
      <c r="CE10" s="176"/>
      <c r="CF10" s="176"/>
      <c r="CG10" s="176"/>
      <c r="CH10" s="176"/>
      <c r="CI10" s="176"/>
      <c r="CJ10" s="176">
        <v>0</v>
      </c>
      <c r="CK10" s="176">
        <v>0</v>
      </c>
      <c r="CN10" s="92"/>
      <c r="CQ10" s="232">
        <v>81</v>
      </c>
      <c r="CR10" s="232">
        <v>22.2</v>
      </c>
      <c r="CS10" s="176">
        <v>0</v>
      </c>
      <c r="CT10" s="92">
        <v>59</v>
      </c>
      <c r="CU10" s="92">
        <v>0</v>
      </c>
      <c r="CV10" s="92">
        <v>0</v>
      </c>
      <c r="CW10" s="92">
        <v>0</v>
      </c>
      <c r="DE10" s="92">
        <v>0</v>
      </c>
      <c r="DF10" s="135">
        <v>0</v>
      </c>
      <c r="DG10" s="92" t="s">
        <v>208</v>
      </c>
      <c r="DH10" s="92">
        <v>1</v>
      </c>
      <c r="DI10" s="92">
        <v>0</v>
      </c>
      <c r="DJ10" s="92">
        <v>10.263157894736842</v>
      </c>
      <c r="DK10" s="92">
        <v>11.368421052631579</v>
      </c>
      <c r="DL10" s="92">
        <v>8.3684210526315788</v>
      </c>
      <c r="DM10" s="92">
        <v>26715</v>
      </c>
      <c r="DN10" s="92">
        <v>20520</v>
      </c>
      <c r="DO10" s="92">
        <v>21465</v>
      </c>
      <c r="DP10" s="92">
        <v>93.736842105263165</v>
      </c>
      <c r="DQ10" s="92">
        <v>72</v>
      </c>
      <c r="DR10" s="92">
        <v>75.315789473684205</v>
      </c>
      <c r="DS10" s="92">
        <v>10.050672514619885</v>
      </c>
      <c r="DT10" s="92">
        <v>7.72</v>
      </c>
      <c r="DU10" s="92">
        <v>8.0755263157894746</v>
      </c>
      <c r="DZ10" s="139">
        <v>0</v>
      </c>
      <c r="EA10" s="139">
        <v>0</v>
      </c>
      <c r="EB10" s="139">
        <v>6</v>
      </c>
      <c r="EC10" s="139">
        <v>6</v>
      </c>
      <c r="ED10" s="139">
        <v>3</v>
      </c>
      <c r="EE10" s="139">
        <v>3</v>
      </c>
      <c r="EF10" s="143">
        <v>0</v>
      </c>
      <c r="EG10" s="143">
        <v>0</v>
      </c>
      <c r="EH10" s="143">
        <v>11</v>
      </c>
      <c r="EI10" s="143">
        <v>26</v>
      </c>
    </row>
    <row r="11" spans="1:249">
      <c r="A11" s="175"/>
      <c r="B11" s="92" t="s">
        <v>596</v>
      </c>
      <c r="D11" s="176">
        <v>0</v>
      </c>
      <c r="F11" s="177"/>
      <c r="G11" s="177"/>
      <c r="H11" s="176">
        <v>0</v>
      </c>
      <c r="I11" s="177"/>
      <c r="J11" s="177"/>
      <c r="K11" s="178">
        <v>0</v>
      </c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9">
        <v>0</v>
      </c>
      <c r="AF11" s="179">
        <v>0</v>
      </c>
      <c r="AG11" s="179">
        <v>0</v>
      </c>
      <c r="AH11" s="179">
        <v>0</v>
      </c>
      <c r="AI11" s="177"/>
      <c r="AJ11" s="177"/>
      <c r="AK11" s="177"/>
      <c r="AL11" s="177"/>
      <c r="AM11" s="177"/>
      <c r="AN11" s="176">
        <v>0</v>
      </c>
      <c r="AO11" s="177"/>
      <c r="AP11" s="177"/>
      <c r="AQ11" s="176">
        <v>0</v>
      </c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8">
        <v>0</v>
      </c>
      <c r="BG11" s="176">
        <v>0</v>
      </c>
      <c r="BH11" s="177"/>
      <c r="BI11" s="177"/>
      <c r="BJ11" s="177"/>
      <c r="BK11" s="177"/>
      <c r="BL11" s="177"/>
      <c r="BM11" s="177"/>
      <c r="BN11" s="177"/>
      <c r="BO11" s="176">
        <v>0</v>
      </c>
      <c r="BP11" s="176">
        <v>0</v>
      </c>
      <c r="BQ11" s="177"/>
      <c r="BR11" s="177"/>
      <c r="BS11" s="177"/>
      <c r="BT11" s="177"/>
      <c r="BU11" s="177"/>
      <c r="BV11" s="177"/>
      <c r="BW11" s="178">
        <v>0</v>
      </c>
      <c r="BX11" s="177"/>
      <c r="BZ11" s="177"/>
      <c r="CA11" s="177"/>
      <c r="CB11" s="177"/>
      <c r="CC11" s="92">
        <v>0</v>
      </c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R11" s="232">
        <v>0</v>
      </c>
      <c r="CS11" s="177"/>
      <c r="CT11" s="92">
        <v>0</v>
      </c>
      <c r="CU11" s="177"/>
      <c r="CV11" s="177"/>
      <c r="CW11" s="177"/>
      <c r="CX11" s="177"/>
      <c r="CY11" s="177"/>
      <c r="CZ11" s="177"/>
      <c r="DA11" s="177"/>
      <c r="DB11" s="177"/>
      <c r="DC11" s="177"/>
      <c r="DD11" s="177"/>
      <c r="DE11" s="92">
        <v>0</v>
      </c>
      <c r="DF11" s="177"/>
      <c r="DG11" s="177"/>
      <c r="DH11" s="177"/>
      <c r="DI11" s="92">
        <v>0</v>
      </c>
      <c r="DJ11" s="92">
        <v>0</v>
      </c>
      <c r="DK11" s="92">
        <v>0</v>
      </c>
      <c r="DL11" s="92">
        <v>0</v>
      </c>
      <c r="DM11" s="92">
        <v>0</v>
      </c>
      <c r="DN11" s="92">
        <v>0</v>
      </c>
      <c r="DO11" s="92">
        <v>0</v>
      </c>
      <c r="DP11" s="92">
        <v>0</v>
      </c>
      <c r="DQ11" s="92">
        <v>0</v>
      </c>
      <c r="DR11" s="92">
        <v>0</v>
      </c>
      <c r="DS11" s="92">
        <v>0</v>
      </c>
      <c r="DT11" s="92">
        <v>0</v>
      </c>
      <c r="DU11" s="92">
        <v>0</v>
      </c>
      <c r="DZ11" s="139">
        <v>0</v>
      </c>
      <c r="EA11" s="139">
        <v>0</v>
      </c>
      <c r="EB11" s="139">
        <v>0</v>
      </c>
      <c r="EC11" s="139">
        <v>0</v>
      </c>
      <c r="ED11" s="139">
        <v>0</v>
      </c>
      <c r="EE11" s="139">
        <v>0</v>
      </c>
      <c r="EF11" s="143">
        <v>0</v>
      </c>
      <c r="EG11" s="143">
        <v>0</v>
      </c>
      <c r="EH11" s="143">
        <v>0</v>
      </c>
      <c r="EI11" s="143">
        <v>0</v>
      </c>
    </row>
    <row r="12" spans="1:249">
      <c r="A12" s="175">
        <v>3520</v>
      </c>
      <c r="B12" s="92" t="s">
        <v>327</v>
      </c>
      <c r="C12" s="176">
        <v>6</v>
      </c>
      <c r="D12" s="176">
        <v>76</v>
      </c>
      <c r="E12" s="177">
        <v>0</v>
      </c>
      <c r="F12" s="176">
        <v>0</v>
      </c>
      <c r="G12" s="178">
        <v>22754.976529365049</v>
      </c>
      <c r="H12" s="176">
        <v>49.230000000000061</v>
      </c>
      <c r="I12" s="176">
        <v>0</v>
      </c>
      <c r="J12" s="176">
        <v>0</v>
      </c>
      <c r="K12" s="178">
        <v>77.50059651634453</v>
      </c>
      <c r="L12" s="176">
        <v>0</v>
      </c>
      <c r="M12" s="137">
        <v>60</v>
      </c>
      <c r="N12" s="137">
        <v>60</v>
      </c>
      <c r="O12" s="137">
        <v>60</v>
      </c>
      <c r="P12" s="137">
        <v>60</v>
      </c>
      <c r="Q12" s="137">
        <v>59</v>
      </c>
      <c r="R12" s="137">
        <v>29</v>
      </c>
      <c r="S12" s="137"/>
      <c r="T12" s="137"/>
      <c r="U12" s="137"/>
      <c r="V12" s="137"/>
      <c r="W12" s="137"/>
      <c r="X12" s="137">
        <v>0</v>
      </c>
      <c r="Y12" s="137"/>
      <c r="Z12" s="137">
        <v>60</v>
      </c>
      <c r="AA12" s="137">
        <v>0</v>
      </c>
      <c r="AB12" s="176"/>
      <c r="AC12" s="176">
        <v>0</v>
      </c>
      <c r="AE12" s="179">
        <v>0</v>
      </c>
      <c r="AF12" s="179">
        <v>0</v>
      </c>
      <c r="AG12" s="179">
        <v>0</v>
      </c>
      <c r="AH12" s="179">
        <v>0</v>
      </c>
      <c r="AJ12" s="178">
        <v>6</v>
      </c>
      <c r="AK12" s="176"/>
      <c r="AL12" s="176"/>
      <c r="AM12" s="176"/>
      <c r="AN12" s="176">
        <v>0</v>
      </c>
      <c r="AO12" s="176"/>
      <c r="AP12" s="176"/>
      <c r="AQ12" s="176">
        <v>9</v>
      </c>
      <c r="AR12" s="176">
        <v>0</v>
      </c>
      <c r="AS12" s="176">
        <v>0</v>
      </c>
      <c r="AT12" s="178">
        <v>1</v>
      </c>
      <c r="AU12" s="176"/>
      <c r="AV12" s="178">
        <v>2</v>
      </c>
      <c r="AW12" s="177"/>
      <c r="AX12" s="176">
        <v>0</v>
      </c>
      <c r="AY12" s="176"/>
      <c r="AZ12" s="178">
        <v>0</v>
      </c>
      <c r="BA12" s="176"/>
      <c r="BB12" s="176">
        <v>0</v>
      </c>
      <c r="BC12" s="176">
        <v>0</v>
      </c>
      <c r="BD12" s="180" t="s">
        <v>597</v>
      </c>
      <c r="BE12" s="176"/>
      <c r="BF12" s="178">
        <v>0</v>
      </c>
      <c r="BG12" s="176">
        <v>2</v>
      </c>
      <c r="BJ12" s="176"/>
      <c r="BL12" s="176"/>
      <c r="BM12" s="176"/>
      <c r="BN12" s="176"/>
      <c r="BO12" s="176">
        <v>0</v>
      </c>
      <c r="BP12" s="176">
        <v>0</v>
      </c>
      <c r="BQ12" s="176"/>
      <c r="BR12" s="176"/>
      <c r="BS12" s="176"/>
      <c r="BT12" s="176"/>
      <c r="BU12" s="176"/>
      <c r="BV12" s="176"/>
      <c r="BW12" s="178">
        <v>0</v>
      </c>
      <c r="BX12" s="178">
        <v>0</v>
      </c>
      <c r="BY12" s="92">
        <v>5651</v>
      </c>
      <c r="BZ12" s="92">
        <v>5165</v>
      </c>
      <c r="CA12" s="92">
        <v>0</v>
      </c>
      <c r="CB12" s="176"/>
      <c r="CC12" s="92">
        <v>2368</v>
      </c>
      <c r="CD12" s="92">
        <v>0</v>
      </c>
      <c r="CE12" s="176"/>
      <c r="CF12" s="176"/>
      <c r="CG12" s="176"/>
      <c r="CH12" s="176"/>
      <c r="CI12" s="176"/>
      <c r="CJ12" s="176">
        <v>0</v>
      </c>
      <c r="CK12" s="176">
        <v>0</v>
      </c>
      <c r="CN12" s="92"/>
      <c r="CQ12" s="232">
        <v>388</v>
      </c>
      <c r="CR12" s="232">
        <v>6</v>
      </c>
      <c r="CS12" s="176">
        <v>6.9</v>
      </c>
      <c r="CT12" s="92">
        <v>76</v>
      </c>
      <c r="CU12" s="92">
        <v>0</v>
      </c>
      <c r="CV12" s="92">
        <v>0</v>
      </c>
      <c r="CW12" s="92">
        <v>0</v>
      </c>
      <c r="CX12" s="92">
        <v>30</v>
      </c>
      <c r="DE12" s="92">
        <v>388</v>
      </c>
      <c r="DF12" s="135">
        <v>0</v>
      </c>
      <c r="DG12" s="92" t="s">
        <v>210</v>
      </c>
      <c r="DH12" s="92">
        <v>1</v>
      </c>
      <c r="DI12" s="92">
        <v>1.5463917525773196</v>
      </c>
      <c r="DJ12" s="92">
        <v>0</v>
      </c>
      <c r="DK12" s="92">
        <v>0</v>
      </c>
      <c r="DL12" s="92">
        <v>0</v>
      </c>
      <c r="DM12" s="92">
        <v>0</v>
      </c>
      <c r="DN12" s="92">
        <v>0</v>
      </c>
      <c r="DO12" s="92">
        <v>0</v>
      </c>
      <c r="DP12" s="92">
        <v>0</v>
      </c>
      <c r="DQ12" s="92">
        <v>0</v>
      </c>
      <c r="DR12" s="92">
        <v>0</v>
      </c>
      <c r="DS12" s="92">
        <v>0</v>
      </c>
      <c r="DT12" s="92">
        <v>0</v>
      </c>
      <c r="DU12" s="92">
        <v>0</v>
      </c>
      <c r="DZ12" s="139">
        <v>17</v>
      </c>
      <c r="EA12" s="139">
        <v>328</v>
      </c>
      <c r="EB12" s="139">
        <v>0</v>
      </c>
      <c r="EC12" s="139">
        <v>0</v>
      </c>
      <c r="ED12" s="139">
        <v>0</v>
      </c>
      <c r="EE12" s="139">
        <v>2</v>
      </c>
      <c r="EF12" s="143">
        <v>0</v>
      </c>
      <c r="EG12" s="143">
        <v>14</v>
      </c>
      <c r="EH12" s="143">
        <v>0</v>
      </c>
      <c r="EI12" s="143">
        <v>20</v>
      </c>
    </row>
    <row r="13" spans="1:249">
      <c r="A13" s="175">
        <v>3317</v>
      </c>
      <c r="B13" s="92" t="s">
        <v>328</v>
      </c>
      <c r="C13" s="176">
        <v>28</v>
      </c>
      <c r="D13" s="176">
        <v>161</v>
      </c>
      <c r="E13" s="177">
        <v>0</v>
      </c>
      <c r="F13" s="176">
        <v>0</v>
      </c>
      <c r="G13" s="178">
        <v>28532.187383268236</v>
      </c>
      <c r="H13" s="176">
        <v>44.474843749999998</v>
      </c>
      <c r="I13" s="176">
        <v>0</v>
      </c>
      <c r="J13" s="176">
        <v>0</v>
      </c>
      <c r="K13" s="178">
        <v>50</v>
      </c>
      <c r="L13" s="176">
        <v>0</v>
      </c>
      <c r="M13" s="137">
        <v>30</v>
      </c>
      <c r="N13" s="137">
        <v>30</v>
      </c>
      <c r="O13" s="137">
        <v>30</v>
      </c>
      <c r="P13" s="137">
        <v>30</v>
      </c>
      <c r="Q13" s="137">
        <v>30</v>
      </c>
      <c r="R13" s="137">
        <v>30</v>
      </c>
      <c r="S13" s="137"/>
      <c r="T13" s="137"/>
      <c r="U13" s="137"/>
      <c r="V13" s="137"/>
      <c r="W13" s="137"/>
      <c r="X13" s="137">
        <v>45</v>
      </c>
      <c r="Y13" s="137"/>
      <c r="Z13" s="137">
        <v>31</v>
      </c>
      <c r="AA13" s="137">
        <v>0</v>
      </c>
      <c r="AB13" s="176"/>
      <c r="AC13" s="176">
        <v>0</v>
      </c>
      <c r="AE13" s="179">
        <v>30</v>
      </c>
      <c r="AF13" s="179">
        <v>80.684210526315795</v>
      </c>
      <c r="AG13" s="179">
        <v>22995</v>
      </c>
      <c r="AH13" s="179">
        <v>8.4180526315789503</v>
      </c>
      <c r="AJ13" s="178">
        <v>28</v>
      </c>
      <c r="AK13" s="176"/>
      <c r="AL13" s="176"/>
      <c r="AM13" s="176"/>
      <c r="AN13" s="176">
        <v>1</v>
      </c>
      <c r="AO13" s="176"/>
      <c r="AP13" s="176"/>
      <c r="AQ13" s="176">
        <v>38</v>
      </c>
      <c r="AR13" s="176">
        <v>0</v>
      </c>
      <c r="AS13" s="176">
        <v>1</v>
      </c>
      <c r="AT13" s="178">
        <v>1</v>
      </c>
      <c r="AU13" s="176"/>
      <c r="AV13" s="178">
        <v>0</v>
      </c>
      <c r="AW13" s="177"/>
      <c r="AX13" s="176">
        <v>0</v>
      </c>
      <c r="AY13" s="176"/>
      <c r="AZ13" s="178">
        <v>0</v>
      </c>
      <c r="BA13" s="176"/>
      <c r="BB13" s="176">
        <v>0</v>
      </c>
      <c r="BC13" s="176">
        <v>0</v>
      </c>
      <c r="BD13" s="180" t="s">
        <v>597</v>
      </c>
      <c r="BE13" s="176"/>
      <c r="BF13" s="178">
        <v>0</v>
      </c>
      <c r="BG13" s="176">
        <v>31</v>
      </c>
      <c r="BJ13" s="176"/>
      <c r="BL13" s="176"/>
      <c r="BM13" s="176"/>
      <c r="BN13" s="176"/>
      <c r="BO13" s="176">
        <v>0</v>
      </c>
      <c r="BP13" s="176">
        <v>0</v>
      </c>
      <c r="BQ13" s="176"/>
      <c r="BR13" s="176"/>
      <c r="BS13" s="176"/>
      <c r="BT13" s="176"/>
      <c r="BU13" s="176"/>
      <c r="BV13" s="176"/>
      <c r="BW13" s="178">
        <v>0</v>
      </c>
      <c r="BX13" s="178">
        <v>0</v>
      </c>
      <c r="BY13" s="92">
        <v>8094</v>
      </c>
      <c r="BZ13" s="92">
        <v>2703</v>
      </c>
      <c r="CA13" s="92">
        <v>0</v>
      </c>
      <c r="CB13" s="176"/>
      <c r="CC13" s="92">
        <v>1504</v>
      </c>
      <c r="CD13" s="92">
        <v>0</v>
      </c>
      <c r="CE13" s="176"/>
      <c r="CF13" s="176"/>
      <c r="CG13" s="176"/>
      <c r="CH13" s="176"/>
      <c r="CI13" s="176"/>
      <c r="CJ13" s="176">
        <v>0</v>
      </c>
      <c r="CK13" s="176">
        <v>0</v>
      </c>
      <c r="CN13" s="92"/>
      <c r="CQ13" s="232">
        <v>238</v>
      </c>
      <c r="CR13" s="232">
        <v>28.6</v>
      </c>
      <c r="CS13" s="176">
        <v>5.04</v>
      </c>
      <c r="CT13" s="92">
        <v>161</v>
      </c>
      <c r="CU13" s="92">
        <v>0</v>
      </c>
      <c r="CV13" s="92">
        <v>0</v>
      </c>
      <c r="CW13" s="92">
        <v>0</v>
      </c>
      <c r="DE13" s="92">
        <v>211</v>
      </c>
      <c r="DF13" s="135">
        <v>0</v>
      </c>
      <c r="DG13" s="92" t="s">
        <v>210</v>
      </c>
      <c r="DH13" s="92">
        <v>1</v>
      </c>
      <c r="DI13" s="92">
        <v>13.270142180094787</v>
      </c>
      <c r="DJ13" s="92">
        <v>10.263157894736842</v>
      </c>
      <c r="DK13" s="92">
        <v>11.368421052631579</v>
      </c>
      <c r="DL13" s="92">
        <v>8.3684210526315788</v>
      </c>
      <c r="DM13" s="92">
        <v>9360</v>
      </c>
      <c r="DN13" s="92">
        <v>6480</v>
      </c>
      <c r="DO13" s="92">
        <v>7155</v>
      </c>
      <c r="DP13" s="92">
        <v>32.842105263157897</v>
      </c>
      <c r="DQ13" s="92">
        <v>22.736842105263158</v>
      </c>
      <c r="DR13" s="92">
        <v>25.105263157894736</v>
      </c>
      <c r="DS13" s="92">
        <v>3.426526315789475</v>
      </c>
      <c r="DT13" s="92">
        <v>2.3722105263157904</v>
      </c>
      <c r="DU13" s="92">
        <v>2.6193157894736849</v>
      </c>
      <c r="DZ13" s="139">
        <v>14</v>
      </c>
      <c r="EA13" s="139">
        <v>180</v>
      </c>
      <c r="EB13" s="139">
        <v>3</v>
      </c>
      <c r="EC13" s="139">
        <v>10</v>
      </c>
      <c r="ED13" s="139">
        <v>2</v>
      </c>
      <c r="EE13" s="139">
        <v>6</v>
      </c>
      <c r="EF13" s="143">
        <v>2</v>
      </c>
      <c r="EG13" s="143">
        <v>18</v>
      </c>
      <c r="EH13" s="143">
        <v>8</v>
      </c>
      <c r="EI13" s="143">
        <v>51</v>
      </c>
    </row>
    <row r="14" spans="1:249">
      <c r="A14" s="175">
        <v>3300</v>
      </c>
      <c r="B14" s="92" t="s">
        <v>329</v>
      </c>
      <c r="C14" s="176">
        <v>57</v>
      </c>
      <c r="D14" s="176">
        <v>221</v>
      </c>
      <c r="E14" s="177">
        <v>0</v>
      </c>
      <c r="F14" s="176">
        <v>0</v>
      </c>
      <c r="G14" s="178">
        <v>58174.28282720891</v>
      </c>
      <c r="H14" s="176">
        <v>71.590000000000089</v>
      </c>
      <c r="I14" s="176">
        <v>0</v>
      </c>
      <c r="J14" s="176">
        <v>0</v>
      </c>
      <c r="K14" s="178">
        <v>110</v>
      </c>
      <c r="L14" s="176">
        <v>0</v>
      </c>
      <c r="M14" s="137">
        <v>31</v>
      </c>
      <c r="N14" s="137">
        <v>30</v>
      </c>
      <c r="O14" s="137">
        <v>31</v>
      </c>
      <c r="P14" s="137">
        <v>30</v>
      </c>
      <c r="Q14" s="137">
        <v>24</v>
      </c>
      <c r="R14" s="137">
        <v>29</v>
      </c>
      <c r="S14" s="137"/>
      <c r="T14" s="137"/>
      <c r="U14" s="137"/>
      <c r="V14" s="137"/>
      <c r="W14" s="137"/>
      <c r="X14" s="137">
        <v>0</v>
      </c>
      <c r="Y14" s="137"/>
      <c r="Z14" s="137">
        <v>30</v>
      </c>
      <c r="AA14" s="137">
        <v>0</v>
      </c>
      <c r="AB14" s="176"/>
      <c r="AC14" s="176">
        <v>0</v>
      </c>
      <c r="AE14" s="179">
        <v>0</v>
      </c>
      <c r="AF14" s="179">
        <v>0</v>
      </c>
      <c r="AG14" s="179">
        <v>0</v>
      </c>
      <c r="AH14" s="179">
        <v>0</v>
      </c>
      <c r="AJ14" s="178">
        <v>57</v>
      </c>
      <c r="AK14" s="176"/>
      <c r="AL14" s="176"/>
      <c r="AM14" s="176"/>
      <c r="AN14" s="176">
        <v>1</v>
      </c>
      <c r="AO14" s="176"/>
      <c r="AP14" s="176"/>
      <c r="AQ14" s="176">
        <v>89</v>
      </c>
      <c r="AR14" s="176">
        <v>0</v>
      </c>
      <c r="AS14" s="176">
        <v>0</v>
      </c>
      <c r="AT14" s="178">
        <v>1</v>
      </c>
      <c r="AU14" s="176"/>
      <c r="AV14" s="178">
        <v>0</v>
      </c>
      <c r="AW14" s="177"/>
      <c r="AX14" s="176">
        <v>0</v>
      </c>
      <c r="AY14" s="176"/>
      <c r="AZ14" s="178">
        <v>0</v>
      </c>
      <c r="BA14" s="176"/>
      <c r="BB14" s="176">
        <v>0</v>
      </c>
      <c r="BC14" s="176">
        <v>0</v>
      </c>
      <c r="BD14" s="180" t="s">
        <v>597</v>
      </c>
      <c r="BE14" s="176"/>
      <c r="BF14" s="178">
        <v>0</v>
      </c>
      <c r="BG14" s="176">
        <v>118</v>
      </c>
      <c r="BJ14" s="176"/>
      <c r="BL14" s="176"/>
      <c r="BM14" s="176"/>
      <c r="BN14" s="176"/>
      <c r="BO14" s="176">
        <v>0</v>
      </c>
      <c r="BP14" s="176">
        <v>0</v>
      </c>
      <c r="BQ14" s="176"/>
      <c r="BR14" s="176"/>
      <c r="BS14" s="176"/>
      <c r="BT14" s="176"/>
      <c r="BU14" s="176"/>
      <c r="BV14" s="176"/>
      <c r="BW14" s="178">
        <v>0</v>
      </c>
      <c r="BX14" s="178">
        <v>0</v>
      </c>
      <c r="BY14" s="92">
        <v>3399</v>
      </c>
      <c r="BZ14" s="92">
        <v>1735</v>
      </c>
      <c r="CA14" s="92">
        <v>0</v>
      </c>
      <c r="CB14" s="176"/>
      <c r="CC14" s="92">
        <v>1105</v>
      </c>
      <c r="CD14" s="92">
        <v>0</v>
      </c>
      <c r="CE14" s="176"/>
      <c r="CF14" s="176"/>
      <c r="CG14" s="176"/>
      <c r="CH14" s="176"/>
      <c r="CI14" s="176"/>
      <c r="CJ14" s="176">
        <v>0</v>
      </c>
      <c r="CK14" s="176">
        <v>0</v>
      </c>
      <c r="CN14" s="92"/>
      <c r="CQ14" s="232">
        <v>205</v>
      </c>
      <c r="CR14" s="232">
        <v>57</v>
      </c>
      <c r="CS14" s="176">
        <v>12</v>
      </c>
      <c r="CT14" s="92">
        <v>221</v>
      </c>
      <c r="CU14" s="92">
        <v>0</v>
      </c>
      <c r="CV14" s="92">
        <v>0</v>
      </c>
      <c r="CW14" s="92">
        <v>0</v>
      </c>
      <c r="DE14" s="92">
        <v>205</v>
      </c>
      <c r="DF14" s="135">
        <v>0</v>
      </c>
      <c r="DG14" s="92" t="s">
        <v>210</v>
      </c>
      <c r="DH14" s="92">
        <v>1</v>
      </c>
      <c r="DI14" s="92">
        <v>27.804878048780491</v>
      </c>
      <c r="DJ14" s="92">
        <v>0</v>
      </c>
      <c r="DK14" s="92">
        <v>0</v>
      </c>
      <c r="DL14" s="92">
        <v>0</v>
      </c>
      <c r="DM14" s="92">
        <v>0</v>
      </c>
      <c r="DN14" s="92">
        <v>0</v>
      </c>
      <c r="DO14" s="92">
        <v>0</v>
      </c>
      <c r="DP14" s="92">
        <v>0</v>
      </c>
      <c r="DQ14" s="92">
        <v>0</v>
      </c>
      <c r="DR14" s="92">
        <v>0</v>
      </c>
      <c r="DS14" s="92">
        <v>0</v>
      </c>
      <c r="DT14" s="92">
        <v>0</v>
      </c>
      <c r="DU14" s="92">
        <v>0</v>
      </c>
      <c r="DZ14" s="139">
        <v>23</v>
      </c>
      <c r="EA14" s="139">
        <v>175</v>
      </c>
      <c r="EB14" s="139">
        <v>20</v>
      </c>
      <c r="EC14" s="139">
        <v>31</v>
      </c>
      <c r="ED14" s="139">
        <v>7</v>
      </c>
      <c r="EE14" s="139">
        <v>6</v>
      </c>
      <c r="EF14" s="143">
        <v>10</v>
      </c>
      <c r="EG14" s="143">
        <v>20</v>
      </c>
      <c r="EH14" s="143">
        <v>14</v>
      </c>
      <c r="EI14" s="143">
        <v>29</v>
      </c>
    </row>
    <row r="15" spans="1:249">
      <c r="A15" s="175">
        <v>2064</v>
      </c>
      <c r="B15" s="92" t="s">
        <v>598</v>
      </c>
      <c r="C15" s="176">
        <v>0</v>
      </c>
      <c r="D15" s="176">
        <v>0</v>
      </c>
      <c r="E15" s="176"/>
      <c r="F15" s="176">
        <v>0</v>
      </c>
      <c r="G15" s="178">
        <v>0</v>
      </c>
      <c r="H15" s="176">
        <v>0</v>
      </c>
      <c r="I15" s="176"/>
      <c r="K15" s="178">
        <v>0</v>
      </c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E15" s="179">
        <v>0</v>
      </c>
      <c r="AF15" s="179">
        <v>0</v>
      </c>
      <c r="AG15" s="179">
        <v>0</v>
      </c>
      <c r="AH15" s="179">
        <v>0</v>
      </c>
      <c r="AJ15" s="176"/>
      <c r="AK15" s="176"/>
      <c r="AL15" s="176"/>
      <c r="AM15" s="176"/>
      <c r="AN15" s="176">
        <v>0</v>
      </c>
      <c r="AO15" s="176"/>
      <c r="AP15" s="176"/>
      <c r="AQ15" s="176">
        <v>0</v>
      </c>
      <c r="AR15" s="176"/>
      <c r="AS15" s="176"/>
      <c r="AT15" s="176"/>
      <c r="AU15" s="176"/>
      <c r="AV15" s="176"/>
      <c r="AW15" s="176"/>
      <c r="AY15" s="176"/>
      <c r="AZ15" s="176"/>
      <c r="BA15" s="176"/>
      <c r="BD15" s="176"/>
      <c r="BE15" s="176"/>
      <c r="BF15" s="178">
        <v>0</v>
      </c>
      <c r="BG15" s="176">
        <v>0</v>
      </c>
      <c r="BH15" s="176"/>
      <c r="BI15" s="176"/>
      <c r="BJ15" s="176"/>
      <c r="BK15" s="176"/>
      <c r="BL15" s="176"/>
      <c r="BM15" s="176"/>
      <c r="BN15" s="176"/>
      <c r="BO15" s="176">
        <v>0</v>
      </c>
      <c r="BP15" s="176"/>
      <c r="BQ15" s="176"/>
      <c r="BR15" s="176"/>
      <c r="BS15" s="176"/>
      <c r="BT15" s="176"/>
      <c r="BU15" s="176"/>
      <c r="BV15" s="176"/>
      <c r="BW15" s="178">
        <v>0</v>
      </c>
      <c r="BX15" s="176"/>
      <c r="BZ15" s="176"/>
      <c r="CA15" s="176"/>
      <c r="CB15" s="176"/>
      <c r="CC15" s="92">
        <v>0</v>
      </c>
      <c r="CD15" s="176"/>
      <c r="CE15" s="176"/>
      <c r="CF15" s="176"/>
      <c r="CG15" s="176"/>
      <c r="CH15" s="176"/>
      <c r="CI15" s="176"/>
      <c r="CL15" s="176"/>
      <c r="CM15" s="176"/>
      <c r="CO15" s="176"/>
      <c r="CP15" s="176"/>
      <c r="CR15" s="232">
        <v>0</v>
      </c>
      <c r="CS15" s="176"/>
      <c r="CT15" s="92">
        <v>0</v>
      </c>
      <c r="CU15" s="176"/>
      <c r="CV15" s="176"/>
      <c r="CW15" s="176"/>
      <c r="CX15" s="176"/>
      <c r="CY15" s="176"/>
      <c r="CZ15" s="176"/>
      <c r="DA15" s="176"/>
      <c r="DB15" s="176"/>
      <c r="DC15" s="176"/>
      <c r="DD15" s="176"/>
      <c r="DE15" s="92">
        <v>0</v>
      </c>
      <c r="DF15" s="176"/>
      <c r="DG15" s="176"/>
      <c r="DI15" s="92">
        <v>0</v>
      </c>
      <c r="DJ15" s="92">
        <v>0</v>
      </c>
      <c r="DK15" s="92">
        <v>0</v>
      </c>
      <c r="DL15" s="92">
        <v>0</v>
      </c>
      <c r="DM15" s="92">
        <v>0</v>
      </c>
      <c r="DN15" s="92">
        <v>0</v>
      </c>
      <c r="DO15" s="92">
        <v>0</v>
      </c>
      <c r="DP15" s="92">
        <v>0</v>
      </c>
      <c r="DQ15" s="92">
        <v>0</v>
      </c>
      <c r="DR15" s="92">
        <v>0</v>
      </c>
      <c r="DS15" s="92">
        <v>0</v>
      </c>
      <c r="DT15" s="92">
        <v>0</v>
      </c>
      <c r="DU15" s="92">
        <v>0</v>
      </c>
      <c r="DZ15" s="139">
        <v>0</v>
      </c>
      <c r="EA15" s="139">
        <v>0</v>
      </c>
      <c r="EB15" s="139">
        <v>0</v>
      </c>
      <c r="EC15" s="139">
        <v>0</v>
      </c>
      <c r="ED15" s="139">
        <v>0</v>
      </c>
      <c r="EE15" s="139">
        <v>0</v>
      </c>
      <c r="EF15" s="143">
        <v>0</v>
      </c>
      <c r="EG15" s="143">
        <v>0</v>
      </c>
      <c r="EH15" s="143">
        <v>0</v>
      </c>
      <c r="EI15" s="143">
        <v>0</v>
      </c>
    </row>
    <row r="16" spans="1:249">
      <c r="A16" s="175">
        <v>2002</v>
      </c>
      <c r="B16" s="92" t="s">
        <v>330</v>
      </c>
      <c r="C16" s="176">
        <v>227</v>
      </c>
      <c r="D16" s="176">
        <v>869</v>
      </c>
      <c r="E16" s="177">
        <v>0</v>
      </c>
      <c r="F16" s="176">
        <v>0</v>
      </c>
      <c r="G16" s="178">
        <v>107152.6642403931</v>
      </c>
      <c r="H16" s="176">
        <v>193.94774859287119</v>
      </c>
      <c r="I16" s="176">
        <v>0</v>
      </c>
      <c r="J16" s="176">
        <v>0</v>
      </c>
      <c r="K16" s="178">
        <v>150</v>
      </c>
      <c r="L16" s="176">
        <v>0</v>
      </c>
      <c r="M16" s="137">
        <v>89</v>
      </c>
      <c r="N16" s="137">
        <v>63</v>
      </c>
      <c r="O16" s="137">
        <v>60</v>
      </c>
      <c r="P16" s="137">
        <v>59</v>
      </c>
      <c r="Q16" s="137">
        <v>58</v>
      </c>
      <c r="R16" s="137">
        <v>54</v>
      </c>
      <c r="S16" s="137"/>
      <c r="T16" s="137"/>
      <c r="U16" s="137"/>
      <c r="V16" s="137"/>
      <c r="W16" s="137"/>
      <c r="X16" s="137">
        <v>60</v>
      </c>
      <c r="Y16" s="137"/>
      <c r="Z16" s="137">
        <v>90</v>
      </c>
      <c r="AA16" s="137">
        <v>0</v>
      </c>
      <c r="AB16" s="176"/>
      <c r="AC16" s="176">
        <v>0</v>
      </c>
      <c r="AE16" s="179">
        <v>30</v>
      </c>
      <c r="AF16" s="179">
        <v>0</v>
      </c>
      <c r="AG16" s="179">
        <v>34179</v>
      </c>
      <c r="AH16" s="179">
        <v>22.855957017543854</v>
      </c>
      <c r="AJ16" s="178">
        <v>227</v>
      </c>
      <c r="AK16" s="176"/>
      <c r="AL16" s="176"/>
      <c r="AM16" s="176"/>
      <c r="AN16" s="176">
        <v>1</v>
      </c>
      <c r="AO16" s="176"/>
      <c r="AP16" s="176"/>
      <c r="AQ16" s="176">
        <v>273</v>
      </c>
      <c r="AR16" s="176">
        <v>0</v>
      </c>
      <c r="AS16" s="176">
        <v>0</v>
      </c>
      <c r="AT16" s="178">
        <v>1</v>
      </c>
      <c r="AU16" s="176"/>
      <c r="AV16" s="178">
        <v>3</v>
      </c>
      <c r="AW16" s="177"/>
      <c r="AX16" s="176">
        <v>0</v>
      </c>
      <c r="AY16" s="176"/>
      <c r="AZ16" s="178">
        <v>0</v>
      </c>
      <c r="BA16" s="176"/>
      <c r="BB16" s="176">
        <v>0</v>
      </c>
      <c r="BC16" s="176">
        <v>0</v>
      </c>
      <c r="BD16" s="180" t="s">
        <v>214</v>
      </c>
      <c r="BE16" s="176"/>
      <c r="BF16" s="178">
        <v>509</v>
      </c>
      <c r="BG16" s="176">
        <v>322</v>
      </c>
      <c r="BJ16" s="176"/>
      <c r="BL16" s="176"/>
      <c r="BM16" s="176"/>
      <c r="BN16" s="176"/>
      <c r="BO16" s="176">
        <v>0</v>
      </c>
      <c r="BP16" s="176">
        <v>75909.895234882017</v>
      </c>
      <c r="BQ16" s="176"/>
      <c r="BR16" s="176"/>
      <c r="BS16" s="176"/>
      <c r="BT16" s="176"/>
      <c r="BU16" s="176"/>
      <c r="BV16" s="176"/>
      <c r="BW16" s="178">
        <v>0</v>
      </c>
      <c r="BX16" s="178">
        <v>1423.02</v>
      </c>
      <c r="BY16" s="92">
        <v>8900</v>
      </c>
      <c r="BZ16" s="92">
        <v>7607</v>
      </c>
      <c r="CA16" s="92">
        <v>22882.722802290333</v>
      </c>
      <c r="CB16" s="176"/>
      <c r="CC16" s="92">
        <v>2747</v>
      </c>
      <c r="CD16" s="92">
        <v>0</v>
      </c>
      <c r="CE16" s="178"/>
      <c r="CF16" s="178"/>
      <c r="CG16" s="178"/>
      <c r="CH16" s="178"/>
      <c r="CI16" s="178"/>
      <c r="CJ16" s="176">
        <v>0</v>
      </c>
      <c r="CK16" s="176">
        <v>0</v>
      </c>
      <c r="CN16" s="92"/>
      <c r="CQ16" s="232">
        <v>509</v>
      </c>
      <c r="CR16" s="232">
        <v>229.4</v>
      </c>
      <c r="CS16" s="176">
        <v>15</v>
      </c>
      <c r="CT16" s="92">
        <v>869</v>
      </c>
      <c r="CU16" s="92">
        <v>0</v>
      </c>
      <c r="CV16" s="92">
        <v>0</v>
      </c>
      <c r="CW16" s="92">
        <v>0</v>
      </c>
      <c r="DE16" s="92">
        <v>473</v>
      </c>
      <c r="DF16" s="135">
        <v>0</v>
      </c>
      <c r="DG16" s="92" t="s">
        <v>210</v>
      </c>
      <c r="DH16" s="92">
        <v>1</v>
      </c>
      <c r="DI16" s="92">
        <v>47.991543340380552</v>
      </c>
      <c r="DJ16" s="92">
        <v>10.263157894736842</v>
      </c>
      <c r="DK16" s="92">
        <v>11.368421052631579</v>
      </c>
      <c r="DL16" s="92">
        <v>8.3684210526315788</v>
      </c>
      <c r="DM16" s="92">
        <v>11895</v>
      </c>
      <c r="DN16" s="92">
        <v>12744</v>
      </c>
      <c r="DO16" s="92">
        <v>9540</v>
      </c>
      <c r="DP16" s="92">
        <v>0</v>
      </c>
      <c r="DQ16" s="92">
        <v>0</v>
      </c>
      <c r="DR16" s="92">
        <v>0</v>
      </c>
      <c r="DS16" s="92">
        <v>7.9543464912280681</v>
      </c>
      <c r="DT16" s="92">
        <v>8.5220842105263124</v>
      </c>
      <c r="DU16" s="92">
        <v>6.3795263157894722</v>
      </c>
      <c r="DZ16" s="139">
        <v>41</v>
      </c>
      <c r="EA16" s="139">
        <v>383</v>
      </c>
      <c r="EB16" s="139">
        <v>80</v>
      </c>
      <c r="EC16" s="139">
        <v>54</v>
      </c>
      <c r="ED16" s="139">
        <v>7</v>
      </c>
      <c r="EE16" s="139">
        <v>7</v>
      </c>
      <c r="EF16" s="143">
        <v>30</v>
      </c>
      <c r="EG16" s="143">
        <v>34</v>
      </c>
      <c r="EH16" s="143">
        <v>128</v>
      </c>
      <c r="EI16" s="143">
        <v>139</v>
      </c>
    </row>
    <row r="17" spans="1:139">
      <c r="A17" s="175">
        <v>2079</v>
      </c>
      <c r="B17" s="92" t="s">
        <v>331</v>
      </c>
      <c r="C17" s="176">
        <v>14</v>
      </c>
      <c r="D17" s="176">
        <v>89</v>
      </c>
      <c r="E17" s="177">
        <v>0</v>
      </c>
      <c r="F17" s="176">
        <v>0</v>
      </c>
      <c r="G17" s="178">
        <v>25619.787153475296</v>
      </c>
      <c r="H17" s="176">
        <v>55.853539651837544</v>
      </c>
      <c r="I17" s="176">
        <v>0</v>
      </c>
      <c r="J17" s="176">
        <v>0</v>
      </c>
      <c r="K17" s="178">
        <v>85</v>
      </c>
      <c r="L17" s="176">
        <v>0</v>
      </c>
      <c r="M17" s="137">
        <v>59</v>
      </c>
      <c r="N17" s="137">
        <v>56</v>
      </c>
      <c r="O17" s="137">
        <v>63</v>
      </c>
      <c r="P17" s="137">
        <v>77</v>
      </c>
      <c r="Q17" s="137">
        <v>59</v>
      </c>
      <c r="R17" s="137">
        <v>62</v>
      </c>
      <c r="S17" s="137"/>
      <c r="T17" s="137"/>
      <c r="U17" s="137"/>
      <c r="V17" s="137"/>
      <c r="W17" s="137"/>
      <c r="X17" s="137">
        <v>81</v>
      </c>
      <c r="Y17" s="137"/>
      <c r="Z17" s="137">
        <v>60</v>
      </c>
      <c r="AA17" s="137">
        <v>0</v>
      </c>
      <c r="AB17" s="176"/>
      <c r="AC17" s="176">
        <v>0</v>
      </c>
      <c r="AE17" s="179">
        <v>30</v>
      </c>
      <c r="AF17" s="179">
        <v>146.94736842105263</v>
      </c>
      <c r="AG17" s="179">
        <v>41880</v>
      </c>
      <c r="AH17" s="179">
        <v>9.1382894736842104</v>
      </c>
      <c r="AJ17" s="178">
        <v>14</v>
      </c>
      <c r="AK17" s="176"/>
      <c r="AL17" s="176"/>
      <c r="AM17" s="176"/>
      <c r="AO17" s="176"/>
      <c r="AP17" s="176"/>
      <c r="AQ17" s="176">
        <v>18</v>
      </c>
      <c r="AR17" s="176">
        <v>0</v>
      </c>
      <c r="AS17" s="176">
        <v>0</v>
      </c>
      <c r="AT17" s="178">
        <v>1</v>
      </c>
      <c r="AU17" s="176"/>
      <c r="AV17" s="178">
        <v>1</v>
      </c>
      <c r="AW17" s="177"/>
      <c r="AX17" s="176">
        <v>0</v>
      </c>
      <c r="AY17" s="176"/>
      <c r="AZ17" s="178">
        <v>0</v>
      </c>
      <c r="BA17" s="176"/>
      <c r="BB17" s="176">
        <v>0</v>
      </c>
      <c r="BC17" s="176">
        <v>0</v>
      </c>
      <c r="BD17" s="180" t="s">
        <v>597</v>
      </c>
      <c r="BE17" s="176"/>
      <c r="BF17" s="178">
        <v>0</v>
      </c>
      <c r="BG17" s="176">
        <v>0</v>
      </c>
      <c r="BJ17" s="176"/>
      <c r="BL17" s="176"/>
      <c r="BM17" s="176"/>
      <c r="BN17" s="176"/>
      <c r="BO17" s="176">
        <v>0</v>
      </c>
      <c r="BP17" s="176">
        <v>0</v>
      </c>
      <c r="BQ17" s="176"/>
      <c r="BR17" s="176"/>
      <c r="BS17" s="176"/>
      <c r="BT17" s="176"/>
      <c r="BU17" s="176"/>
      <c r="BV17" s="176"/>
      <c r="BW17" s="178">
        <v>0</v>
      </c>
      <c r="BX17" s="178">
        <v>0</v>
      </c>
      <c r="BY17" s="92">
        <v>3556</v>
      </c>
      <c r="BZ17" s="92">
        <v>3114</v>
      </c>
      <c r="CA17" s="92">
        <v>0</v>
      </c>
      <c r="CB17" s="176"/>
      <c r="CC17" s="92">
        <v>2272</v>
      </c>
      <c r="CD17" s="92">
        <v>0</v>
      </c>
      <c r="CE17" s="178"/>
      <c r="CF17" s="178"/>
      <c r="CG17" s="178"/>
      <c r="CH17" s="178"/>
      <c r="CI17" s="178"/>
      <c r="CJ17" s="176">
        <v>0</v>
      </c>
      <c r="CK17" s="176">
        <v>0</v>
      </c>
      <c r="CN17" s="92"/>
      <c r="CQ17" s="232">
        <v>484.6</v>
      </c>
      <c r="CR17" s="232">
        <v>14.6</v>
      </c>
      <c r="CS17" s="176">
        <v>8.85</v>
      </c>
      <c r="CT17" s="92">
        <v>0</v>
      </c>
      <c r="CU17" s="92">
        <v>0</v>
      </c>
      <c r="CV17" s="92">
        <v>0</v>
      </c>
      <c r="CW17" s="92">
        <v>0</v>
      </c>
      <c r="CY17" s="92">
        <v>1</v>
      </c>
      <c r="DE17" s="92">
        <v>436</v>
      </c>
      <c r="DF17" s="135">
        <v>0</v>
      </c>
      <c r="DG17" s="92" t="s">
        <v>210</v>
      </c>
      <c r="DH17" s="92">
        <v>1</v>
      </c>
      <c r="DI17" s="92">
        <v>3.2110091743119269</v>
      </c>
      <c r="DJ17" s="92">
        <v>10.263157894736842</v>
      </c>
      <c r="DK17" s="92">
        <v>11.368421052631579</v>
      </c>
      <c r="DL17" s="92">
        <v>8.3684210526315788</v>
      </c>
      <c r="DM17" s="92">
        <v>11505</v>
      </c>
      <c r="DN17" s="92">
        <v>17496</v>
      </c>
      <c r="DO17" s="92">
        <v>12879</v>
      </c>
      <c r="DP17" s="92">
        <v>40.368421052631582</v>
      </c>
      <c r="DQ17" s="92">
        <v>61.389473684210529</v>
      </c>
      <c r="DR17" s="92">
        <v>45.189473684210526</v>
      </c>
      <c r="DS17" s="92">
        <v>2.5104111842105263</v>
      </c>
      <c r="DT17" s="92">
        <v>3.817657894736842</v>
      </c>
      <c r="DU17" s="92">
        <v>2.8102203947368416</v>
      </c>
      <c r="DZ17" s="139">
        <v>9</v>
      </c>
      <c r="EA17" s="139">
        <v>376</v>
      </c>
      <c r="EB17" s="139">
        <v>0</v>
      </c>
      <c r="EC17" s="139">
        <v>0</v>
      </c>
      <c r="ED17" s="139">
        <v>0</v>
      </c>
      <c r="EE17" s="139">
        <v>0</v>
      </c>
      <c r="EF17" s="143">
        <v>0</v>
      </c>
      <c r="EG17" s="143">
        <v>8</v>
      </c>
      <c r="EH17" s="143">
        <v>8</v>
      </c>
      <c r="EI17" s="143">
        <v>33</v>
      </c>
    </row>
    <row r="18" spans="1:139">
      <c r="A18" s="175">
        <v>2003</v>
      </c>
      <c r="B18" s="92" t="s">
        <v>332</v>
      </c>
      <c r="C18" s="176">
        <v>131</v>
      </c>
      <c r="D18" s="176">
        <v>835</v>
      </c>
      <c r="E18" s="177">
        <v>0</v>
      </c>
      <c r="F18" s="176">
        <v>67</v>
      </c>
      <c r="G18" s="178">
        <v>81923.080027727789</v>
      </c>
      <c r="H18" s="176">
        <v>86.281140142517799</v>
      </c>
      <c r="I18" s="176">
        <v>0</v>
      </c>
      <c r="J18" s="176">
        <v>0</v>
      </c>
      <c r="K18" s="178">
        <v>125</v>
      </c>
      <c r="L18" s="176">
        <v>0</v>
      </c>
      <c r="M18" s="137">
        <v>49</v>
      </c>
      <c r="N18" s="137">
        <v>57</v>
      </c>
      <c r="O18" s="137">
        <v>55</v>
      </c>
      <c r="P18" s="137">
        <v>52</v>
      </c>
      <c r="Q18" s="137">
        <v>49</v>
      </c>
      <c r="R18" s="137">
        <v>50</v>
      </c>
      <c r="S18" s="137"/>
      <c r="T18" s="137"/>
      <c r="U18" s="137"/>
      <c r="V18" s="137"/>
      <c r="W18" s="137"/>
      <c r="X18" s="137">
        <v>52</v>
      </c>
      <c r="Y18" s="137"/>
      <c r="Z18" s="137">
        <v>57</v>
      </c>
      <c r="AA18" s="137">
        <v>0</v>
      </c>
      <c r="AB18" s="176"/>
      <c r="AC18" s="176">
        <v>0</v>
      </c>
      <c r="AE18" s="179">
        <v>30</v>
      </c>
      <c r="AF18" s="179">
        <v>0</v>
      </c>
      <c r="AG18" s="179">
        <v>28149</v>
      </c>
      <c r="AH18" s="179">
        <v>10.932308565531478</v>
      </c>
      <c r="AJ18" s="178">
        <v>131</v>
      </c>
      <c r="AK18" s="176"/>
      <c r="AL18" s="176"/>
      <c r="AM18" s="176"/>
      <c r="AO18" s="176"/>
      <c r="AP18" s="176"/>
      <c r="AQ18" s="176">
        <v>161</v>
      </c>
      <c r="AR18" s="176">
        <v>0</v>
      </c>
      <c r="AS18" s="176">
        <v>0</v>
      </c>
      <c r="AT18" s="178">
        <v>1</v>
      </c>
      <c r="AU18" s="176"/>
      <c r="AV18" s="178">
        <v>1</v>
      </c>
      <c r="AW18" s="177"/>
      <c r="AX18" s="176">
        <v>0</v>
      </c>
      <c r="AY18" s="176"/>
      <c r="AZ18" s="178">
        <v>0</v>
      </c>
      <c r="BA18" s="176"/>
      <c r="BB18" s="176">
        <v>0</v>
      </c>
      <c r="BC18" s="176">
        <v>0</v>
      </c>
      <c r="BD18" s="180" t="s">
        <v>214</v>
      </c>
      <c r="BE18" s="176"/>
      <c r="BF18" s="178">
        <v>400.2</v>
      </c>
      <c r="BG18" s="176">
        <v>214</v>
      </c>
      <c r="BJ18" s="176"/>
      <c r="BL18" s="176"/>
      <c r="BM18" s="176"/>
      <c r="BN18" s="176"/>
      <c r="BO18" s="176">
        <v>1</v>
      </c>
      <c r="BP18" s="176">
        <v>83401.517513885148</v>
      </c>
      <c r="BQ18" s="176"/>
      <c r="BR18" s="176"/>
      <c r="BS18" s="176"/>
      <c r="BT18" s="176"/>
      <c r="BU18" s="176"/>
      <c r="BV18" s="176"/>
      <c r="BW18" s="178">
        <v>0</v>
      </c>
      <c r="BX18" s="178">
        <v>1304.44</v>
      </c>
      <c r="BY18" s="92">
        <v>7400</v>
      </c>
      <c r="BZ18" s="92">
        <v>4328</v>
      </c>
      <c r="CA18" s="92">
        <v>18528.7240867113</v>
      </c>
      <c r="CB18" s="176"/>
      <c r="CC18" s="92">
        <v>2198</v>
      </c>
      <c r="CD18" s="92">
        <v>0</v>
      </c>
      <c r="CE18" s="178"/>
      <c r="CF18" s="178"/>
      <c r="CG18" s="178"/>
      <c r="CH18" s="178"/>
      <c r="CI18" s="178"/>
      <c r="CJ18" s="176">
        <v>0</v>
      </c>
      <c r="CK18" s="176">
        <v>0</v>
      </c>
      <c r="CN18" s="92"/>
      <c r="CQ18" s="232">
        <v>400.2</v>
      </c>
      <c r="CR18" s="232">
        <v>131</v>
      </c>
      <c r="CS18" s="176">
        <v>23.03</v>
      </c>
      <c r="CT18" s="92">
        <v>835</v>
      </c>
      <c r="CU18" s="92">
        <v>0</v>
      </c>
      <c r="CV18" s="92">
        <v>0</v>
      </c>
      <c r="CW18" s="92">
        <v>0</v>
      </c>
      <c r="DE18" s="92">
        <v>369</v>
      </c>
      <c r="DF18" s="135">
        <v>0</v>
      </c>
      <c r="DG18" s="92" t="s">
        <v>210</v>
      </c>
      <c r="DH18" s="92">
        <v>1</v>
      </c>
      <c r="DI18" s="92">
        <v>35.501355013550132</v>
      </c>
      <c r="DJ18" s="92">
        <v>10.263157894736842</v>
      </c>
      <c r="DK18" s="92">
        <v>11.368421052631579</v>
      </c>
      <c r="DL18" s="92">
        <v>8.3684210526315788</v>
      </c>
      <c r="DM18" s="92">
        <v>9945</v>
      </c>
      <c r="DN18" s="92">
        <v>9936</v>
      </c>
      <c r="DO18" s="92">
        <v>8268</v>
      </c>
      <c r="DP18" s="92">
        <v>0</v>
      </c>
      <c r="DQ18" s="92">
        <v>0</v>
      </c>
      <c r="DR18" s="92">
        <v>0</v>
      </c>
      <c r="DS18" s="92">
        <v>3.8623684210526328</v>
      </c>
      <c r="DT18" s="92">
        <v>3.8588730650154806</v>
      </c>
      <c r="DU18" s="92">
        <v>3.2110670794633656</v>
      </c>
      <c r="DZ18" s="139">
        <v>67</v>
      </c>
      <c r="EA18" s="139">
        <v>312</v>
      </c>
      <c r="EB18" s="139">
        <v>37</v>
      </c>
      <c r="EC18" s="139">
        <v>54</v>
      </c>
      <c r="ED18" s="139">
        <v>13</v>
      </c>
      <c r="EE18" s="139">
        <v>10</v>
      </c>
      <c r="EF18" s="143">
        <v>22</v>
      </c>
      <c r="EG18" s="143">
        <v>88</v>
      </c>
      <c r="EH18" s="143">
        <v>76</v>
      </c>
      <c r="EI18" s="143">
        <v>101</v>
      </c>
    </row>
    <row r="19" spans="1:139">
      <c r="A19" s="175">
        <v>3511</v>
      </c>
      <c r="B19" s="92" t="s">
        <v>40</v>
      </c>
      <c r="C19" s="176">
        <v>53</v>
      </c>
      <c r="D19" s="176">
        <v>245</v>
      </c>
      <c r="E19" s="177">
        <v>0</v>
      </c>
      <c r="F19" s="176">
        <v>0</v>
      </c>
      <c r="G19" s="178">
        <v>50501.556338621958</v>
      </c>
      <c r="H19" s="176">
        <v>100.10819277108422</v>
      </c>
      <c r="I19" s="176">
        <v>0</v>
      </c>
      <c r="J19" s="176">
        <v>0</v>
      </c>
      <c r="K19" s="178">
        <v>145</v>
      </c>
      <c r="L19" s="176">
        <v>0</v>
      </c>
      <c r="M19" s="137">
        <v>30</v>
      </c>
      <c r="N19" s="137">
        <v>30</v>
      </c>
      <c r="O19" s="137">
        <v>30</v>
      </c>
      <c r="P19" s="137">
        <v>23</v>
      </c>
      <c r="Q19" s="137">
        <v>29</v>
      </c>
      <c r="R19" s="137">
        <v>27</v>
      </c>
      <c r="S19" s="137"/>
      <c r="T19" s="137"/>
      <c r="U19" s="137"/>
      <c r="V19" s="137"/>
      <c r="W19" s="137"/>
      <c r="X19" s="137">
        <v>26</v>
      </c>
      <c r="Y19" s="137"/>
      <c r="Z19" s="137">
        <v>54</v>
      </c>
      <c r="AA19" s="137">
        <v>0</v>
      </c>
      <c r="AB19" s="176"/>
      <c r="AC19" s="176">
        <v>0</v>
      </c>
      <c r="AE19" s="179">
        <v>24.557894736842101</v>
      </c>
      <c r="AF19" s="179">
        <v>0</v>
      </c>
      <c r="AG19" s="179">
        <v>13998</v>
      </c>
      <c r="AH19" s="179">
        <v>12.505635627530362</v>
      </c>
      <c r="AJ19" s="178">
        <v>53</v>
      </c>
      <c r="AK19" s="176"/>
      <c r="AL19" s="176"/>
      <c r="AM19" s="176"/>
      <c r="AO19" s="176"/>
      <c r="AP19" s="176"/>
      <c r="AQ19" s="176">
        <v>72</v>
      </c>
      <c r="AR19" s="176">
        <v>0</v>
      </c>
      <c r="AS19" s="176">
        <v>0</v>
      </c>
      <c r="AT19" s="178">
        <v>1</v>
      </c>
      <c r="AU19" s="176"/>
      <c r="AV19" s="178">
        <v>3</v>
      </c>
      <c r="AW19" s="177"/>
      <c r="AX19" s="176">
        <v>0</v>
      </c>
      <c r="AY19" s="176"/>
      <c r="AZ19" s="178">
        <v>1</v>
      </c>
      <c r="BA19" s="176"/>
      <c r="BB19" s="176">
        <v>0</v>
      </c>
      <c r="BC19" s="176">
        <v>0</v>
      </c>
      <c r="BD19" s="180" t="s">
        <v>597</v>
      </c>
      <c r="BE19" s="176"/>
      <c r="BF19" s="178">
        <v>0</v>
      </c>
      <c r="BG19" s="176">
        <v>152</v>
      </c>
      <c r="BJ19" s="176"/>
      <c r="BL19" s="176"/>
      <c r="BM19" s="176"/>
      <c r="BN19" s="176"/>
      <c r="BO19" s="176">
        <v>0</v>
      </c>
      <c r="BP19" s="176">
        <v>0</v>
      </c>
      <c r="BQ19" s="176"/>
      <c r="BR19" s="176"/>
      <c r="BS19" s="176"/>
      <c r="BT19" s="176"/>
      <c r="BU19" s="176"/>
      <c r="BV19" s="176"/>
      <c r="BW19" s="178">
        <v>0</v>
      </c>
      <c r="BX19" s="178">
        <v>1264.9100000000001</v>
      </c>
      <c r="BY19" s="92">
        <v>4249</v>
      </c>
      <c r="BZ19" s="92">
        <v>3326</v>
      </c>
      <c r="CA19" s="92">
        <v>0</v>
      </c>
      <c r="CB19" s="176"/>
      <c r="CC19" s="92">
        <v>1337.5</v>
      </c>
      <c r="CD19" s="92">
        <v>0</v>
      </c>
      <c r="CE19" s="178"/>
      <c r="CF19" s="178"/>
      <c r="CG19" s="178"/>
      <c r="CH19" s="178"/>
      <c r="CI19" s="178"/>
      <c r="CJ19" s="176">
        <v>0</v>
      </c>
      <c r="CK19" s="176">
        <v>0</v>
      </c>
      <c r="CN19" s="92"/>
      <c r="CQ19" s="232">
        <v>238.6</v>
      </c>
      <c r="CR19" s="232">
        <v>53</v>
      </c>
      <c r="CS19" s="176">
        <v>5.98</v>
      </c>
      <c r="CT19" s="92">
        <v>245</v>
      </c>
      <c r="CU19" s="92">
        <v>0</v>
      </c>
      <c r="CV19" s="92">
        <v>0</v>
      </c>
      <c r="CW19" s="92">
        <v>0</v>
      </c>
      <c r="DE19" s="92">
        <v>223</v>
      </c>
      <c r="DF19" s="135">
        <v>0</v>
      </c>
      <c r="DG19" s="92" t="s">
        <v>210</v>
      </c>
      <c r="DH19" s="92">
        <v>1</v>
      </c>
      <c r="DI19" s="92">
        <v>23.766816143497756</v>
      </c>
      <c r="DJ19" s="92">
        <v>8.2105263157894743</v>
      </c>
      <c r="DK19" s="92">
        <v>9.094736842105263</v>
      </c>
      <c r="DL19" s="92">
        <v>7.2526315789473674</v>
      </c>
      <c r="DM19" s="92">
        <v>4680</v>
      </c>
      <c r="DN19" s="92">
        <v>5184</v>
      </c>
      <c r="DO19" s="92">
        <v>4134</v>
      </c>
      <c r="DP19" s="92">
        <v>0</v>
      </c>
      <c r="DQ19" s="92">
        <v>0</v>
      </c>
      <c r="DR19" s="92">
        <v>0</v>
      </c>
      <c r="DS19" s="92">
        <v>4.1810526315789467</v>
      </c>
      <c r="DT19" s="92">
        <v>4.6313198380566796</v>
      </c>
      <c r="DU19" s="92">
        <v>3.6932631578947359</v>
      </c>
      <c r="DZ19" s="139">
        <v>12</v>
      </c>
      <c r="EA19" s="139">
        <v>169</v>
      </c>
      <c r="EB19" s="139">
        <v>26</v>
      </c>
      <c r="EC19" s="139">
        <v>53</v>
      </c>
      <c r="ED19" s="139">
        <v>3</v>
      </c>
      <c r="EE19" s="139">
        <v>12</v>
      </c>
      <c r="EF19" s="143">
        <v>2</v>
      </c>
      <c r="EG19" s="143">
        <v>14</v>
      </c>
      <c r="EH19" s="143">
        <v>30</v>
      </c>
      <c r="EI19" s="143">
        <v>85</v>
      </c>
    </row>
    <row r="20" spans="1:139">
      <c r="A20" s="175">
        <v>3519</v>
      </c>
      <c r="B20" s="92" t="s">
        <v>41</v>
      </c>
      <c r="C20" s="176">
        <v>165</v>
      </c>
      <c r="D20" s="176">
        <v>774</v>
      </c>
      <c r="E20" s="177">
        <v>0</v>
      </c>
      <c r="F20" s="176">
        <v>0</v>
      </c>
      <c r="G20" s="178">
        <v>78005.375292487879</v>
      </c>
      <c r="H20" s="176">
        <v>171.05124555160188</v>
      </c>
      <c r="I20" s="176">
        <v>431553.96754444443</v>
      </c>
      <c r="J20" s="176">
        <v>0</v>
      </c>
      <c r="K20" s="178">
        <v>235</v>
      </c>
      <c r="L20" s="176">
        <v>0</v>
      </c>
      <c r="M20" s="137">
        <v>89</v>
      </c>
      <c r="N20" s="137">
        <v>65</v>
      </c>
      <c r="O20" s="137">
        <v>62</v>
      </c>
      <c r="P20" s="137">
        <v>57</v>
      </c>
      <c r="Q20" s="137">
        <v>61</v>
      </c>
      <c r="R20" s="137">
        <v>62</v>
      </c>
      <c r="S20" s="137"/>
      <c r="T20" s="137"/>
      <c r="U20" s="137"/>
      <c r="V20" s="137"/>
      <c r="W20" s="137"/>
      <c r="X20" s="137">
        <v>76</v>
      </c>
      <c r="Y20" s="137"/>
      <c r="Z20" s="137">
        <v>90</v>
      </c>
      <c r="AA20" s="137">
        <v>0</v>
      </c>
      <c r="AB20" s="176"/>
      <c r="AC20" s="176">
        <v>0</v>
      </c>
      <c r="AE20" s="179">
        <v>30</v>
      </c>
      <c r="AF20" s="179">
        <v>131.90526315789475</v>
      </c>
      <c r="AG20" s="179">
        <v>37593</v>
      </c>
      <c r="AH20" s="179">
        <v>24.776799431009934</v>
      </c>
      <c r="AJ20" s="178">
        <v>165</v>
      </c>
      <c r="AK20" s="176"/>
      <c r="AL20" s="176"/>
      <c r="AM20" s="176"/>
      <c r="AN20" s="176">
        <v>1</v>
      </c>
      <c r="AO20" s="176"/>
      <c r="AP20" s="176"/>
      <c r="AQ20" s="176">
        <v>220</v>
      </c>
      <c r="AR20" s="176">
        <v>1</v>
      </c>
      <c r="AS20" s="176">
        <v>0</v>
      </c>
      <c r="AT20" s="178">
        <v>1</v>
      </c>
      <c r="AU20" s="176"/>
      <c r="AV20" s="178">
        <v>2</v>
      </c>
      <c r="AW20" s="177"/>
      <c r="AX20" s="176">
        <v>0</v>
      </c>
      <c r="AY20" s="176"/>
      <c r="AZ20" s="178">
        <v>0</v>
      </c>
      <c r="BA20" s="176"/>
      <c r="BB20" s="176">
        <v>0</v>
      </c>
      <c r="BC20" s="176">
        <v>0</v>
      </c>
      <c r="BD20" s="180" t="s">
        <v>214</v>
      </c>
      <c r="BE20" s="176"/>
      <c r="BF20" s="178">
        <v>531.6</v>
      </c>
      <c r="BG20" s="176">
        <v>292</v>
      </c>
      <c r="BJ20" s="176"/>
      <c r="BL20" s="176"/>
      <c r="BM20" s="176"/>
      <c r="BN20" s="176"/>
      <c r="BO20" s="176">
        <v>3</v>
      </c>
      <c r="BP20" s="176">
        <v>45954.050722385386</v>
      </c>
      <c r="BQ20" s="176"/>
      <c r="BR20" s="176"/>
      <c r="BS20" s="176"/>
      <c r="BT20" s="176"/>
      <c r="BU20" s="176"/>
      <c r="BV20" s="176"/>
      <c r="BW20" s="178">
        <v>0</v>
      </c>
      <c r="BX20" s="178">
        <v>0</v>
      </c>
      <c r="BY20" s="92">
        <v>41697</v>
      </c>
      <c r="BZ20" s="92">
        <v>6665</v>
      </c>
      <c r="CA20" s="92">
        <v>25047</v>
      </c>
      <c r="CB20" s="176"/>
      <c r="CC20" s="92">
        <v>3369</v>
      </c>
      <c r="CD20" s="92">
        <v>0</v>
      </c>
      <c r="CE20" s="178"/>
      <c r="CF20" s="178"/>
      <c r="CG20" s="178"/>
      <c r="CH20" s="178"/>
      <c r="CI20" s="178"/>
      <c r="CJ20" s="176">
        <v>0</v>
      </c>
      <c r="CK20" s="176">
        <v>0</v>
      </c>
      <c r="CN20" s="92"/>
      <c r="CQ20" s="232">
        <v>531.6</v>
      </c>
      <c r="CR20" s="232">
        <v>175.8</v>
      </c>
      <c r="CS20" s="176">
        <v>11.97</v>
      </c>
      <c r="CT20" s="92">
        <v>774</v>
      </c>
      <c r="CU20" s="92">
        <v>0</v>
      </c>
      <c r="CV20" s="92">
        <v>0</v>
      </c>
      <c r="CW20" s="92">
        <v>0</v>
      </c>
      <c r="CY20" s="92">
        <v>1</v>
      </c>
      <c r="DE20" s="92">
        <v>486</v>
      </c>
      <c r="DF20" s="135">
        <v>0</v>
      </c>
      <c r="DG20" s="92" t="s">
        <v>210</v>
      </c>
      <c r="DH20" s="92">
        <v>1</v>
      </c>
      <c r="DI20" s="92">
        <v>33.950617283950621</v>
      </c>
      <c r="DJ20" s="92">
        <v>10.263157894736842</v>
      </c>
      <c r="DK20" s="92">
        <v>11.368421052631579</v>
      </c>
      <c r="DL20" s="92">
        <v>8.3684210526315788</v>
      </c>
      <c r="DM20" s="92">
        <v>13845</v>
      </c>
      <c r="DN20" s="92">
        <v>11664</v>
      </c>
      <c r="DO20" s="92">
        <v>12084</v>
      </c>
      <c r="DP20" s="92">
        <v>48.578947368421055</v>
      </c>
      <c r="DQ20" s="92">
        <v>40.926315789473684</v>
      </c>
      <c r="DR20" s="92">
        <v>42.4</v>
      </c>
      <c r="DS20" s="92">
        <v>9.1249644381223245</v>
      </c>
      <c r="DT20" s="92">
        <v>7.6875106685632941</v>
      </c>
      <c r="DU20" s="92">
        <v>7.9643243243243163</v>
      </c>
      <c r="DZ20" s="139">
        <v>66</v>
      </c>
      <c r="EA20" s="139">
        <v>396</v>
      </c>
      <c r="EB20" s="139">
        <v>45</v>
      </c>
      <c r="EC20" s="139">
        <v>75</v>
      </c>
      <c r="ED20" s="139">
        <v>24</v>
      </c>
      <c r="EE20" s="139">
        <v>10</v>
      </c>
      <c r="EF20" s="143">
        <v>24</v>
      </c>
      <c r="EG20" s="143">
        <v>56</v>
      </c>
      <c r="EH20" s="143">
        <v>90</v>
      </c>
      <c r="EI20" s="143">
        <v>112</v>
      </c>
    </row>
    <row r="21" spans="1:139">
      <c r="A21" s="175">
        <v>2008</v>
      </c>
      <c r="B21" s="92" t="s">
        <v>333</v>
      </c>
      <c r="C21" s="176">
        <v>34</v>
      </c>
      <c r="D21" s="176">
        <v>392</v>
      </c>
      <c r="E21" s="177">
        <v>0</v>
      </c>
      <c r="F21" s="176">
        <v>0</v>
      </c>
      <c r="G21" s="178">
        <v>30383.968950888226</v>
      </c>
      <c r="H21" s="176">
        <v>29.18012422360248</v>
      </c>
      <c r="I21" s="176">
        <v>0</v>
      </c>
      <c r="J21" s="176">
        <v>0</v>
      </c>
      <c r="K21" s="178">
        <v>100</v>
      </c>
      <c r="L21" s="176">
        <v>0</v>
      </c>
      <c r="M21" s="137">
        <v>90</v>
      </c>
      <c r="N21" s="137">
        <v>90</v>
      </c>
      <c r="O21" s="137">
        <v>0</v>
      </c>
      <c r="P21" s="137">
        <v>0</v>
      </c>
      <c r="Q21" s="137">
        <v>0</v>
      </c>
      <c r="R21" s="137">
        <v>0</v>
      </c>
      <c r="S21" s="137"/>
      <c r="T21" s="137"/>
      <c r="U21" s="137"/>
      <c r="V21" s="137"/>
      <c r="W21" s="137"/>
      <c r="X21" s="137">
        <v>52</v>
      </c>
      <c r="Y21" s="137"/>
      <c r="Z21" s="137">
        <v>90</v>
      </c>
      <c r="AA21" s="137">
        <v>0</v>
      </c>
      <c r="AB21" s="176"/>
      <c r="AC21" s="176">
        <v>0</v>
      </c>
      <c r="AE21" s="179">
        <v>30</v>
      </c>
      <c r="AF21" s="179">
        <v>103.2421052631579</v>
      </c>
      <c r="AG21" s="179">
        <v>29424</v>
      </c>
      <c r="AH21" s="179">
        <v>5.6479504643962848</v>
      </c>
      <c r="AJ21" s="178">
        <v>34</v>
      </c>
      <c r="AK21" s="176"/>
      <c r="AL21" s="176"/>
      <c r="AM21" s="176"/>
      <c r="AO21" s="176"/>
      <c r="AP21" s="176"/>
      <c r="AQ21" s="176">
        <v>35</v>
      </c>
      <c r="AR21" s="176">
        <v>0</v>
      </c>
      <c r="AS21" s="176">
        <v>0</v>
      </c>
      <c r="AT21" s="178">
        <v>1</v>
      </c>
      <c r="AU21" s="176"/>
      <c r="AV21" s="178">
        <v>0</v>
      </c>
      <c r="AW21" s="177"/>
      <c r="AX21" s="176">
        <v>0</v>
      </c>
      <c r="AY21" s="176"/>
      <c r="AZ21" s="178">
        <v>0</v>
      </c>
      <c r="BA21" s="176"/>
      <c r="BB21" s="176">
        <v>0</v>
      </c>
      <c r="BC21" s="176">
        <v>0</v>
      </c>
      <c r="BD21" s="180" t="s">
        <v>214</v>
      </c>
      <c r="BE21" s="176"/>
      <c r="BF21" s="178">
        <v>301.2</v>
      </c>
      <c r="BG21" s="176">
        <v>33</v>
      </c>
      <c r="BJ21" s="176"/>
      <c r="BL21" s="176"/>
      <c r="BM21" s="176"/>
      <c r="BN21" s="176"/>
      <c r="BO21" s="176">
        <v>0</v>
      </c>
      <c r="BP21" s="176">
        <v>0</v>
      </c>
      <c r="BQ21" s="176"/>
      <c r="BR21" s="176"/>
      <c r="BS21" s="176"/>
      <c r="BT21" s="176"/>
      <c r="BU21" s="176"/>
      <c r="BV21" s="176"/>
      <c r="BW21" s="178">
        <v>0</v>
      </c>
      <c r="BX21" s="178">
        <v>632.46</v>
      </c>
      <c r="BY21" s="92">
        <v>9226.2348003873885</v>
      </c>
      <c r="BZ21" s="92">
        <v>2522</v>
      </c>
      <c r="CA21" s="92">
        <v>15535</v>
      </c>
      <c r="CB21" s="176"/>
      <c r="CC21" s="92">
        <v>1735</v>
      </c>
      <c r="CD21" s="92">
        <v>0</v>
      </c>
      <c r="CE21" s="178"/>
      <c r="CF21" s="178"/>
      <c r="CG21" s="178"/>
      <c r="CH21" s="178"/>
      <c r="CI21" s="178"/>
      <c r="CJ21" s="176">
        <v>0</v>
      </c>
      <c r="CK21" s="176">
        <v>0</v>
      </c>
      <c r="CN21" s="92"/>
      <c r="CQ21" s="232">
        <v>301.2</v>
      </c>
      <c r="CR21" s="232">
        <v>34</v>
      </c>
      <c r="CS21" s="176">
        <v>8</v>
      </c>
      <c r="CT21" s="92">
        <v>392</v>
      </c>
      <c r="CU21" s="92">
        <v>0</v>
      </c>
      <c r="CV21" s="92">
        <v>0</v>
      </c>
      <c r="CW21" s="92">
        <v>0</v>
      </c>
      <c r="DE21" s="92">
        <v>270</v>
      </c>
      <c r="DF21" s="135">
        <v>0</v>
      </c>
      <c r="DG21" s="92" t="s">
        <v>280</v>
      </c>
      <c r="DH21" s="92">
        <v>1</v>
      </c>
      <c r="DI21" s="92">
        <v>12.592592592592592</v>
      </c>
      <c r="DJ21" s="92">
        <v>10.263157894736842</v>
      </c>
      <c r="DK21" s="92">
        <v>11.368421052631579</v>
      </c>
      <c r="DL21" s="92">
        <v>8.3684210526315788</v>
      </c>
      <c r="DM21" s="92">
        <v>10140</v>
      </c>
      <c r="DN21" s="92">
        <v>11016</v>
      </c>
      <c r="DO21" s="92">
        <v>8268</v>
      </c>
      <c r="DP21" s="92">
        <v>35.578947368421055</v>
      </c>
      <c r="DQ21" s="92">
        <v>38.652631578947364</v>
      </c>
      <c r="DR21" s="92">
        <v>29.01052631578947</v>
      </c>
      <c r="DS21" s="92">
        <v>1.9463777089783283</v>
      </c>
      <c r="DT21" s="92">
        <v>2.1145263157894738</v>
      </c>
      <c r="DU21" s="92">
        <v>1.5870464396284829</v>
      </c>
      <c r="DZ21" s="139">
        <v>17</v>
      </c>
      <c r="EA21" s="139">
        <v>180</v>
      </c>
      <c r="EB21" s="139">
        <v>5</v>
      </c>
      <c r="EC21" s="139">
        <v>8</v>
      </c>
      <c r="ED21" s="139">
        <v>1</v>
      </c>
      <c r="EE21" s="139">
        <v>7</v>
      </c>
      <c r="EF21" s="143">
        <v>0</v>
      </c>
      <c r="EG21" s="143">
        <v>26</v>
      </c>
      <c r="EH21" s="143">
        <v>54</v>
      </c>
      <c r="EI21" s="143">
        <v>126</v>
      </c>
    </row>
    <row r="22" spans="1:139">
      <c r="A22" s="175">
        <v>2007</v>
      </c>
      <c r="B22" s="92" t="s">
        <v>43</v>
      </c>
      <c r="C22" s="176">
        <v>27</v>
      </c>
      <c r="D22" s="176">
        <v>114</v>
      </c>
      <c r="E22" s="177">
        <v>0</v>
      </c>
      <c r="F22" s="176">
        <v>0</v>
      </c>
      <c r="G22" s="178">
        <v>40.833703703703698</v>
      </c>
      <c r="H22" s="176">
        <v>43.120000000000076</v>
      </c>
      <c r="I22" s="176">
        <v>0</v>
      </c>
      <c r="J22" s="176">
        <v>0</v>
      </c>
      <c r="K22" s="178">
        <v>175</v>
      </c>
      <c r="L22" s="176">
        <v>0</v>
      </c>
      <c r="M22" s="137">
        <v>0</v>
      </c>
      <c r="N22" s="137">
        <v>0</v>
      </c>
      <c r="O22" s="137">
        <v>90</v>
      </c>
      <c r="P22" s="137">
        <v>90</v>
      </c>
      <c r="Q22" s="137">
        <v>90</v>
      </c>
      <c r="R22" s="137">
        <v>90</v>
      </c>
      <c r="S22" s="137"/>
      <c r="T22" s="137"/>
      <c r="U22" s="137"/>
      <c r="V22" s="137"/>
      <c r="W22" s="137"/>
      <c r="X22" s="137">
        <v>0</v>
      </c>
      <c r="Y22" s="137"/>
      <c r="Z22" s="137">
        <v>0</v>
      </c>
      <c r="AA22" s="137">
        <v>0</v>
      </c>
      <c r="AB22" s="176"/>
      <c r="AC22" s="176">
        <v>0</v>
      </c>
      <c r="AE22" s="179">
        <v>0</v>
      </c>
      <c r="AF22" s="179">
        <v>0</v>
      </c>
      <c r="AG22" s="179">
        <v>0</v>
      </c>
      <c r="AH22" s="179">
        <v>0</v>
      </c>
      <c r="AJ22" s="178">
        <v>27</v>
      </c>
      <c r="AK22" s="176"/>
      <c r="AL22" s="176"/>
      <c r="AM22" s="176"/>
      <c r="AO22" s="176"/>
      <c r="AP22" s="176"/>
      <c r="AQ22" s="176">
        <v>47</v>
      </c>
      <c r="AR22" s="176">
        <v>0</v>
      </c>
      <c r="AS22" s="176">
        <v>0</v>
      </c>
      <c r="AT22" s="178">
        <v>1</v>
      </c>
      <c r="AU22" s="176"/>
      <c r="AV22" s="178">
        <v>1</v>
      </c>
      <c r="AW22" s="177"/>
      <c r="AX22" s="176">
        <v>0</v>
      </c>
      <c r="AY22" s="176"/>
      <c r="AZ22" s="178">
        <v>0</v>
      </c>
      <c r="BA22" s="176"/>
      <c r="BB22" s="176">
        <v>0</v>
      </c>
      <c r="BC22" s="176">
        <v>0</v>
      </c>
      <c r="BD22" s="180" t="s">
        <v>214</v>
      </c>
      <c r="BE22" s="176"/>
      <c r="BF22" s="178">
        <v>360</v>
      </c>
      <c r="BG22" s="176">
        <v>32</v>
      </c>
      <c r="BJ22" s="176"/>
      <c r="BL22" s="176"/>
      <c r="BM22" s="176"/>
      <c r="BN22" s="176"/>
      <c r="BO22" s="176">
        <v>0</v>
      </c>
      <c r="BP22" s="176">
        <v>0</v>
      </c>
      <c r="BQ22" s="176"/>
      <c r="BR22" s="176"/>
      <c r="BS22" s="176"/>
      <c r="BT22" s="176"/>
      <c r="BU22" s="176"/>
      <c r="BV22" s="176"/>
      <c r="BW22" s="178">
        <v>0</v>
      </c>
      <c r="BX22" s="178">
        <v>632.45000000000005</v>
      </c>
      <c r="BY22" s="92">
        <v>20312.765199612611</v>
      </c>
      <c r="BZ22" s="92">
        <v>3134</v>
      </c>
      <c r="CA22" s="92">
        <v>15535</v>
      </c>
      <c r="CB22" s="176"/>
      <c r="CC22" s="92">
        <v>1815.93</v>
      </c>
      <c r="CD22" s="92">
        <v>1</v>
      </c>
      <c r="CE22" s="178"/>
      <c r="CF22" s="178"/>
      <c r="CG22" s="178"/>
      <c r="CH22" s="178"/>
      <c r="CI22" s="178"/>
      <c r="CJ22" s="176">
        <v>0</v>
      </c>
      <c r="CK22" s="176">
        <v>0</v>
      </c>
      <c r="CN22" s="92"/>
      <c r="CQ22" s="232">
        <v>360</v>
      </c>
      <c r="CR22" s="232">
        <v>27</v>
      </c>
      <c r="CS22" s="176">
        <v>5.34</v>
      </c>
      <c r="CT22" s="92">
        <v>114</v>
      </c>
      <c r="CU22" s="92">
        <v>0</v>
      </c>
      <c r="CV22" s="92">
        <v>0</v>
      </c>
      <c r="CW22" s="92">
        <v>0</v>
      </c>
      <c r="DE22" s="92">
        <v>360</v>
      </c>
      <c r="DF22" s="135">
        <v>0</v>
      </c>
      <c r="DG22" s="92" t="s">
        <v>279</v>
      </c>
      <c r="DH22" s="92">
        <v>1</v>
      </c>
      <c r="DI22" s="92">
        <v>7.5</v>
      </c>
      <c r="DJ22" s="92">
        <v>0</v>
      </c>
      <c r="DK22" s="92">
        <v>0</v>
      </c>
      <c r="DL22" s="92">
        <v>0</v>
      </c>
      <c r="DM22" s="92">
        <v>0</v>
      </c>
      <c r="DN22" s="92">
        <v>0</v>
      </c>
      <c r="DO22" s="92">
        <v>0</v>
      </c>
      <c r="DP22" s="92">
        <v>0</v>
      </c>
      <c r="DQ22" s="92">
        <v>0</v>
      </c>
      <c r="DR22" s="92">
        <v>0</v>
      </c>
      <c r="DS22" s="92">
        <v>0</v>
      </c>
      <c r="DT22" s="92">
        <v>0</v>
      </c>
      <c r="DU22" s="92">
        <v>0</v>
      </c>
      <c r="DZ22" s="139">
        <v>18</v>
      </c>
      <c r="EA22" s="139">
        <v>360</v>
      </c>
      <c r="EB22" s="139">
        <v>3</v>
      </c>
      <c r="EC22" s="139">
        <v>11</v>
      </c>
      <c r="ED22" s="139">
        <v>2</v>
      </c>
      <c r="EE22" s="139">
        <v>6</v>
      </c>
      <c r="EF22" s="143">
        <v>6</v>
      </c>
      <c r="EG22" s="143">
        <v>18</v>
      </c>
      <c r="EH22" s="143">
        <v>0</v>
      </c>
      <c r="EI22" s="143">
        <v>0</v>
      </c>
    </row>
    <row r="23" spans="1:139">
      <c r="A23" s="175">
        <v>2009</v>
      </c>
      <c r="B23" s="92" t="s">
        <v>334</v>
      </c>
      <c r="C23" s="176">
        <v>74</v>
      </c>
      <c r="D23" s="176">
        <v>320</v>
      </c>
      <c r="E23" s="177">
        <v>0</v>
      </c>
      <c r="F23" s="176">
        <v>0</v>
      </c>
      <c r="G23" s="178">
        <v>67383.091913187323</v>
      </c>
      <c r="H23" s="176">
        <v>65.612453531598362</v>
      </c>
      <c r="I23" s="176">
        <v>0</v>
      </c>
      <c r="J23" s="176">
        <v>0</v>
      </c>
      <c r="K23" s="178">
        <v>150</v>
      </c>
      <c r="L23" s="176">
        <v>0</v>
      </c>
      <c r="M23" s="137">
        <v>30</v>
      </c>
      <c r="N23" s="137">
        <v>29</v>
      </c>
      <c r="O23" s="137">
        <v>29</v>
      </c>
      <c r="P23" s="137">
        <v>32</v>
      </c>
      <c r="Q23" s="137">
        <v>30</v>
      </c>
      <c r="R23" s="137">
        <v>29</v>
      </c>
      <c r="S23" s="137"/>
      <c r="T23" s="137"/>
      <c r="U23" s="137"/>
      <c r="V23" s="137"/>
      <c r="W23" s="137"/>
      <c r="X23" s="137">
        <v>36</v>
      </c>
      <c r="Y23" s="137"/>
      <c r="Z23" s="137">
        <v>54</v>
      </c>
      <c r="AA23" s="137">
        <v>0</v>
      </c>
      <c r="AB23" s="176"/>
      <c r="AC23" s="176">
        <v>0</v>
      </c>
      <c r="AE23" s="179">
        <v>28.484210526315788</v>
      </c>
      <c r="AF23" s="179">
        <v>34.263157894736842</v>
      </c>
      <c r="AG23" s="179">
        <v>19530</v>
      </c>
      <c r="AH23" s="179">
        <v>9.9363157894736833</v>
      </c>
      <c r="AJ23" s="178">
        <v>74</v>
      </c>
      <c r="AK23" s="176"/>
      <c r="AL23" s="176"/>
      <c r="AM23" s="176"/>
      <c r="AO23" s="176"/>
      <c r="AP23" s="176"/>
      <c r="AQ23" s="176">
        <v>100</v>
      </c>
      <c r="AR23" s="176">
        <v>0</v>
      </c>
      <c r="AS23" s="176">
        <v>0</v>
      </c>
      <c r="AT23" s="178">
        <v>1</v>
      </c>
      <c r="AU23" s="176"/>
      <c r="AV23" s="178">
        <v>1</v>
      </c>
      <c r="AW23" s="177"/>
      <c r="AX23" s="176">
        <v>0</v>
      </c>
      <c r="AY23" s="176"/>
      <c r="AZ23" s="178">
        <v>1</v>
      </c>
      <c r="BA23" s="176"/>
      <c r="BB23" s="176">
        <v>0</v>
      </c>
      <c r="BC23" s="176">
        <v>0</v>
      </c>
      <c r="BD23" s="180" t="s">
        <v>214</v>
      </c>
      <c r="BE23" s="176"/>
      <c r="BF23" s="178">
        <v>254.6</v>
      </c>
      <c r="BG23" s="176">
        <v>101</v>
      </c>
      <c r="BJ23" s="176"/>
      <c r="BL23" s="176"/>
      <c r="BM23" s="176"/>
      <c r="BN23" s="176"/>
      <c r="BO23" s="176">
        <v>0</v>
      </c>
      <c r="BP23" s="176">
        <v>67764.445046474953</v>
      </c>
      <c r="BQ23" s="176"/>
      <c r="BR23" s="176"/>
      <c r="BS23" s="176"/>
      <c r="BT23" s="176"/>
      <c r="BU23" s="176"/>
      <c r="BV23" s="176"/>
      <c r="BW23" s="178">
        <v>0</v>
      </c>
      <c r="BX23" s="178">
        <v>0</v>
      </c>
      <c r="BY23" s="92">
        <v>11300</v>
      </c>
      <c r="BZ23" s="92">
        <v>2328</v>
      </c>
      <c r="CA23" s="92">
        <v>10763</v>
      </c>
      <c r="CB23" s="176"/>
      <c r="CC23" s="92">
        <v>1193.4000000000001</v>
      </c>
      <c r="CD23" s="92">
        <v>0</v>
      </c>
      <c r="CE23" s="178"/>
      <c r="CF23" s="178"/>
      <c r="CG23" s="178"/>
      <c r="CH23" s="178"/>
      <c r="CI23" s="178"/>
      <c r="CJ23" s="176">
        <v>0</v>
      </c>
      <c r="CK23" s="176">
        <v>0</v>
      </c>
      <c r="CN23" s="92"/>
      <c r="CQ23" s="232">
        <v>254.6</v>
      </c>
      <c r="CR23" s="232">
        <v>74</v>
      </c>
      <c r="CS23" s="176">
        <v>3.1</v>
      </c>
      <c r="CT23" s="92">
        <v>320</v>
      </c>
      <c r="CU23" s="92">
        <v>0</v>
      </c>
      <c r="CV23" s="92">
        <v>0</v>
      </c>
      <c r="CW23" s="92">
        <v>0</v>
      </c>
      <c r="DE23" s="92">
        <v>233</v>
      </c>
      <c r="DF23" s="135">
        <v>0</v>
      </c>
      <c r="DG23" s="92" t="s">
        <v>210</v>
      </c>
      <c r="DH23" s="92">
        <v>1</v>
      </c>
      <c r="DI23" s="92">
        <v>31.759656652360512</v>
      </c>
      <c r="DJ23" s="92">
        <v>10.263157894736842</v>
      </c>
      <c r="DK23" s="92">
        <v>9.8526315789473689</v>
      </c>
      <c r="DL23" s="92">
        <v>8.3684210526315788</v>
      </c>
      <c r="DM23" s="92">
        <v>8190</v>
      </c>
      <c r="DN23" s="92">
        <v>5616</v>
      </c>
      <c r="DO23" s="92">
        <v>5724</v>
      </c>
      <c r="DP23" s="92">
        <v>14.368421052631579</v>
      </c>
      <c r="DQ23" s="92">
        <v>9.8526315789473689</v>
      </c>
      <c r="DR23" s="92">
        <v>10.042105263157893</v>
      </c>
      <c r="DS23" s="92">
        <v>4.1668421052631581</v>
      </c>
      <c r="DT23" s="92">
        <v>2.8572631578947365</v>
      </c>
      <c r="DU23" s="92">
        <v>2.9122105263157891</v>
      </c>
      <c r="DZ23" s="139">
        <v>31</v>
      </c>
      <c r="EA23" s="139">
        <v>179</v>
      </c>
      <c r="EB23" s="139">
        <v>20</v>
      </c>
      <c r="EC23" s="139">
        <v>18</v>
      </c>
      <c r="ED23" s="139">
        <v>6</v>
      </c>
      <c r="EE23" s="139">
        <v>5</v>
      </c>
      <c r="EF23" s="143">
        <v>2</v>
      </c>
      <c r="EG23" s="143">
        <v>38</v>
      </c>
      <c r="EH23" s="143">
        <v>28</v>
      </c>
      <c r="EI23" s="143">
        <v>70</v>
      </c>
    </row>
    <row r="24" spans="1:139">
      <c r="A24" s="175">
        <v>2067</v>
      </c>
      <c r="B24" s="92" t="s">
        <v>335</v>
      </c>
      <c r="C24" s="176">
        <v>35</v>
      </c>
      <c r="D24" s="176">
        <v>281</v>
      </c>
      <c r="E24" s="177">
        <v>0</v>
      </c>
      <c r="F24" s="176">
        <v>0</v>
      </c>
      <c r="G24" s="178">
        <v>38064.066832581782</v>
      </c>
      <c r="H24" s="176">
        <v>36.130000000000003</v>
      </c>
      <c r="I24" s="176">
        <v>0</v>
      </c>
      <c r="J24" s="176">
        <v>0</v>
      </c>
      <c r="K24" s="178">
        <v>70</v>
      </c>
      <c r="L24" s="176">
        <v>0</v>
      </c>
      <c r="M24" s="137">
        <v>30</v>
      </c>
      <c r="N24" s="137">
        <v>29</v>
      </c>
      <c r="O24" s="137">
        <v>30</v>
      </c>
      <c r="P24" s="137">
        <v>30</v>
      </c>
      <c r="Q24" s="137">
        <v>25</v>
      </c>
      <c r="R24" s="137">
        <v>29</v>
      </c>
      <c r="S24" s="137"/>
      <c r="T24" s="137"/>
      <c r="U24" s="137"/>
      <c r="V24" s="137"/>
      <c r="W24" s="137"/>
      <c r="X24" s="137">
        <v>0</v>
      </c>
      <c r="Y24" s="137"/>
      <c r="Z24" s="137">
        <v>30</v>
      </c>
      <c r="AA24" s="137">
        <v>0</v>
      </c>
      <c r="AB24" s="176"/>
      <c r="AC24" s="176">
        <v>0</v>
      </c>
      <c r="AE24" s="179">
        <v>0</v>
      </c>
      <c r="AF24" s="179">
        <v>0</v>
      </c>
      <c r="AG24" s="179">
        <v>0</v>
      </c>
      <c r="AH24" s="179">
        <v>0</v>
      </c>
      <c r="AJ24" s="178">
        <v>35</v>
      </c>
      <c r="AK24" s="176"/>
      <c r="AL24" s="176"/>
      <c r="AM24" s="176"/>
      <c r="AO24" s="176"/>
      <c r="AP24" s="176"/>
      <c r="AQ24" s="176">
        <v>62</v>
      </c>
      <c r="AR24" s="176">
        <v>0</v>
      </c>
      <c r="AS24" s="176">
        <v>1</v>
      </c>
      <c r="AT24" s="178">
        <v>1</v>
      </c>
      <c r="AU24" s="176"/>
      <c r="AV24" s="178">
        <v>0</v>
      </c>
      <c r="AW24" s="177"/>
      <c r="AX24" s="176">
        <v>0</v>
      </c>
      <c r="AY24" s="176"/>
      <c r="AZ24" s="178">
        <v>0</v>
      </c>
      <c r="BA24" s="176"/>
      <c r="BB24" s="176">
        <v>0</v>
      </c>
      <c r="BC24" s="176">
        <v>0</v>
      </c>
      <c r="BD24" s="180" t="s">
        <v>214</v>
      </c>
      <c r="BE24" s="176"/>
      <c r="BF24" s="178">
        <v>203</v>
      </c>
      <c r="BG24" s="176">
        <v>32</v>
      </c>
      <c r="BJ24" s="176"/>
      <c r="BL24" s="176"/>
      <c r="BM24" s="176"/>
      <c r="BN24" s="176"/>
      <c r="BO24" s="176">
        <v>1</v>
      </c>
      <c r="BP24" s="176">
        <v>0</v>
      </c>
      <c r="BQ24" s="176"/>
      <c r="BR24" s="176"/>
      <c r="BS24" s="176"/>
      <c r="BT24" s="176"/>
      <c r="BU24" s="176"/>
      <c r="BV24" s="176"/>
      <c r="BW24" s="178">
        <v>0</v>
      </c>
      <c r="BX24" s="178">
        <v>1423.02</v>
      </c>
      <c r="BY24" s="92">
        <v>25000</v>
      </c>
      <c r="BZ24" s="92">
        <v>2299</v>
      </c>
      <c r="CA24" s="92">
        <v>13969</v>
      </c>
      <c r="CB24" s="176"/>
      <c r="CC24" s="92">
        <v>1347</v>
      </c>
      <c r="CD24" s="92">
        <v>0</v>
      </c>
      <c r="CE24" s="178"/>
      <c r="CF24" s="178"/>
      <c r="CG24" s="178"/>
      <c r="CH24" s="178"/>
      <c r="CI24" s="178"/>
      <c r="CJ24" s="176">
        <v>0</v>
      </c>
      <c r="CK24" s="176">
        <v>0</v>
      </c>
      <c r="CN24" s="92"/>
      <c r="CQ24" s="232">
        <v>203</v>
      </c>
      <c r="CR24" s="232">
        <v>35</v>
      </c>
      <c r="CS24" s="176">
        <v>5.0599999999999996</v>
      </c>
      <c r="CT24" s="92">
        <v>281</v>
      </c>
      <c r="CU24" s="92">
        <v>0</v>
      </c>
      <c r="CV24" s="92">
        <v>0</v>
      </c>
      <c r="CW24" s="92">
        <v>0</v>
      </c>
      <c r="DE24" s="92">
        <v>203</v>
      </c>
      <c r="DF24" s="135">
        <v>0</v>
      </c>
      <c r="DG24" s="92" t="s">
        <v>210</v>
      </c>
      <c r="DH24" s="92">
        <v>1</v>
      </c>
      <c r="DI24" s="92">
        <v>17.241379310344829</v>
      </c>
      <c r="DJ24" s="92">
        <v>0</v>
      </c>
      <c r="DK24" s="92">
        <v>0</v>
      </c>
      <c r="DL24" s="92">
        <v>0</v>
      </c>
      <c r="DM24" s="92">
        <v>0</v>
      </c>
      <c r="DN24" s="92">
        <v>0</v>
      </c>
      <c r="DO24" s="92">
        <v>0</v>
      </c>
      <c r="DP24" s="92">
        <v>0</v>
      </c>
      <c r="DQ24" s="92">
        <v>0</v>
      </c>
      <c r="DR24" s="92">
        <v>0</v>
      </c>
      <c r="DS24" s="92">
        <v>0</v>
      </c>
      <c r="DT24" s="92">
        <v>0</v>
      </c>
      <c r="DU24" s="92">
        <v>0</v>
      </c>
      <c r="DZ24" s="139">
        <v>24</v>
      </c>
      <c r="EA24" s="139">
        <v>173</v>
      </c>
      <c r="EB24" s="139">
        <v>4</v>
      </c>
      <c r="EC24" s="139">
        <v>18</v>
      </c>
      <c r="ED24" s="139">
        <v>0</v>
      </c>
      <c r="EE24" s="139">
        <v>2</v>
      </c>
      <c r="EF24" s="143">
        <v>8</v>
      </c>
      <c r="EG24" s="143">
        <v>38</v>
      </c>
      <c r="EH24" s="143">
        <v>14</v>
      </c>
      <c r="EI24" s="143">
        <v>31</v>
      </c>
    </row>
    <row r="25" spans="1:139">
      <c r="A25" s="175">
        <v>2010</v>
      </c>
      <c r="B25" s="92" t="s">
        <v>46</v>
      </c>
      <c r="C25" s="176">
        <v>122</v>
      </c>
      <c r="D25" s="176">
        <v>612</v>
      </c>
      <c r="E25" s="177">
        <v>0</v>
      </c>
      <c r="F25" s="176">
        <v>0</v>
      </c>
      <c r="G25" s="178">
        <v>85729.877862949201</v>
      </c>
      <c r="H25" s="176">
        <v>107.74613157894711</v>
      </c>
      <c r="I25" s="176">
        <v>290833.00309999997</v>
      </c>
      <c r="J25" s="176">
        <v>0</v>
      </c>
      <c r="K25" s="178">
        <v>265</v>
      </c>
      <c r="L25" s="176">
        <v>0</v>
      </c>
      <c r="M25" s="137">
        <v>47</v>
      </c>
      <c r="N25" s="137">
        <v>43</v>
      </c>
      <c r="O25" s="137">
        <v>46</v>
      </c>
      <c r="P25" s="137">
        <v>44</v>
      </c>
      <c r="Q25" s="137">
        <v>43</v>
      </c>
      <c r="R25" s="137">
        <v>45</v>
      </c>
      <c r="S25" s="137"/>
      <c r="T25" s="137"/>
      <c r="U25" s="137"/>
      <c r="V25" s="137"/>
      <c r="W25" s="137"/>
      <c r="X25" s="137">
        <v>67</v>
      </c>
      <c r="Y25" s="137"/>
      <c r="Z25" s="137">
        <v>45</v>
      </c>
      <c r="AA25" s="137">
        <v>0</v>
      </c>
      <c r="AB25" s="176"/>
      <c r="AC25" s="176">
        <v>0</v>
      </c>
      <c r="AE25" s="179">
        <v>30</v>
      </c>
      <c r="AF25" s="179">
        <v>63.257894736842104</v>
      </c>
      <c r="AG25" s="179">
        <v>36057</v>
      </c>
      <c r="AH25" s="179">
        <v>21.800369992144539</v>
      </c>
      <c r="AJ25" s="178">
        <v>122</v>
      </c>
      <c r="AK25" s="176"/>
      <c r="AL25" s="176"/>
      <c r="AM25" s="176"/>
      <c r="AO25" s="176"/>
      <c r="AP25" s="176"/>
      <c r="AQ25" s="176">
        <v>169</v>
      </c>
      <c r="AR25" s="176">
        <v>0</v>
      </c>
      <c r="AS25" s="176">
        <v>0</v>
      </c>
      <c r="AT25" s="178">
        <v>1</v>
      </c>
      <c r="AU25" s="176"/>
      <c r="AV25" s="178">
        <v>1</v>
      </c>
      <c r="AW25" s="177"/>
      <c r="AX25" s="176">
        <v>1</v>
      </c>
      <c r="AY25" s="176"/>
      <c r="AZ25" s="178">
        <v>0</v>
      </c>
      <c r="BA25" s="176"/>
      <c r="BB25" s="176">
        <v>0</v>
      </c>
      <c r="BC25" s="176">
        <v>0</v>
      </c>
      <c r="BD25" s="180" t="s">
        <v>214</v>
      </c>
      <c r="BE25" s="176"/>
      <c r="BF25" s="178">
        <v>353.2</v>
      </c>
      <c r="BG25" s="176">
        <v>178</v>
      </c>
      <c r="BJ25" s="176"/>
      <c r="BL25" s="176"/>
      <c r="BM25" s="176"/>
      <c r="BN25" s="176"/>
      <c r="BO25" s="176">
        <v>1</v>
      </c>
      <c r="BP25" s="176">
        <v>67602.700146890216</v>
      </c>
      <c r="BQ25" s="176"/>
      <c r="BR25" s="176"/>
      <c r="BS25" s="176"/>
      <c r="BT25" s="176"/>
      <c r="BU25" s="176"/>
      <c r="BV25" s="176"/>
      <c r="BW25" s="178">
        <v>0</v>
      </c>
      <c r="BX25" s="178">
        <v>869.62</v>
      </c>
      <c r="BY25" s="92">
        <v>4087</v>
      </c>
      <c r="BZ25" s="92">
        <v>4243</v>
      </c>
      <c r="CA25" s="92">
        <v>18392.204584744635</v>
      </c>
      <c r="CB25" s="176"/>
      <c r="CC25" s="92">
        <v>2576</v>
      </c>
      <c r="CD25" s="92">
        <v>0</v>
      </c>
      <c r="CE25" s="178"/>
      <c r="CF25" s="178"/>
      <c r="CG25" s="178"/>
      <c r="CH25" s="178"/>
      <c r="CI25" s="178"/>
      <c r="CJ25" s="176">
        <v>0</v>
      </c>
      <c r="CK25" s="176">
        <v>0</v>
      </c>
      <c r="CN25" s="92"/>
      <c r="CQ25" s="232">
        <v>353.2</v>
      </c>
      <c r="CR25" s="232">
        <v>122</v>
      </c>
      <c r="CS25" s="176">
        <v>17.940000000000001</v>
      </c>
      <c r="CT25" s="92">
        <v>612</v>
      </c>
      <c r="CU25" s="92">
        <v>0</v>
      </c>
      <c r="CV25" s="92">
        <v>0</v>
      </c>
      <c r="CW25" s="92">
        <v>0</v>
      </c>
      <c r="CY25" s="92">
        <v>1</v>
      </c>
      <c r="DE25" s="92">
        <v>313</v>
      </c>
      <c r="DF25" s="135">
        <v>0</v>
      </c>
      <c r="DG25" s="92" t="s">
        <v>210</v>
      </c>
      <c r="DH25" s="92">
        <v>1</v>
      </c>
      <c r="DI25" s="92">
        <v>38.977635782747605</v>
      </c>
      <c r="DJ25" s="92">
        <v>10.263157894736842</v>
      </c>
      <c r="DK25" s="92">
        <v>11.368421052631579</v>
      </c>
      <c r="DL25" s="92">
        <v>8.3684210526315788</v>
      </c>
      <c r="DM25" s="92">
        <v>14820</v>
      </c>
      <c r="DN25" s="92">
        <v>10584</v>
      </c>
      <c r="DO25" s="92">
        <v>10653</v>
      </c>
      <c r="DP25" s="92">
        <v>26</v>
      </c>
      <c r="DQ25" s="92">
        <v>18.568421052631578</v>
      </c>
      <c r="DR25" s="92">
        <v>18.689473684210526</v>
      </c>
      <c r="DS25" s="92">
        <v>8.9602985074626851</v>
      </c>
      <c r="DT25" s="92">
        <v>6.3991767478397481</v>
      </c>
      <c r="DU25" s="92">
        <v>6.4408947368421039</v>
      </c>
      <c r="DZ25" s="139">
        <v>41</v>
      </c>
      <c r="EA25" s="139">
        <v>268</v>
      </c>
      <c r="EB25" s="139">
        <v>33</v>
      </c>
      <c r="EC25" s="139">
        <v>45</v>
      </c>
      <c r="ED25" s="139">
        <v>8</v>
      </c>
      <c r="EE25" s="139">
        <v>10</v>
      </c>
      <c r="EF25" s="143">
        <v>30</v>
      </c>
      <c r="EG25" s="143">
        <v>24</v>
      </c>
      <c r="EH25" s="143">
        <v>68</v>
      </c>
      <c r="EI25" s="143">
        <v>102</v>
      </c>
    </row>
    <row r="26" spans="1:139">
      <c r="A26" s="175">
        <v>3302</v>
      </c>
      <c r="B26" s="92" t="s">
        <v>336</v>
      </c>
      <c r="C26" s="176">
        <v>15</v>
      </c>
      <c r="D26" s="176">
        <v>46</v>
      </c>
      <c r="E26" s="177">
        <v>0</v>
      </c>
      <c r="F26" s="176">
        <v>0</v>
      </c>
      <c r="G26" s="178">
        <v>14795.520681384423</v>
      </c>
      <c r="H26" s="176">
        <v>28.808571428571419</v>
      </c>
      <c r="I26" s="176">
        <v>0</v>
      </c>
      <c r="J26" s="176">
        <v>0</v>
      </c>
      <c r="K26" s="178">
        <v>70</v>
      </c>
      <c r="L26" s="176">
        <v>0</v>
      </c>
      <c r="M26" s="137">
        <v>29</v>
      </c>
      <c r="N26" s="137">
        <v>30</v>
      </c>
      <c r="O26" s="137">
        <v>31</v>
      </c>
      <c r="P26" s="137">
        <v>30</v>
      </c>
      <c r="Q26" s="137">
        <v>30</v>
      </c>
      <c r="R26" s="137">
        <v>30</v>
      </c>
      <c r="S26" s="137"/>
      <c r="T26" s="137"/>
      <c r="U26" s="137"/>
      <c r="V26" s="137"/>
      <c r="W26" s="137"/>
      <c r="X26" s="137">
        <v>35</v>
      </c>
      <c r="Y26" s="137"/>
      <c r="Z26" s="137">
        <v>30</v>
      </c>
      <c r="AA26" s="137">
        <v>0</v>
      </c>
      <c r="AB26" s="176"/>
      <c r="AC26" s="176">
        <v>0</v>
      </c>
      <c r="AE26" s="179">
        <v>28.484210526315788</v>
      </c>
      <c r="AF26" s="179">
        <v>68.652631578947364</v>
      </c>
      <c r="AG26" s="179">
        <v>19566</v>
      </c>
      <c r="AH26" s="179">
        <v>4.1583879699248119</v>
      </c>
      <c r="AJ26" s="178">
        <v>15</v>
      </c>
      <c r="AK26" s="176"/>
      <c r="AL26" s="176"/>
      <c r="AM26" s="176"/>
      <c r="AO26" s="176"/>
      <c r="AP26" s="176"/>
      <c r="AQ26" s="176">
        <v>22</v>
      </c>
      <c r="AR26" s="176">
        <v>0</v>
      </c>
      <c r="AS26" s="176">
        <v>0</v>
      </c>
      <c r="AT26" s="178">
        <v>1</v>
      </c>
      <c r="AU26" s="176"/>
      <c r="AV26" s="178">
        <v>0</v>
      </c>
      <c r="AW26" s="177"/>
      <c r="AX26" s="176">
        <v>0</v>
      </c>
      <c r="AY26" s="176"/>
      <c r="AZ26" s="178">
        <v>0</v>
      </c>
      <c r="BA26" s="176"/>
      <c r="BB26" s="176">
        <v>0</v>
      </c>
      <c r="BC26" s="176">
        <v>0</v>
      </c>
      <c r="BD26" s="180" t="s">
        <v>597</v>
      </c>
      <c r="BE26" s="176"/>
      <c r="BF26" s="178">
        <v>0</v>
      </c>
      <c r="BG26" s="176">
        <v>12</v>
      </c>
      <c r="BJ26" s="176"/>
      <c r="BL26" s="176"/>
      <c r="BM26" s="176"/>
      <c r="BN26" s="176"/>
      <c r="BO26" s="176">
        <v>0</v>
      </c>
      <c r="BP26" s="176">
        <v>0</v>
      </c>
      <c r="BQ26" s="176"/>
      <c r="BR26" s="176"/>
      <c r="BS26" s="176"/>
      <c r="BT26" s="176"/>
      <c r="BU26" s="176"/>
      <c r="BV26" s="176"/>
      <c r="BW26" s="178">
        <v>0</v>
      </c>
      <c r="BX26" s="178">
        <v>0</v>
      </c>
      <c r="BY26" s="92">
        <v>4842</v>
      </c>
      <c r="BZ26" s="92">
        <v>1584</v>
      </c>
      <c r="CA26" s="92">
        <v>0</v>
      </c>
      <c r="CB26" s="176"/>
      <c r="CC26" s="92">
        <v>1252</v>
      </c>
      <c r="CD26" s="92">
        <v>0</v>
      </c>
      <c r="CE26" s="178"/>
      <c r="CF26" s="178"/>
      <c r="CG26" s="178"/>
      <c r="CH26" s="178"/>
      <c r="CI26" s="178"/>
      <c r="CJ26" s="176">
        <v>0</v>
      </c>
      <c r="CK26" s="176">
        <v>0</v>
      </c>
      <c r="CN26" s="92"/>
      <c r="CQ26" s="232">
        <v>231</v>
      </c>
      <c r="CR26" s="232">
        <v>15.6</v>
      </c>
      <c r="CS26" s="176">
        <v>0</v>
      </c>
      <c r="CT26" s="92">
        <v>46</v>
      </c>
      <c r="CU26" s="92">
        <v>0</v>
      </c>
      <c r="CV26" s="92">
        <v>0</v>
      </c>
      <c r="CW26" s="92">
        <v>0</v>
      </c>
      <c r="DE26" s="92">
        <v>210</v>
      </c>
      <c r="DF26" s="135">
        <v>0</v>
      </c>
      <c r="DG26" s="92" t="s">
        <v>210</v>
      </c>
      <c r="DH26" s="92">
        <v>1</v>
      </c>
      <c r="DI26" s="92">
        <v>7.1428571428571423</v>
      </c>
      <c r="DJ26" s="92">
        <v>10.263157894736842</v>
      </c>
      <c r="DK26" s="92">
        <v>9.8526315789473689</v>
      </c>
      <c r="DL26" s="92">
        <v>8.3684210526315788</v>
      </c>
      <c r="DM26" s="92">
        <v>8385</v>
      </c>
      <c r="DN26" s="92">
        <v>5616</v>
      </c>
      <c r="DO26" s="92">
        <v>5565</v>
      </c>
      <c r="DP26" s="92">
        <v>29.421052631578949</v>
      </c>
      <c r="DQ26" s="92">
        <v>19.705263157894738</v>
      </c>
      <c r="DR26" s="92">
        <v>19.526315789473685</v>
      </c>
      <c r="DS26" s="92">
        <v>1.7820751879699248</v>
      </c>
      <c r="DT26" s="92">
        <v>1.1935759398496242</v>
      </c>
      <c r="DU26" s="92">
        <v>1.1827368421052633</v>
      </c>
      <c r="DZ26" s="139">
        <v>11</v>
      </c>
      <c r="EA26" s="139">
        <v>180</v>
      </c>
      <c r="EB26" s="139">
        <v>0</v>
      </c>
      <c r="EC26" s="139">
        <v>8</v>
      </c>
      <c r="ED26" s="139">
        <v>0</v>
      </c>
      <c r="EE26" s="139">
        <v>4</v>
      </c>
      <c r="EF26" s="143">
        <v>0</v>
      </c>
      <c r="EG26" s="143">
        <v>4</v>
      </c>
      <c r="EH26" s="143">
        <v>2</v>
      </c>
      <c r="EI26" s="143">
        <v>24</v>
      </c>
    </row>
    <row r="27" spans="1:139">
      <c r="A27" s="175">
        <v>2011</v>
      </c>
      <c r="B27" s="92" t="s">
        <v>48</v>
      </c>
      <c r="C27" s="176">
        <v>19</v>
      </c>
      <c r="D27" s="176">
        <v>107</v>
      </c>
      <c r="E27" s="177">
        <v>0</v>
      </c>
      <c r="F27" s="176">
        <v>0</v>
      </c>
      <c r="G27" s="178">
        <v>18294.063404439603</v>
      </c>
      <c r="H27" s="176">
        <v>38.559999999999938</v>
      </c>
      <c r="I27" s="176">
        <v>0</v>
      </c>
      <c r="J27" s="176">
        <v>0</v>
      </c>
      <c r="K27" s="178">
        <v>100</v>
      </c>
      <c r="L27" s="176">
        <v>0</v>
      </c>
      <c r="M27" s="137">
        <v>30</v>
      </c>
      <c r="N27" s="137">
        <v>31</v>
      </c>
      <c r="O27" s="137">
        <v>30</v>
      </c>
      <c r="P27" s="137">
        <v>30</v>
      </c>
      <c r="Q27" s="137">
        <v>28</v>
      </c>
      <c r="R27" s="137">
        <v>29</v>
      </c>
      <c r="S27" s="137"/>
      <c r="T27" s="137"/>
      <c r="U27" s="137"/>
      <c r="V27" s="137"/>
      <c r="W27" s="137"/>
      <c r="X27" s="137">
        <v>0</v>
      </c>
      <c r="Y27" s="137"/>
      <c r="Z27" s="137">
        <v>46</v>
      </c>
      <c r="AA27" s="137">
        <v>0</v>
      </c>
      <c r="AB27" s="176"/>
      <c r="AC27" s="176">
        <v>0</v>
      </c>
      <c r="AE27" s="179">
        <v>0</v>
      </c>
      <c r="AF27" s="179">
        <v>0</v>
      </c>
      <c r="AG27" s="179">
        <v>0</v>
      </c>
      <c r="AH27" s="179">
        <v>0</v>
      </c>
      <c r="AJ27" s="178">
        <v>19</v>
      </c>
      <c r="AK27" s="176"/>
      <c r="AL27" s="176"/>
      <c r="AM27" s="176"/>
      <c r="AN27" s="176">
        <v>1</v>
      </c>
      <c r="AO27" s="176">
        <v>43503.839999999997</v>
      </c>
      <c r="AP27" s="176"/>
      <c r="AQ27" s="176">
        <v>28</v>
      </c>
      <c r="AR27" s="176">
        <v>1</v>
      </c>
      <c r="AS27" s="176">
        <v>0</v>
      </c>
      <c r="AT27" s="178">
        <v>1</v>
      </c>
      <c r="AU27" s="176"/>
      <c r="AV27" s="178">
        <v>1</v>
      </c>
      <c r="AW27" s="177"/>
      <c r="AX27" s="176">
        <v>0</v>
      </c>
      <c r="AY27" s="176"/>
      <c r="AZ27" s="178">
        <v>0</v>
      </c>
      <c r="BA27" s="176"/>
      <c r="BB27" s="176">
        <v>0</v>
      </c>
      <c r="BC27" s="176">
        <v>0</v>
      </c>
      <c r="BD27" s="180" t="s">
        <v>214</v>
      </c>
      <c r="BE27" s="176"/>
      <c r="BF27" s="178">
        <v>224</v>
      </c>
      <c r="BG27" s="176">
        <v>11</v>
      </c>
      <c r="BJ27" s="176"/>
      <c r="BL27" s="176"/>
      <c r="BM27" s="176"/>
      <c r="BN27" s="176"/>
      <c r="BO27" s="176">
        <v>0</v>
      </c>
      <c r="BP27" s="176">
        <v>0</v>
      </c>
      <c r="BQ27" s="176"/>
      <c r="BR27" s="176"/>
      <c r="BS27" s="176"/>
      <c r="BT27" s="176"/>
      <c r="BU27" s="176"/>
      <c r="BV27" s="176"/>
      <c r="BW27" s="178">
        <v>0</v>
      </c>
      <c r="BX27" s="178">
        <v>1739.25</v>
      </c>
      <c r="BY27" s="92">
        <v>6900</v>
      </c>
      <c r="BZ27" s="92">
        <v>2911</v>
      </c>
      <c r="CA27" s="92">
        <v>14427</v>
      </c>
      <c r="CB27" s="176"/>
      <c r="CC27" s="92">
        <v>1557</v>
      </c>
      <c r="CD27" s="92">
        <v>0</v>
      </c>
      <c r="CE27" s="178"/>
      <c r="CF27" s="178"/>
      <c r="CG27" s="178"/>
      <c r="CH27" s="178"/>
      <c r="CI27" s="178"/>
      <c r="CJ27" s="176">
        <v>0</v>
      </c>
      <c r="CK27" s="176">
        <v>0</v>
      </c>
      <c r="CN27" s="92"/>
      <c r="CQ27" s="232">
        <v>224</v>
      </c>
      <c r="CR27" s="232">
        <v>19</v>
      </c>
      <c r="CS27" s="176">
        <v>2.0299999999999998</v>
      </c>
      <c r="CT27" s="92">
        <v>107</v>
      </c>
      <c r="CU27" s="92">
        <v>0</v>
      </c>
      <c r="CV27" s="92">
        <v>0</v>
      </c>
      <c r="CW27" s="92">
        <v>0</v>
      </c>
      <c r="DE27" s="92">
        <v>224</v>
      </c>
      <c r="DF27" s="135">
        <v>0</v>
      </c>
      <c r="DG27" s="92" t="s">
        <v>210</v>
      </c>
      <c r="DH27" s="92">
        <v>1</v>
      </c>
      <c r="DI27" s="92">
        <v>8.4821428571428577</v>
      </c>
      <c r="DJ27" s="92">
        <v>0</v>
      </c>
      <c r="DK27" s="92">
        <v>0</v>
      </c>
      <c r="DL27" s="92">
        <v>0</v>
      </c>
      <c r="DM27" s="92">
        <v>0</v>
      </c>
      <c r="DN27" s="92">
        <v>0</v>
      </c>
      <c r="DO27" s="92">
        <v>0</v>
      </c>
      <c r="DP27" s="92">
        <v>0</v>
      </c>
      <c r="DQ27" s="92">
        <v>0</v>
      </c>
      <c r="DR27" s="92">
        <v>0</v>
      </c>
      <c r="DS27" s="92">
        <v>0</v>
      </c>
      <c r="DT27" s="92">
        <v>0</v>
      </c>
      <c r="DU27" s="92">
        <v>0</v>
      </c>
      <c r="DZ27" s="139">
        <v>9</v>
      </c>
      <c r="EA27" s="139">
        <v>178</v>
      </c>
      <c r="EB27" s="139">
        <v>1</v>
      </c>
      <c r="EC27" s="139">
        <v>5</v>
      </c>
      <c r="ED27" s="139">
        <v>0</v>
      </c>
      <c r="EE27" s="139">
        <v>3</v>
      </c>
      <c r="EF27" s="143">
        <v>4</v>
      </c>
      <c r="EG27" s="143">
        <v>12</v>
      </c>
      <c r="EH27" s="143">
        <v>2</v>
      </c>
      <c r="EI27" s="143">
        <v>25</v>
      </c>
    </row>
    <row r="28" spans="1:139">
      <c r="A28" s="175">
        <v>3522</v>
      </c>
      <c r="B28" s="92" t="s">
        <v>337</v>
      </c>
      <c r="C28" s="176">
        <v>160</v>
      </c>
      <c r="D28" s="176">
        <v>1133</v>
      </c>
      <c r="E28" s="177">
        <v>0</v>
      </c>
      <c r="F28" s="176">
        <v>70</v>
      </c>
      <c r="G28" s="178">
        <v>102092.11526357528</v>
      </c>
      <c r="H28" s="176">
        <v>134.7012918660283</v>
      </c>
      <c r="I28" s="176">
        <v>0</v>
      </c>
      <c r="J28" s="176">
        <v>0</v>
      </c>
      <c r="K28" s="178">
        <v>65</v>
      </c>
      <c r="L28" s="176">
        <v>0</v>
      </c>
      <c r="M28" s="137">
        <v>63</v>
      </c>
      <c r="N28" s="137">
        <v>58</v>
      </c>
      <c r="O28" s="137">
        <v>52</v>
      </c>
      <c r="P28" s="137">
        <v>40</v>
      </c>
      <c r="Q28" s="137">
        <v>42</v>
      </c>
      <c r="R28" s="137">
        <v>44</v>
      </c>
      <c r="S28" s="137"/>
      <c r="T28" s="137"/>
      <c r="U28" s="137"/>
      <c r="V28" s="137"/>
      <c r="W28" s="137"/>
      <c r="X28" s="137">
        <v>51</v>
      </c>
      <c r="Y28" s="137"/>
      <c r="Z28" s="137">
        <v>68</v>
      </c>
      <c r="AA28" s="137">
        <v>0</v>
      </c>
      <c r="AB28" s="176"/>
      <c r="AC28" s="176">
        <v>0</v>
      </c>
      <c r="AE28" s="179">
        <v>30</v>
      </c>
      <c r="AF28" s="179">
        <v>45.65789473684211</v>
      </c>
      <c r="AG28" s="179">
        <v>26025</v>
      </c>
      <c r="AH28" s="179">
        <v>16.785990712074305</v>
      </c>
      <c r="AJ28" s="178">
        <v>160</v>
      </c>
      <c r="AK28" s="176"/>
      <c r="AL28" s="176"/>
      <c r="AM28" s="176"/>
      <c r="AN28" s="176">
        <v>1</v>
      </c>
      <c r="AO28" s="176">
        <v>21751.919999999998</v>
      </c>
      <c r="AP28" s="176"/>
      <c r="AQ28" s="176">
        <v>213</v>
      </c>
      <c r="AR28" s="176">
        <v>0</v>
      </c>
      <c r="AS28" s="176">
        <v>0</v>
      </c>
      <c r="AT28" s="178">
        <v>1</v>
      </c>
      <c r="AU28" s="176"/>
      <c r="AV28" s="178">
        <v>2</v>
      </c>
      <c r="AW28" s="177"/>
      <c r="AX28" s="176">
        <v>0</v>
      </c>
      <c r="AY28" s="176"/>
      <c r="AZ28" s="178">
        <v>0</v>
      </c>
      <c r="BA28" s="176"/>
      <c r="BB28" s="176">
        <v>0</v>
      </c>
      <c r="BC28" s="176">
        <v>0</v>
      </c>
      <c r="BD28" s="180" t="s">
        <v>214</v>
      </c>
      <c r="BE28" s="176"/>
      <c r="BF28" s="178">
        <v>397.6</v>
      </c>
      <c r="BG28" s="176">
        <v>175</v>
      </c>
      <c r="BJ28" s="176"/>
      <c r="BL28" s="176"/>
      <c r="BM28" s="176"/>
      <c r="BN28" s="176"/>
      <c r="BO28" s="176">
        <v>0</v>
      </c>
      <c r="BP28" s="176">
        <v>61364.186850372578</v>
      </c>
      <c r="BQ28" s="176"/>
      <c r="BR28" s="176"/>
      <c r="BS28" s="176"/>
      <c r="BT28" s="176"/>
      <c r="BU28" s="176"/>
      <c r="BV28" s="176"/>
      <c r="BW28" s="178">
        <v>0</v>
      </c>
      <c r="BX28" s="178">
        <v>1423.02</v>
      </c>
      <c r="BY28" s="92">
        <v>12318</v>
      </c>
      <c r="BZ28" s="92">
        <v>4727</v>
      </c>
      <c r="CA28" s="92">
        <v>17404</v>
      </c>
      <c r="CB28" s="176"/>
      <c r="CC28" s="92">
        <v>2838</v>
      </c>
      <c r="CD28" s="92">
        <v>0</v>
      </c>
      <c r="CE28" s="178"/>
      <c r="CF28" s="178"/>
      <c r="CG28" s="178"/>
      <c r="CH28" s="178"/>
      <c r="CI28" s="178"/>
      <c r="CJ28" s="176">
        <v>0</v>
      </c>
      <c r="CK28" s="176">
        <v>0</v>
      </c>
      <c r="CN28" s="92"/>
      <c r="CQ28" s="232">
        <v>397.6</v>
      </c>
      <c r="CR28" s="232">
        <v>160</v>
      </c>
      <c r="CS28" s="176">
        <v>22.14</v>
      </c>
      <c r="CT28" s="92">
        <v>1133</v>
      </c>
      <c r="CU28" s="92">
        <v>0</v>
      </c>
      <c r="CV28" s="92">
        <v>0</v>
      </c>
      <c r="CW28" s="92">
        <v>0</v>
      </c>
      <c r="DE28" s="92">
        <v>367</v>
      </c>
      <c r="DF28" s="135">
        <v>0</v>
      </c>
      <c r="DG28" s="92" t="s">
        <v>210</v>
      </c>
      <c r="DH28" s="92">
        <v>1</v>
      </c>
      <c r="DI28" s="92">
        <v>43.596730245231605</v>
      </c>
      <c r="DJ28" s="92">
        <v>10.263157894736842</v>
      </c>
      <c r="DK28" s="92">
        <v>11.368421052631579</v>
      </c>
      <c r="DL28" s="92">
        <v>8.3684210526315788</v>
      </c>
      <c r="DM28" s="92">
        <v>10140</v>
      </c>
      <c r="DN28" s="92">
        <v>7776</v>
      </c>
      <c r="DO28" s="92">
        <v>8109</v>
      </c>
      <c r="DP28" s="92">
        <v>17.789473684210527</v>
      </c>
      <c r="DQ28" s="92">
        <v>13.642105263157895</v>
      </c>
      <c r="DR28" s="92">
        <v>14.226315789473684</v>
      </c>
      <c r="DS28" s="92">
        <v>6.5402476780185772</v>
      </c>
      <c r="DT28" s="92">
        <v>5.0154798761609918</v>
      </c>
      <c r="DU28" s="92">
        <v>5.2302631578947372</v>
      </c>
      <c r="DZ28" s="139">
        <v>70</v>
      </c>
      <c r="EA28" s="139">
        <v>299</v>
      </c>
      <c r="EB28" s="139">
        <v>40</v>
      </c>
      <c r="EC28" s="139">
        <v>48</v>
      </c>
      <c r="ED28" s="139">
        <v>1</v>
      </c>
      <c r="EE28" s="139">
        <v>4</v>
      </c>
      <c r="EF28" s="143">
        <v>50</v>
      </c>
      <c r="EG28" s="143">
        <v>80</v>
      </c>
      <c r="EH28" s="143">
        <v>120</v>
      </c>
      <c r="EI28" s="143">
        <v>103</v>
      </c>
    </row>
    <row r="29" spans="1:139">
      <c r="A29" s="175">
        <v>2014</v>
      </c>
      <c r="B29" s="92" t="s">
        <v>338</v>
      </c>
      <c r="C29" s="176">
        <v>78</v>
      </c>
      <c r="D29" s="176">
        <v>653</v>
      </c>
      <c r="E29" s="177">
        <v>0</v>
      </c>
      <c r="F29" s="176">
        <v>0</v>
      </c>
      <c r="G29" s="178">
        <v>39408.584924924129</v>
      </c>
      <c r="H29" s="176">
        <v>165.9374744027304</v>
      </c>
      <c r="I29" s="176">
        <v>210091.95333333334</v>
      </c>
      <c r="J29" s="176">
        <v>0</v>
      </c>
      <c r="K29" s="178">
        <v>205</v>
      </c>
      <c r="L29" s="176">
        <v>0</v>
      </c>
      <c r="M29" s="137">
        <v>90</v>
      </c>
      <c r="N29" s="137">
        <v>90</v>
      </c>
      <c r="O29" s="137">
        <v>60</v>
      </c>
      <c r="P29" s="137">
        <v>60</v>
      </c>
      <c r="Q29" s="137">
        <v>59</v>
      </c>
      <c r="R29" s="137">
        <v>60</v>
      </c>
      <c r="S29" s="137"/>
      <c r="T29" s="137"/>
      <c r="U29" s="137"/>
      <c r="V29" s="137"/>
      <c r="W29" s="137"/>
      <c r="X29" s="137">
        <v>77</v>
      </c>
      <c r="Y29" s="137"/>
      <c r="Z29" s="137">
        <v>90</v>
      </c>
      <c r="AA29" s="137">
        <v>0</v>
      </c>
      <c r="AB29" s="176"/>
      <c r="AC29" s="176">
        <v>0</v>
      </c>
      <c r="AE29" s="179">
        <v>30</v>
      </c>
      <c r="AF29" s="179">
        <v>108.92631578947368</v>
      </c>
      <c r="AG29" s="179">
        <v>31044</v>
      </c>
      <c r="AH29" s="179">
        <v>17.456875346260389</v>
      </c>
      <c r="AJ29" s="178">
        <v>78</v>
      </c>
      <c r="AK29" s="176"/>
      <c r="AL29" s="176"/>
      <c r="AM29" s="176"/>
      <c r="AO29" s="176"/>
      <c r="AP29" s="176"/>
      <c r="AQ29" s="176">
        <v>148</v>
      </c>
      <c r="AR29" s="176">
        <v>0</v>
      </c>
      <c r="AS29" s="176">
        <v>0</v>
      </c>
      <c r="AT29" s="178">
        <v>1</v>
      </c>
      <c r="AU29" s="176"/>
      <c r="AV29" s="178">
        <v>1</v>
      </c>
      <c r="AW29" s="177"/>
      <c r="AX29" s="176">
        <v>0</v>
      </c>
      <c r="AY29" s="176"/>
      <c r="AZ29" s="178">
        <v>0</v>
      </c>
      <c r="BA29" s="176"/>
      <c r="BB29" s="176">
        <v>0</v>
      </c>
      <c r="BC29" s="176">
        <v>0</v>
      </c>
      <c r="BD29" s="180" t="s">
        <v>214</v>
      </c>
      <c r="BE29" s="176"/>
      <c r="BF29" s="178">
        <v>555.20000000000005</v>
      </c>
      <c r="BG29" s="176">
        <v>170</v>
      </c>
      <c r="BJ29" s="176"/>
      <c r="BL29" s="176"/>
      <c r="BM29" s="176"/>
      <c r="BN29" s="176"/>
      <c r="BO29" s="176">
        <v>1</v>
      </c>
      <c r="BP29" s="176">
        <v>0</v>
      </c>
      <c r="BQ29" s="176"/>
      <c r="BR29" s="176"/>
      <c r="BS29" s="176"/>
      <c r="BT29" s="176"/>
      <c r="BU29" s="176"/>
      <c r="BV29" s="176"/>
      <c r="BW29" s="178">
        <v>0</v>
      </c>
      <c r="BX29" s="178">
        <v>1423.02</v>
      </c>
      <c r="BY29" s="92">
        <v>17700</v>
      </c>
      <c r="BZ29" s="92">
        <v>3916</v>
      </c>
      <c r="CA29" s="92">
        <v>21640.5</v>
      </c>
      <c r="CB29" s="176"/>
      <c r="CC29" s="92">
        <v>4108</v>
      </c>
      <c r="CD29" s="92">
        <v>1</v>
      </c>
      <c r="CE29" s="178"/>
      <c r="CF29" s="178"/>
      <c r="CG29" s="178"/>
      <c r="CH29" s="178"/>
      <c r="CI29" s="178"/>
      <c r="CJ29" s="176">
        <v>0</v>
      </c>
      <c r="CK29" s="176">
        <v>0</v>
      </c>
      <c r="CN29" s="92"/>
      <c r="CQ29" s="232">
        <v>555.20000000000005</v>
      </c>
      <c r="CR29" s="232">
        <v>78</v>
      </c>
      <c r="CS29" s="176">
        <v>14.25</v>
      </c>
      <c r="CT29" s="92">
        <v>653</v>
      </c>
      <c r="CU29" s="92">
        <v>0</v>
      </c>
      <c r="CV29" s="92">
        <v>0</v>
      </c>
      <c r="CW29" s="92">
        <v>0</v>
      </c>
      <c r="DE29" s="92">
        <v>509</v>
      </c>
      <c r="DF29" s="135">
        <v>0</v>
      </c>
      <c r="DG29" s="92" t="s">
        <v>210</v>
      </c>
      <c r="DH29" s="92">
        <v>1</v>
      </c>
      <c r="DI29" s="92">
        <v>15.324165029469548</v>
      </c>
      <c r="DJ29" s="92">
        <v>10.263157894736842</v>
      </c>
      <c r="DK29" s="92">
        <v>11.368421052631579</v>
      </c>
      <c r="DL29" s="92">
        <v>8.3684210526315788</v>
      </c>
      <c r="DM29" s="92">
        <v>9945</v>
      </c>
      <c r="DN29" s="92">
        <v>8856</v>
      </c>
      <c r="DO29" s="92">
        <v>12243</v>
      </c>
      <c r="DP29" s="92">
        <v>34.89473684210526</v>
      </c>
      <c r="DQ29" s="92">
        <v>31.073684210526313</v>
      </c>
      <c r="DR29" s="92">
        <v>42.9578947368421</v>
      </c>
      <c r="DS29" s="92">
        <v>5.5923407202216078</v>
      </c>
      <c r="DT29" s="92">
        <v>4.979966759002771</v>
      </c>
      <c r="DU29" s="92">
        <v>6.8845678670360106</v>
      </c>
      <c r="DZ29" s="139">
        <v>40</v>
      </c>
      <c r="EA29" s="139">
        <v>419</v>
      </c>
      <c r="EB29" s="139">
        <v>22</v>
      </c>
      <c r="EC29" s="139">
        <v>60</v>
      </c>
      <c r="ED29" s="139">
        <v>10</v>
      </c>
      <c r="EE29" s="139">
        <v>14</v>
      </c>
      <c r="EF29" s="143">
        <v>6</v>
      </c>
      <c r="EG29" s="143">
        <v>60</v>
      </c>
      <c r="EH29" s="143">
        <v>50</v>
      </c>
      <c r="EI29" s="143">
        <v>221</v>
      </c>
    </row>
    <row r="30" spans="1:139">
      <c r="A30" s="175">
        <v>2015</v>
      </c>
      <c r="B30" s="92" t="s">
        <v>339</v>
      </c>
      <c r="C30" s="176">
        <v>71</v>
      </c>
      <c r="D30" s="176">
        <v>227</v>
      </c>
      <c r="E30" s="177">
        <v>0</v>
      </c>
      <c r="F30" s="176">
        <v>0</v>
      </c>
      <c r="G30" s="178">
        <v>70160.295655763563</v>
      </c>
      <c r="H30" s="176">
        <v>71.849999999999994</v>
      </c>
      <c r="I30" s="176">
        <v>191245.26310000001</v>
      </c>
      <c r="J30" s="176">
        <v>0</v>
      </c>
      <c r="K30" s="178">
        <v>147.91636840849438</v>
      </c>
      <c r="L30" s="176">
        <v>0</v>
      </c>
      <c r="M30" s="137">
        <v>31</v>
      </c>
      <c r="N30" s="137">
        <v>30</v>
      </c>
      <c r="O30" s="137">
        <v>30</v>
      </c>
      <c r="P30" s="137">
        <v>31</v>
      </c>
      <c r="Q30" s="137">
        <v>29</v>
      </c>
      <c r="R30" s="137">
        <v>29</v>
      </c>
      <c r="S30" s="137"/>
      <c r="T30" s="137"/>
      <c r="U30" s="137"/>
      <c r="V30" s="137"/>
      <c r="W30" s="137"/>
      <c r="X30" s="137">
        <v>42</v>
      </c>
      <c r="Y30" s="137"/>
      <c r="Z30" s="137">
        <v>30</v>
      </c>
      <c r="AA30" s="137">
        <v>0</v>
      </c>
      <c r="AB30" s="176"/>
      <c r="AC30" s="176">
        <v>0</v>
      </c>
      <c r="AE30" s="179">
        <v>28.484210526315788</v>
      </c>
      <c r="AF30" s="179">
        <v>78.031578947368416</v>
      </c>
      <c r="AG30" s="179">
        <v>22239</v>
      </c>
      <c r="AH30" s="179">
        <v>12.355</v>
      </c>
      <c r="AJ30" s="178">
        <v>71</v>
      </c>
      <c r="AK30" s="176"/>
      <c r="AL30" s="176"/>
      <c r="AM30" s="176"/>
      <c r="AN30" s="176">
        <v>1</v>
      </c>
      <c r="AO30" s="176"/>
      <c r="AP30" s="176"/>
      <c r="AQ30" s="176">
        <v>93</v>
      </c>
      <c r="AR30" s="176">
        <v>1</v>
      </c>
      <c r="AS30" s="176">
        <v>0</v>
      </c>
      <c r="AT30" s="178">
        <v>1</v>
      </c>
      <c r="AU30" s="176"/>
      <c r="AV30" s="178">
        <v>0</v>
      </c>
      <c r="AW30" s="177"/>
      <c r="AX30" s="176">
        <v>0</v>
      </c>
      <c r="AY30" s="176"/>
      <c r="AZ30" s="178">
        <v>0</v>
      </c>
      <c r="BA30" s="176"/>
      <c r="BB30" s="176">
        <v>0</v>
      </c>
      <c r="BC30" s="176">
        <v>0</v>
      </c>
      <c r="BD30" s="180" t="s">
        <v>214</v>
      </c>
      <c r="BE30" s="176"/>
      <c r="BF30" s="178">
        <v>235.2</v>
      </c>
      <c r="BG30" s="176">
        <v>117</v>
      </c>
      <c r="BJ30" s="176"/>
      <c r="BL30" s="176"/>
      <c r="BM30" s="176"/>
      <c r="BN30" s="176"/>
      <c r="BO30" s="176">
        <v>1</v>
      </c>
      <c r="BP30" s="176">
        <v>64341.501940303257</v>
      </c>
      <c r="BQ30" s="176"/>
      <c r="BR30" s="176"/>
      <c r="BS30" s="176"/>
      <c r="BT30" s="176"/>
      <c r="BU30" s="176"/>
      <c r="BV30" s="176"/>
      <c r="BW30" s="178">
        <v>0</v>
      </c>
      <c r="BX30" s="178">
        <v>1264.9100000000001</v>
      </c>
      <c r="BY30" s="92">
        <v>31000</v>
      </c>
      <c r="BZ30" s="92">
        <v>2731</v>
      </c>
      <c r="CA30" s="92">
        <v>14766.555858025336</v>
      </c>
      <c r="CB30" s="176"/>
      <c r="CC30" s="92">
        <v>1895</v>
      </c>
      <c r="CD30" s="92">
        <v>0</v>
      </c>
      <c r="CE30" s="178"/>
      <c r="CF30" s="178"/>
      <c r="CG30" s="178"/>
      <c r="CH30" s="178"/>
      <c r="CI30" s="178"/>
      <c r="CJ30" s="176">
        <v>0</v>
      </c>
      <c r="CK30" s="176">
        <v>0</v>
      </c>
      <c r="CN30" s="92"/>
      <c r="CQ30" s="232">
        <v>235.2</v>
      </c>
      <c r="CR30" s="232">
        <v>71</v>
      </c>
      <c r="CS30" s="176">
        <v>8.91</v>
      </c>
      <c r="CT30" s="92">
        <v>227</v>
      </c>
      <c r="CU30" s="92">
        <v>0</v>
      </c>
      <c r="CV30" s="92">
        <v>0</v>
      </c>
      <c r="CW30" s="92">
        <v>0</v>
      </c>
      <c r="CY30" s="92">
        <v>1</v>
      </c>
      <c r="DE30" s="92">
        <v>210</v>
      </c>
      <c r="DF30" s="135">
        <v>0</v>
      </c>
      <c r="DG30" s="92" t="s">
        <v>210</v>
      </c>
      <c r="DH30" s="92">
        <v>1</v>
      </c>
      <c r="DI30" s="92">
        <v>33.80952380952381</v>
      </c>
      <c r="DJ30" s="92">
        <v>10.263157894736842</v>
      </c>
      <c r="DK30" s="92">
        <v>9.8526315789473689</v>
      </c>
      <c r="DL30" s="92">
        <v>8.3684210526315788</v>
      </c>
      <c r="DM30" s="92">
        <v>9945</v>
      </c>
      <c r="DN30" s="92">
        <v>5616</v>
      </c>
      <c r="DO30" s="92">
        <v>6678</v>
      </c>
      <c r="DP30" s="92">
        <v>34.89473684210526</v>
      </c>
      <c r="DQ30" s="92">
        <v>19.705263157894738</v>
      </c>
      <c r="DR30" s="92">
        <v>23.431578947368422</v>
      </c>
      <c r="DS30" s="92">
        <v>5.5250000000000004</v>
      </c>
      <c r="DT30" s="92">
        <v>3.12</v>
      </c>
      <c r="DU30" s="92">
        <v>3.71</v>
      </c>
      <c r="DZ30" s="139">
        <v>15</v>
      </c>
      <c r="EA30" s="139">
        <v>180</v>
      </c>
      <c r="EB30" s="139">
        <v>22</v>
      </c>
      <c r="EC30" s="139">
        <v>33</v>
      </c>
      <c r="ED30" s="139">
        <v>3</v>
      </c>
      <c r="EE30" s="139">
        <v>9</v>
      </c>
      <c r="EF30" s="143">
        <v>4</v>
      </c>
      <c r="EG30" s="143">
        <v>14</v>
      </c>
      <c r="EH30" s="143">
        <v>32</v>
      </c>
      <c r="EI30" s="143">
        <v>47</v>
      </c>
    </row>
    <row r="31" spans="1:139">
      <c r="A31" s="175">
        <v>2016</v>
      </c>
      <c r="B31" s="92" t="s">
        <v>53</v>
      </c>
      <c r="C31" s="176">
        <v>28</v>
      </c>
      <c r="D31" s="176">
        <v>110</v>
      </c>
      <c r="E31" s="177">
        <v>0</v>
      </c>
      <c r="F31" s="176">
        <v>0</v>
      </c>
      <c r="G31" s="178">
        <v>27826.821992145073</v>
      </c>
      <c r="H31" s="176">
        <v>40.25000000000005</v>
      </c>
      <c r="I31" s="176">
        <v>0</v>
      </c>
      <c r="J31" s="176">
        <v>0</v>
      </c>
      <c r="K31" s="178">
        <v>90</v>
      </c>
      <c r="L31" s="176">
        <v>0</v>
      </c>
      <c r="M31" s="137">
        <v>30</v>
      </c>
      <c r="N31" s="137">
        <v>31</v>
      </c>
      <c r="O31" s="137">
        <v>30</v>
      </c>
      <c r="P31" s="137">
        <v>30</v>
      </c>
      <c r="Q31" s="137">
        <v>30</v>
      </c>
      <c r="R31" s="137">
        <v>30</v>
      </c>
      <c r="S31" s="137"/>
      <c r="T31" s="137"/>
      <c r="U31" s="137"/>
      <c r="V31" s="137"/>
      <c r="W31" s="137"/>
      <c r="X31" s="137">
        <v>0</v>
      </c>
      <c r="Y31" s="137"/>
      <c r="Z31" s="137">
        <v>30</v>
      </c>
      <c r="AA31" s="137">
        <v>0</v>
      </c>
      <c r="AB31" s="176"/>
      <c r="AC31" s="176">
        <v>0</v>
      </c>
      <c r="AE31" s="179">
        <v>0</v>
      </c>
      <c r="AF31" s="179">
        <v>0</v>
      </c>
      <c r="AG31" s="179">
        <v>0</v>
      </c>
      <c r="AH31" s="179">
        <v>0</v>
      </c>
      <c r="AJ31" s="178">
        <v>28</v>
      </c>
      <c r="AK31" s="176"/>
      <c r="AL31" s="176"/>
      <c r="AM31" s="176"/>
      <c r="AN31" s="176">
        <v>1</v>
      </c>
      <c r="AO31" s="176"/>
      <c r="AP31" s="176"/>
      <c r="AQ31" s="176">
        <v>38</v>
      </c>
      <c r="AR31" s="176">
        <v>1</v>
      </c>
      <c r="AS31" s="176">
        <v>0</v>
      </c>
      <c r="AT31" s="178">
        <v>1</v>
      </c>
      <c r="AU31" s="176"/>
      <c r="AV31" s="178">
        <v>1</v>
      </c>
      <c r="AW31" s="177"/>
      <c r="AX31" s="176">
        <v>0</v>
      </c>
      <c r="AY31" s="176"/>
      <c r="AZ31" s="178">
        <v>0</v>
      </c>
      <c r="BA31" s="176"/>
      <c r="BB31" s="176">
        <v>0</v>
      </c>
      <c r="BC31" s="176">
        <v>0</v>
      </c>
      <c r="BD31" s="180" t="s">
        <v>214</v>
      </c>
      <c r="BE31" s="176"/>
      <c r="BF31" s="178">
        <v>211</v>
      </c>
      <c r="BG31" s="176">
        <v>39</v>
      </c>
      <c r="BJ31" s="176"/>
      <c r="BL31" s="176"/>
      <c r="BM31" s="176"/>
      <c r="BN31" s="176"/>
      <c r="BO31" s="176">
        <v>0</v>
      </c>
      <c r="BP31" s="176">
        <v>0</v>
      </c>
      <c r="BQ31" s="176"/>
      <c r="BR31" s="176"/>
      <c r="BS31" s="176"/>
      <c r="BT31" s="176"/>
      <c r="BU31" s="176"/>
      <c r="BV31" s="176"/>
      <c r="BW31" s="178">
        <v>0</v>
      </c>
      <c r="BX31" s="178">
        <v>1739.25</v>
      </c>
      <c r="BY31" s="92">
        <v>10600</v>
      </c>
      <c r="BZ31" s="92">
        <v>3190</v>
      </c>
      <c r="CA31" s="92">
        <v>14541.5</v>
      </c>
      <c r="CB31" s="176"/>
      <c r="CC31" s="92">
        <v>1338</v>
      </c>
      <c r="CD31" s="92">
        <v>0</v>
      </c>
      <c r="CE31" s="178"/>
      <c r="CF31" s="178"/>
      <c r="CG31" s="178"/>
      <c r="CH31" s="178"/>
      <c r="CI31" s="178"/>
      <c r="CJ31" s="176">
        <v>0</v>
      </c>
      <c r="CK31" s="176">
        <v>0</v>
      </c>
      <c r="CN31" s="176">
        <v>-6374</v>
      </c>
      <c r="CQ31" s="232">
        <v>211</v>
      </c>
      <c r="CR31" s="232">
        <v>28</v>
      </c>
      <c r="CS31" s="176">
        <v>0</v>
      </c>
      <c r="CT31" s="92">
        <v>110</v>
      </c>
      <c r="CU31" s="92">
        <v>0</v>
      </c>
      <c r="CV31" s="92">
        <v>0</v>
      </c>
      <c r="CW31" s="92">
        <v>0</v>
      </c>
      <c r="DE31" s="92">
        <v>211</v>
      </c>
      <c r="DF31" s="135">
        <v>0</v>
      </c>
      <c r="DG31" s="92" t="s">
        <v>210</v>
      </c>
      <c r="DH31" s="92">
        <v>1</v>
      </c>
      <c r="DI31" s="92">
        <v>13.270142180094787</v>
      </c>
      <c r="DJ31" s="92">
        <v>0</v>
      </c>
      <c r="DK31" s="92">
        <v>0</v>
      </c>
      <c r="DL31" s="92">
        <v>0</v>
      </c>
      <c r="DM31" s="92">
        <v>0</v>
      </c>
      <c r="DN31" s="92">
        <v>0</v>
      </c>
      <c r="DO31" s="92">
        <v>0</v>
      </c>
      <c r="DP31" s="92">
        <v>0</v>
      </c>
      <c r="DQ31" s="92">
        <v>0</v>
      </c>
      <c r="DR31" s="92">
        <v>0</v>
      </c>
      <c r="DS31" s="92">
        <v>0</v>
      </c>
      <c r="DT31" s="92">
        <v>0</v>
      </c>
      <c r="DU31" s="92">
        <v>0</v>
      </c>
      <c r="DZ31" s="139">
        <v>14</v>
      </c>
      <c r="EA31" s="139">
        <v>181</v>
      </c>
      <c r="EB31" s="139">
        <v>4</v>
      </c>
      <c r="EC31" s="139">
        <v>21</v>
      </c>
      <c r="ED31" s="139">
        <v>1</v>
      </c>
      <c r="EE31" s="139">
        <v>3</v>
      </c>
      <c r="EF31" s="143">
        <v>0</v>
      </c>
      <c r="EG31" s="143">
        <v>14</v>
      </c>
      <c r="EH31" s="143">
        <v>6</v>
      </c>
      <c r="EI31" s="143">
        <v>36</v>
      </c>
    </row>
    <row r="32" spans="1:139">
      <c r="A32" s="175">
        <v>2017</v>
      </c>
      <c r="B32" s="92" t="s">
        <v>340</v>
      </c>
      <c r="C32" s="176">
        <v>98</v>
      </c>
      <c r="D32" s="176">
        <v>272</v>
      </c>
      <c r="E32" s="177">
        <v>0</v>
      </c>
      <c r="F32" s="176">
        <v>0</v>
      </c>
      <c r="G32" s="178">
        <v>52695.378522660612</v>
      </c>
      <c r="H32" s="176">
        <v>81.2</v>
      </c>
      <c r="I32" s="176">
        <v>0</v>
      </c>
      <c r="J32" s="176">
        <v>0</v>
      </c>
      <c r="K32" s="178">
        <v>50.416964924838936</v>
      </c>
      <c r="L32" s="176">
        <v>0</v>
      </c>
      <c r="M32" s="137">
        <v>58</v>
      </c>
      <c r="N32" s="137">
        <v>59</v>
      </c>
      <c r="O32" s="137">
        <v>56</v>
      </c>
      <c r="P32" s="137">
        <v>51</v>
      </c>
      <c r="Q32" s="137">
        <v>56</v>
      </c>
      <c r="R32" s="137">
        <v>57</v>
      </c>
      <c r="S32" s="137"/>
      <c r="T32" s="137"/>
      <c r="U32" s="137"/>
      <c r="V32" s="137"/>
      <c r="W32" s="137"/>
      <c r="X32" s="137">
        <v>0</v>
      </c>
      <c r="Y32" s="137"/>
      <c r="Z32" s="137">
        <v>60</v>
      </c>
      <c r="AA32" s="137">
        <v>0</v>
      </c>
      <c r="AB32" s="176"/>
      <c r="AC32" s="176">
        <v>0</v>
      </c>
      <c r="AE32" s="179">
        <v>0</v>
      </c>
      <c r="AF32" s="179">
        <v>0</v>
      </c>
      <c r="AG32" s="179">
        <v>0</v>
      </c>
      <c r="AH32" s="179">
        <v>0</v>
      </c>
      <c r="AJ32" s="178">
        <v>98</v>
      </c>
      <c r="AK32" s="176"/>
      <c r="AL32" s="176"/>
      <c r="AM32" s="176"/>
      <c r="AO32" s="176"/>
      <c r="AP32" s="176"/>
      <c r="AQ32" s="176">
        <v>115</v>
      </c>
      <c r="AR32" s="176">
        <v>0</v>
      </c>
      <c r="AS32" s="176">
        <v>0</v>
      </c>
      <c r="AT32" s="178">
        <v>1</v>
      </c>
      <c r="AU32" s="176"/>
      <c r="AV32" s="178">
        <v>3</v>
      </c>
      <c r="AW32" s="177"/>
      <c r="AX32" s="176">
        <v>0</v>
      </c>
      <c r="AY32" s="176"/>
      <c r="AZ32" s="178">
        <v>0</v>
      </c>
      <c r="BA32" s="176"/>
      <c r="BB32" s="176">
        <v>0</v>
      </c>
      <c r="BC32" s="176">
        <v>0</v>
      </c>
      <c r="BD32" s="180" t="s">
        <v>214</v>
      </c>
      <c r="BE32" s="176"/>
      <c r="BF32" s="178">
        <v>397</v>
      </c>
      <c r="BG32" s="176">
        <v>63</v>
      </c>
      <c r="BJ32" s="176"/>
      <c r="BL32" s="176"/>
      <c r="BM32" s="176"/>
      <c r="BN32" s="176"/>
      <c r="BO32" s="176">
        <v>1</v>
      </c>
      <c r="BP32" s="176">
        <v>0</v>
      </c>
      <c r="BQ32" s="176"/>
      <c r="BR32" s="176"/>
      <c r="BS32" s="176"/>
      <c r="BT32" s="176"/>
      <c r="BU32" s="176"/>
      <c r="BV32" s="176"/>
      <c r="BW32" s="178">
        <v>0</v>
      </c>
      <c r="BX32" s="178">
        <v>1739.25</v>
      </c>
      <c r="BY32" s="92">
        <v>23870</v>
      </c>
      <c r="BZ32" s="92">
        <v>4904</v>
      </c>
      <c r="CA32" s="92">
        <v>18892.5</v>
      </c>
      <c r="CB32" s="176"/>
      <c r="CC32" s="92">
        <v>2102</v>
      </c>
      <c r="CD32" s="92">
        <v>1</v>
      </c>
      <c r="CE32" s="178"/>
      <c r="CF32" s="178"/>
      <c r="CG32" s="178"/>
      <c r="CH32" s="178"/>
      <c r="CI32" s="178"/>
      <c r="CJ32" s="176">
        <v>0</v>
      </c>
      <c r="CK32" s="176">
        <v>0</v>
      </c>
      <c r="CQ32" s="232">
        <v>397</v>
      </c>
      <c r="CR32" s="232">
        <v>98</v>
      </c>
      <c r="CS32" s="176">
        <v>8.26</v>
      </c>
      <c r="CT32" s="92">
        <v>272</v>
      </c>
      <c r="CU32" s="92">
        <v>0</v>
      </c>
      <c r="CV32" s="92">
        <v>0</v>
      </c>
      <c r="CW32" s="92">
        <v>0</v>
      </c>
      <c r="DE32" s="92">
        <v>397</v>
      </c>
      <c r="DF32" s="135">
        <v>0</v>
      </c>
      <c r="DG32" s="92" t="s">
        <v>210</v>
      </c>
      <c r="DH32" s="92">
        <v>1</v>
      </c>
      <c r="DI32" s="92">
        <v>24.685138539042821</v>
      </c>
      <c r="DJ32" s="92">
        <v>0</v>
      </c>
      <c r="DK32" s="92">
        <v>0</v>
      </c>
      <c r="DL32" s="92">
        <v>0</v>
      </c>
      <c r="DM32" s="92">
        <v>0</v>
      </c>
      <c r="DN32" s="92">
        <v>0</v>
      </c>
      <c r="DO32" s="92">
        <v>0</v>
      </c>
      <c r="DP32" s="92">
        <v>0</v>
      </c>
      <c r="DQ32" s="92">
        <v>0</v>
      </c>
      <c r="DR32" s="92">
        <v>0</v>
      </c>
      <c r="DS32" s="92">
        <v>0</v>
      </c>
      <c r="DT32" s="92">
        <v>0</v>
      </c>
      <c r="DU32" s="92">
        <v>0</v>
      </c>
      <c r="DZ32" s="139">
        <v>32</v>
      </c>
      <c r="EA32" s="139">
        <v>337</v>
      </c>
      <c r="EB32" s="139">
        <v>10</v>
      </c>
      <c r="EC32" s="139">
        <v>8</v>
      </c>
      <c r="ED32" s="139">
        <v>7</v>
      </c>
      <c r="EE32" s="139">
        <v>4</v>
      </c>
      <c r="EF32" s="143">
        <v>18</v>
      </c>
      <c r="EG32" s="143">
        <v>10</v>
      </c>
      <c r="EH32" s="143">
        <v>26</v>
      </c>
      <c r="EI32" s="143">
        <v>28</v>
      </c>
    </row>
    <row r="33" spans="1:139">
      <c r="A33" s="175">
        <v>2073</v>
      </c>
      <c r="B33" s="92" t="s">
        <v>341</v>
      </c>
      <c r="C33" s="176">
        <v>126</v>
      </c>
      <c r="D33" s="176">
        <v>365</v>
      </c>
      <c r="E33" s="177">
        <v>1</v>
      </c>
      <c r="F33" s="176">
        <v>0</v>
      </c>
      <c r="G33" s="178">
        <v>43356.517173771812</v>
      </c>
      <c r="H33" s="176">
        <v>129.95999999999935</v>
      </c>
      <c r="I33" s="176">
        <v>0</v>
      </c>
      <c r="J33" s="176">
        <v>0</v>
      </c>
      <c r="K33" s="178">
        <v>259.16726318301124</v>
      </c>
      <c r="L33" s="176">
        <v>0</v>
      </c>
      <c r="M33" s="137">
        <v>89</v>
      </c>
      <c r="N33" s="137">
        <v>89</v>
      </c>
      <c r="O33" s="137">
        <v>90</v>
      </c>
      <c r="P33" s="137">
        <v>89</v>
      </c>
      <c r="Q33" s="137">
        <v>90</v>
      </c>
      <c r="R33" s="137">
        <v>89</v>
      </c>
      <c r="S33" s="137"/>
      <c r="T33" s="137"/>
      <c r="U33" s="137"/>
      <c r="V33" s="137"/>
      <c r="W33" s="137"/>
      <c r="X33" s="137">
        <v>0</v>
      </c>
      <c r="Y33" s="137"/>
      <c r="Z33" s="137">
        <v>116</v>
      </c>
      <c r="AA33" s="137">
        <v>0</v>
      </c>
      <c r="AB33" s="176"/>
      <c r="AC33" s="176">
        <v>0</v>
      </c>
      <c r="AE33" s="179">
        <v>0</v>
      </c>
      <c r="AF33" s="179">
        <v>0</v>
      </c>
      <c r="AG33" s="179">
        <v>0</v>
      </c>
      <c r="AH33" s="179">
        <v>0</v>
      </c>
      <c r="AJ33" s="178">
        <v>126</v>
      </c>
      <c r="AK33" s="176"/>
      <c r="AL33" s="176"/>
      <c r="AM33" s="176"/>
      <c r="AO33" s="176"/>
      <c r="AP33" s="176"/>
      <c r="AQ33" s="176">
        <v>170</v>
      </c>
      <c r="AR33" s="176">
        <v>1</v>
      </c>
      <c r="AS33" s="176">
        <v>0</v>
      </c>
      <c r="AT33" s="178">
        <v>1</v>
      </c>
      <c r="AU33" s="176"/>
      <c r="AV33" s="178">
        <v>0</v>
      </c>
      <c r="AW33" s="177"/>
      <c r="AX33" s="176">
        <v>0</v>
      </c>
      <c r="AY33" s="176"/>
      <c r="AZ33" s="178">
        <v>0</v>
      </c>
      <c r="BA33" s="176"/>
      <c r="BB33" s="176">
        <v>1</v>
      </c>
      <c r="BC33" s="176">
        <v>0</v>
      </c>
      <c r="BD33" s="180" t="s">
        <v>214</v>
      </c>
      <c r="BE33" s="176"/>
      <c r="BF33" s="178">
        <v>652</v>
      </c>
      <c r="BG33" s="176">
        <v>191</v>
      </c>
      <c r="BJ33" s="176"/>
      <c r="BL33" s="176"/>
      <c r="BM33" s="176"/>
      <c r="BN33" s="176"/>
      <c r="BO33" s="176">
        <v>0</v>
      </c>
      <c r="BP33" s="176">
        <v>0</v>
      </c>
      <c r="BQ33" s="176"/>
      <c r="BR33" s="176"/>
      <c r="BS33" s="176"/>
      <c r="BT33" s="176"/>
      <c r="BU33" s="176"/>
      <c r="BV33" s="176"/>
      <c r="BW33" s="178">
        <v>0</v>
      </c>
      <c r="BX33" s="178">
        <v>1739.25</v>
      </c>
      <c r="BY33" s="92">
        <v>33029</v>
      </c>
      <c r="BZ33" s="92">
        <v>7082</v>
      </c>
      <c r="CA33" s="92">
        <v>36089</v>
      </c>
      <c r="CB33" s="176"/>
      <c r="CC33" s="92">
        <v>3721</v>
      </c>
      <c r="CD33" s="92">
        <v>0</v>
      </c>
      <c r="CE33" s="178"/>
      <c r="CF33" s="178"/>
      <c r="CG33" s="178"/>
      <c r="CH33" s="178"/>
      <c r="CI33" s="178"/>
      <c r="CJ33" s="176">
        <v>0</v>
      </c>
      <c r="CK33" s="176">
        <v>0</v>
      </c>
      <c r="CQ33" s="232">
        <v>652</v>
      </c>
      <c r="CR33" s="232">
        <v>126</v>
      </c>
      <c r="CS33" s="176">
        <v>8.4599999999999937</v>
      </c>
      <c r="CT33" s="92">
        <v>365</v>
      </c>
      <c r="CU33" s="92">
        <v>0</v>
      </c>
      <c r="CV33" s="92">
        <v>0</v>
      </c>
      <c r="CW33" s="92">
        <v>0</v>
      </c>
      <c r="DE33" s="92">
        <v>652</v>
      </c>
      <c r="DF33" s="135">
        <v>0</v>
      </c>
      <c r="DG33" s="92" t="s">
        <v>210</v>
      </c>
      <c r="DH33" s="92">
        <v>1</v>
      </c>
      <c r="DI33" s="92">
        <v>19.325153374233128</v>
      </c>
      <c r="DJ33" s="92">
        <v>0</v>
      </c>
      <c r="DK33" s="92">
        <v>0</v>
      </c>
      <c r="DL33" s="92">
        <v>0</v>
      </c>
      <c r="DM33" s="92">
        <v>0</v>
      </c>
      <c r="DN33" s="92">
        <v>0</v>
      </c>
      <c r="DO33" s="92">
        <v>0</v>
      </c>
      <c r="DP33" s="92">
        <v>0</v>
      </c>
      <c r="DQ33" s="92">
        <v>0</v>
      </c>
      <c r="DR33" s="92">
        <v>0</v>
      </c>
      <c r="DS33" s="92">
        <v>0</v>
      </c>
      <c r="DT33" s="92">
        <v>0</v>
      </c>
      <c r="DU33" s="92">
        <v>0</v>
      </c>
      <c r="DZ33" s="139">
        <v>42</v>
      </c>
      <c r="EA33" s="139">
        <v>536</v>
      </c>
      <c r="EB33" s="139">
        <v>30</v>
      </c>
      <c r="EC33" s="139">
        <v>34</v>
      </c>
      <c r="ED33" s="139">
        <v>16</v>
      </c>
      <c r="EE33" s="139">
        <v>19</v>
      </c>
      <c r="EF33" s="143">
        <v>8</v>
      </c>
      <c r="EG33" s="143">
        <v>38</v>
      </c>
      <c r="EH33" s="143">
        <v>24</v>
      </c>
      <c r="EI33" s="143">
        <v>85</v>
      </c>
    </row>
    <row r="34" spans="1:139">
      <c r="A34" s="175">
        <v>2019</v>
      </c>
      <c r="B34" s="92" t="s">
        <v>56</v>
      </c>
      <c r="C34" s="176">
        <v>117</v>
      </c>
      <c r="D34" s="176">
        <v>676</v>
      </c>
      <c r="E34" s="177">
        <v>0</v>
      </c>
      <c r="F34" s="176">
        <v>0</v>
      </c>
      <c r="G34" s="178">
        <v>86659.37493535431</v>
      </c>
      <c r="H34" s="176">
        <v>98.46916890080432</v>
      </c>
      <c r="I34" s="176">
        <v>0</v>
      </c>
      <c r="J34" s="176">
        <v>0</v>
      </c>
      <c r="K34" s="178">
        <v>75</v>
      </c>
      <c r="L34" s="176">
        <v>0</v>
      </c>
      <c r="M34" s="137">
        <v>90</v>
      </c>
      <c r="N34" s="137">
        <v>120</v>
      </c>
      <c r="O34" s="137">
        <v>0</v>
      </c>
      <c r="P34" s="137">
        <v>0</v>
      </c>
      <c r="Q34" s="137">
        <v>0</v>
      </c>
      <c r="R34" s="137">
        <v>0</v>
      </c>
      <c r="S34" s="137"/>
      <c r="T34" s="137"/>
      <c r="U34" s="137"/>
      <c r="V34" s="137"/>
      <c r="W34" s="137"/>
      <c r="X34" s="137">
        <v>73</v>
      </c>
      <c r="Y34" s="137"/>
      <c r="Z34" s="137">
        <v>90</v>
      </c>
      <c r="AA34" s="137">
        <v>0</v>
      </c>
      <c r="AB34" s="176"/>
      <c r="AC34" s="176">
        <v>0</v>
      </c>
      <c r="AE34" s="179">
        <v>30</v>
      </c>
      <c r="AF34" s="179">
        <v>147.90526315789475</v>
      </c>
      <c r="AG34" s="179">
        <v>42153</v>
      </c>
      <c r="AH34" s="179">
        <v>23.654570906432756</v>
      </c>
      <c r="AJ34" s="178">
        <v>117</v>
      </c>
      <c r="AK34" s="176"/>
      <c r="AL34" s="176"/>
      <c r="AM34" s="176"/>
      <c r="AO34" s="176"/>
      <c r="AP34" s="176"/>
      <c r="AQ34" s="176">
        <v>138</v>
      </c>
      <c r="AR34" s="176">
        <v>1</v>
      </c>
      <c r="AS34" s="176">
        <v>0</v>
      </c>
      <c r="AT34" s="178">
        <v>1</v>
      </c>
      <c r="AU34" s="176"/>
      <c r="AV34" s="178">
        <v>0</v>
      </c>
      <c r="AW34" s="177"/>
      <c r="AX34" s="176">
        <v>0</v>
      </c>
      <c r="AY34" s="176"/>
      <c r="AZ34" s="178">
        <v>0</v>
      </c>
      <c r="BA34" s="176"/>
      <c r="BB34" s="176">
        <v>0</v>
      </c>
      <c r="BC34" s="176">
        <v>0</v>
      </c>
      <c r="BD34" s="180" t="s">
        <v>214</v>
      </c>
      <c r="BE34" s="176"/>
      <c r="BF34" s="178">
        <v>343.8</v>
      </c>
      <c r="BG34" s="176">
        <v>206</v>
      </c>
      <c r="BJ34" s="176"/>
      <c r="BL34" s="176"/>
      <c r="BM34" s="176"/>
      <c r="BN34" s="176"/>
      <c r="BO34" s="176">
        <v>1</v>
      </c>
      <c r="BP34" s="176">
        <v>35595.986657957561</v>
      </c>
      <c r="BQ34" s="176"/>
      <c r="BR34" s="176"/>
      <c r="BS34" s="176"/>
      <c r="BT34" s="176"/>
      <c r="BU34" s="176"/>
      <c r="BV34" s="176"/>
      <c r="BW34" s="178">
        <v>0</v>
      </c>
      <c r="BX34" s="178">
        <v>869.63</v>
      </c>
      <c r="BY34" s="92">
        <v>8955.9328884652041</v>
      </c>
      <c r="BZ34" s="92">
        <v>2276</v>
      </c>
      <c r="CA34" s="92">
        <v>13503.5</v>
      </c>
      <c r="CB34" s="176"/>
      <c r="CC34" s="92">
        <v>1179</v>
      </c>
      <c r="CD34" s="92">
        <v>0</v>
      </c>
      <c r="CE34" s="178"/>
      <c r="CF34" s="178"/>
      <c r="CG34" s="178"/>
      <c r="CH34" s="178"/>
      <c r="CI34" s="178"/>
      <c r="CJ34" s="176">
        <v>0</v>
      </c>
      <c r="CK34" s="176">
        <v>0</v>
      </c>
      <c r="CQ34" s="232">
        <v>343.8</v>
      </c>
      <c r="CR34" s="232">
        <v>134.4</v>
      </c>
      <c r="CS34" s="176">
        <v>12</v>
      </c>
      <c r="CT34" s="92">
        <v>676</v>
      </c>
      <c r="CU34" s="92">
        <v>0</v>
      </c>
      <c r="CV34" s="92">
        <v>0</v>
      </c>
      <c r="CW34" s="92">
        <v>0</v>
      </c>
      <c r="CY34" s="92">
        <v>1</v>
      </c>
      <c r="DE34" s="92">
        <v>300</v>
      </c>
      <c r="DF34" s="135">
        <v>0</v>
      </c>
      <c r="DG34" s="92" t="s">
        <v>280</v>
      </c>
      <c r="DH34" s="92">
        <v>1</v>
      </c>
      <c r="DI34" s="92">
        <v>39</v>
      </c>
      <c r="DJ34" s="92">
        <v>10.263157894736842</v>
      </c>
      <c r="DK34" s="92">
        <v>11.368421052631579</v>
      </c>
      <c r="DL34" s="92">
        <v>8.3684210526315788</v>
      </c>
      <c r="DM34" s="92">
        <v>15210</v>
      </c>
      <c r="DN34" s="92">
        <v>15336</v>
      </c>
      <c r="DO34" s="92">
        <v>11607</v>
      </c>
      <c r="DP34" s="92">
        <v>53.368421052631582</v>
      </c>
      <c r="DQ34" s="92">
        <v>53.810526315789474</v>
      </c>
      <c r="DR34" s="92">
        <v>40.726315789473681</v>
      </c>
      <c r="DS34" s="92">
        <v>8.5352412280701788</v>
      </c>
      <c r="DT34" s="92">
        <v>8.6059473684210559</v>
      </c>
      <c r="DU34" s="92">
        <v>6.5133823099415222</v>
      </c>
      <c r="DZ34" s="139">
        <v>21</v>
      </c>
      <c r="EA34" s="139">
        <v>210</v>
      </c>
      <c r="EB34" s="139">
        <v>47</v>
      </c>
      <c r="EC34" s="139">
        <v>42</v>
      </c>
      <c r="ED34" s="139">
        <v>5</v>
      </c>
      <c r="EE34" s="139">
        <v>8</v>
      </c>
      <c r="EF34" s="143">
        <v>10</v>
      </c>
      <c r="EG34" s="143">
        <v>22</v>
      </c>
      <c r="EH34" s="143">
        <v>132</v>
      </c>
      <c r="EI34" s="143">
        <v>122</v>
      </c>
    </row>
    <row r="35" spans="1:139">
      <c r="A35" s="175">
        <v>2018</v>
      </c>
      <c r="B35" s="92" t="s">
        <v>57</v>
      </c>
      <c r="C35" s="176">
        <v>118</v>
      </c>
      <c r="D35" s="176">
        <v>216</v>
      </c>
      <c r="E35" s="177">
        <v>0</v>
      </c>
      <c r="F35" s="176">
        <v>0</v>
      </c>
      <c r="G35" s="178">
        <v>54.610493827160489</v>
      </c>
      <c r="H35" s="176">
        <v>116.92</v>
      </c>
      <c r="I35" s="176">
        <v>0</v>
      </c>
      <c r="J35" s="176">
        <v>0</v>
      </c>
      <c r="K35" s="178">
        <v>248.33452636602237</v>
      </c>
      <c r="L35" s="176">
        <v>0</v>
      </c>
      <c r="M35" s="137">
        <v>0</v>
      </c>
      <c r="N35" s="137">
        <v>0</v>
      </c>
      <c r="O35" s="137">
        <v>90</v>
      </c>
      <c r="P35" s="137">
        <v>90</v>
      </c>
      <c r="Q35" s="137">
        <v>90</v>
      </c>
      <c r="R35" s="137">
        <v>88</v>
      </c>
      <c r="S35" s="137"/>
      <c r="T35" s="137"/>
      <c r="U35" s="137"/>
      <c r="V35" s="137"/>
      <c r="W35" s="137"/>
      <c r="X35" s="137">
        <v>0</v>
      </c>
      <c r="Y35" s="137"/>
      <c r="Z35" s="137">
        <v>0</v>
      </c>
      <c r="AA35" s="137">
        <v>0</v>
      </c>
      <c r="AB35" s="176"/>
      <c r="AC35" s="176">
        <v>0</v>
      </c>
      <c r="AE35" s="179">
        <v>0</v>
      </c>
      <c r="AF35" s="179">
        <v>0</v>
      </c>
      <c r="AG35" s="179">
        <v>0</v>
      </c>
      <c r="AH35" s="179">
        <v>0</v>
      </c>
      <c r="AJ35" s="178">
        <v>118</v>
      </c>
      <c r="AK35" s="176"/>
      <c r="AL35" s="176"/>
      <c r="AM35" s="176"/>
      <c r="AO35" s="176"/>
      <c r="AP35" s="176"/>
      <c r="AQ35" s="176">
        <v>194</v>
      </c>
      <c r="AR35" s="176">
        <v>1</v>
      </c>
      <c r="AS35" s="176">
        <v>0</v>
      </c>
      <c r="AT35" s="178">
        <v>1</v>
      </c>
      <c r="AU35" s="176"/>
      <c r="AV35" s="178">
        <v>3</v>
      </c>
      <c r="AW35" s="177"/>
      <c r="AX35" s="176">
        <v>0</v>
      </c>
      <c r="AY35" s="176"/>
      <c r="AZ35" s="178">
        <v>1</v>
      </c>
      <c r="BA35" s="176"/>
      <c r="BB35" s="176">
        <v>0</v>
      </c>
      <c r="BC35" s="176">
        <v>0</v>
      </c>
      <c r="BD35" s="180" t="s">
        <v>214</v>
      </c>
      <c r="BE35" s="176"/>
      <c r="BF35" s="178">
        <v>358</v>
      </c>
      <c r="BG35" s="176">
        <v>181</v>
      </c>
      <c r="BJ35" s="176"/>
      <c r="BL35" s="176"/>
      <c r="BM35" s="176"/>
      <c r="BN35" s="176"/>
      <c r="BO35" s="176">
        <v>1</v>
      </c>
      <c r="BP35" s="176">
        <v>37541.409857875471</v>
      </c>
      <c r="BQ35" s="176"/>
      <c r="BR35" s="176"/>
      <c r="BS35" s="176"/>
      <c r="BT35" s="176"/>
      <c r="BU35" s="176"/>
      <c r="BV35" s="176"/>
      <c r="BW35" s="178">
        <v>0</v>
      </c>
      <c r="BX35" s="178">
        <v>869.62</v>
      </c>
      <c r="BY35" s="92">
        <v>11912.067111534796</v>
      </c>
      <c r="BZ35" s="92">
        <v>2890</v>
      </c>
      <c r="CA35" s="92">
        <v>13503.5</v>
      </c>
      <c r="CB35" s="176"/>
      <c r="CC35" s="92">
        <v>2028</v>
      </c>
      <c r="CD35" s="92">
        <v>0</v>
      </c>
      <c r="CE35" s="178"/>
      <c r="CF35" s="178"/>
      <c r="CG35" s="178"/>
      <c r="CH35" s="178"/>
      <c r="CI35" s="178"/>
      <c r="CJ35" s="176">
        <v>0</v>
      </c>
      <c r="CK35" s="176">
        <v>0</v>
      </c>
      <c r="CQ35" s="232">
        <v>358</v>
      </c>
      <c r="CR35" s="232">
        <v>118</v>
      </c>
      <c r="CS35" s="176">
        <v>30.6</v>
      </c>
      <c r="CT35" s="92">
        <v>216</v>
      </c>
      <c r="CU35" s="92">
        <v>0</v>
      </c>
      <c r="CV35" s="92">
        <v>0</v>
      </c>
      <c r="CW35" s="92">
        <v>0</v>
      </c>
      <c r="DE35" s="92">
        <v>358</v>
      </c>
      <c r="DF35" s="135">
        <v>0</v>
      </c>
      <c r="DG35" s="92" t="s">
        <v>279</v>
      </c>
      <c r="DH35" s="92">
        <v>1</v>
      </c>
      <c r="DI35" s="92">
        <v>32.960893854748605</v>
      </c>
      <c r="DJ35" s="92">
        <v>0</v>
      </c>
      <c r="DK35" s="92">
        <v>0</v>
      </c>
      <c r="DL35" s="92">
        <v>0</v>
      </c>
      <c r="DM35" s="92">
        <v>0</v>
      </c>
      <c r="DN35" s="92">
        <v>0</v>
      </c>
      <c r="DO35" s="92">
        <v>0</v>
      </c>
      <c r="DP35" s="92">
        <v>0</v>
      </c>
      <c r="DQ35" s="92">
        <v>0</v>
      </c>
      <c r="DR35" s="92">
        <v>0</v>
      </c>
      <c r="DS35" s="92">
        <v>0</v>
      </c>
      <c r="DT35" s="92">
        <v>0</v>
      </c>
      <c r="DU35" s="92">
        <v>0</v>
      </c>
      <c r="DZ35" s="139">
        <v>29</v>
      </c>
      <c r="EA35" s="139">
        <v>358</v>
      </c>
      <c r="EB35" s="139">
        <v>28</v>
      </c>
      <c r="EC35" s="139">
        <v>60</v>
      </c>
      <c r="ED35" s="139">
        <v>9</v>
      </c>
      <c r="EE35" s="139">
        <v>10</v>
      </c>
      <c r="EF35" s="143">
        <v>16</v>
      </c>
      <c r="EG35" s="143">
        <v>26</v>
      </c>
      <c r="EH35" s="143">
        <v>0</v>
      </c>
      <c r="EI35" s="143">
        <v>0</v>
      </c>
    </row>
    <row r="36" spans="1:139">
      <c r="A36" s="175">
        <v>2021</v>
      </c>
      <c r="B36" s="92" t="s">
        <v>58</v>
      </c>
      <c r="C36" s="176">
        <v>99</v>
      </c>
      <c r="D36" s="176">
        <v>659</v>
      </c>
      <c r="E36" s="177">
        <v>0</v>
      </c>
      <c r="F36" s="176">
        <v>0</v>
      </c>
      <c r="G36" s="178">
        <v>78953.580124951972</v>
      </c>
      <c r="H36" s="176">
        <v>95.447177177177082</v>
      </c>
      <c r="I36" s="176">
        <v>0</v>
      </c>
      <c r="J36" s="176">
        <v>0</v>
      </c>
      <c r="K36" s="178">
        <v>165</v>
      </c>
      <c r="L36" s="176">
        <v>0</v>
      </c>
      <c r="M36" s="137">
        <v>86</v>
      </c>
      <c r="N36" s="137">
        <v>90</v>
      </c>
      <c r="O36" s="137">
        <v>0</v>
      </c>
      <c r="P36" s="137">
        <v>0</v>
      </c>
      <c r="Q36" s="137">
        <v>0</v>
      </c>
      <c r="R36" s="137">
        <v>0</v>
      </c>
      <c r="S36" s="137"/>
      <c r="T36" s="137"/>
      <c r="U36" s="137"/>
      <c r="V36" s="137"/>
      <c r="W36" s="137"/>
      <c r="X36" s="137">
        <v>52</v>
      </c>
      <c r="Y36" s="137"/>
      <c r="Z36" s="137">
        <v>105</v>
      </c>
      <c r="AA36" s="137">
        <v>0</v>
      </c>
      <c r="AB36" s="176"/>
      <c r="AC36" s="176">
        <v>0</v>
      </c>
      <c r="AE36" s="179">
        <v>30</v>
      </c>
      <c r="AF36" s="179">
        <v>98.15789473684211</v>
      </c>
      <c r="AG36" s="179">
        <v>27975</v>
      </c>
      <c r="AH36" s="179">
        <v>17.196508097165999</v>
      </c>
      <c r="AJ36" s="178">
        <v>99</v>
      </c>
      <c r="AK36" s="176"/>
      <c r="AL36" s="176"/>
      <c r="AM36" s="176"/>
      <c r="AO36" s="176">
        <v>40784.85</v>
      </c>
      <c r="AP36" s="176"/>
      <c r="AQ36" s="176">
        <v>119</v>
      </c>
      <c r="AR36" s="176">
        <v>1</v>
      </c>
      <c r="AS36" s="176">
        <v>0</v>
      </c>
      <c r="AT36" s="178">
        <v>1</v>
      </c>
      <c r="AU36" s="176"/>
      <c r="AV36" s="178">
        <v>0</v>
      </c>
      <c r="AW36" s="177"/>
      <c r="AX36" s="176">
        <v>0</v>
      </c>
      <c r="AY36" s="176"/>
      <c r="AZ36" s="178">
        <v>0</v>
      </c>
      <c r="BA36" s="176"/>
      <c r="BB36" s="176">
        <v>0</v>
      </c>
      <c r="BC36" s="176">
        <v>0</v>
      </c>
      <c r="BD36" s="180" t="s">
        <v>214</v>
      </c>
      <c r="BE36" s="176"/>
      <c r="BF36" s="178">
        <v>312.2</v>
      </c>
      <c r="BG36" s="176">
        <v>189</v>
      </c>
      <c r="BJ36" s="176"/>
      <c r="BL36" s="176"/>
      <c r="BM36" s="176"/>
      <c r="BN36" s="176"/>
      <c r="BO36" s="176">
        <v>0</v>
      </c>
      <c r="BP36" s="176">
        <v>0</v>
      </c>
      <c r="BQ36" s="176"/>
      <c r="BR36" s="176"/>
      <c r="BS36" s="176"/>
      <c r="BT36" s="176"/>
      <c r="BU36" s="176"/>
      <c r="BV36" s="176"/>
      <c r="BW36" s="178">
        <v>0</v>
      </c>
      <c r="BX36" s="178">
        <v>869.63</v>
      </c>
      <c r="BY36" s="92">
        <v>13300</v>
      </c>
      <c r="BZ36" s="92">
        <v>2823</v>
      </c>
      <c r="CA36" s="92">
        <v>18320</v>
      </c>
      <c r="CB36" s="176"/>
      <c r="CC36" s="92">
        <v>1844.48</v>
      </c>
      <c r="CD36" s="92">
        <v>0</v>
      </c>
      <c r="CE36" s="178"/>
      <c r="CF36" s="178"/>
      <c r="CG36" s="178"/>
      <c r="CH36" s="178"/>
      <c r="CI36" s="178"/>
      <c r="CJ36" s="176">
        <v>0</v>
      </c>
      <c r="CK36" s="176">
        <v>0</v>
      </c>
      <c r="CQ36" s="232">
        <v>312.2</v>
      </c>
      <c r="CR36" s="232">
        <v>108</v>
      </c>
      <c r="CS36" s="176">
        <v>18</v>
      </c>
      <c r="CT36" s="92">
        <v>659</v>
      </c>
      <c r="CU36" s="92">
        <v>0</v>
      </c>
      <c r="CV36" s="92">
        <v>0</v>
      </c>
      <c r="CW36" s="92">
        <v>0</v>
      </c>
      <c r="CY36" s="92">
        <v>1</v>
      </c>
      <c r="DE36" s="92">
        <v>281</v>
      </c>
      <c r="DF36" s="135">
        <v>0</v>
      </c>
      <c r="DG36" s="92" t="s">
        <v>280</v>
      </c>
      <c r="DH36" s="92">
        <v>1</v>
      </c>
      <c r="DI36" s="92">
        <v>35.231316725978644</v>
      </c>
      <c r="DJ36" s="92">
        <v>10.263157894736842</v>
      </c>
      <c r="DK36" s="92">
        <v>11.368421052631579</v>
      </c>
      <c r="DL36" s="92">
        <v>8.3684210526315788</v>
      </c>
      <c r="DM36" s="92">
        <v>9555</v>
      </c>
      <c r="DN36" s="92">
        <v>10152</v>
      </c>
      <c r="DO36" s="92">
        <v>8268</v>
      </c>
      <c r="DP36" s="92">
        <v>33.526315789473685</v>
      </c>
      <c r="DQ36" s="92">
        <v>35.621052631578948</v>
      </c>
      <c r="DR36" s="92">
        <v>29.01052631578947</v>
      </c>
      <c r="DS36" s="92">
        <v>5.8735526315789501</v>
      </c>
      <c r="DT36" s="92">
        <v>6.2405344129554674</v>
      </c>
      <c r="DU36" s="92">
        <v>5.0824210526315809</v>
      </c>
      <c r="DZ36" s="139">
        <v>23</v>
      </c>
      <c r="EA36" s="139">
        <v>176</v>
      </c>
      <c r="EB36" s="139">
        <v>37</v>
      </c>
      <c r="EC36" s="139">
        <v>22</v>
      </c>
      <c r="ED36" s="139">
        <v>16</v>
      </c>
      <c r="EE36" s="139">
        <v>8</v>
      </c>
      <c r="EF36" s="143">
        <v>18</v>
      </c>
      <c r="EG36" s="143">
        <v>16</v>
      </c>
      <c r="EH36" s="143">
        <v>106</v>
      </c>
      <c r="EI36" s="143">
        <v>151</v>
      </c>
    </row>
    <row r="37" spans="1:139">
      <c r="A37" s="175">
        <v>5200</v>
      </c>
      <c r="B37" s="92" t="s">
        <v>59</v>
      </c>
      <c r="C37" s="176">
        <v>113</v>
      </c>
      <c r="D37" s="176">
        <v>318</v>
      </c>
      <c r="E37" s="177">
        <v>0</v>
      </c>
      <c r="F37" s="176">
        <v>0</v>
      </c>
      <c r="G37" s="178">
        <v>97.01</v>
      </c>
      <c r="H37" s="176">
        <v>110.46</v>
      </c>
      <c r="I37" s="176">
        <v>0</v>
      </c>
      <c r="J37" s="176">
        <v>0</v>
      </c>
      <c r="K37" s="178">
        <v>260</v>
      </c>
      <c r="L37" s="176">
        <v>0</v>
      </c>
      <c r="M37" s="137">
        <v>0</v>
      </c>
      <c r="N37" s="137">
        <v>0</v>
      </c>
      <c r="O37" s="137">
        <v>90</v>
      </c>
      <c r="P37" s="137">
        <v>89</v>
      </c>
      <c r="Q37" s="137">
        <v>78</v>
      </c>
      <c r="R37" s="137">
        <v>78</v>
      </c>
      <c r="S37" s="137"/>
      <c r="T37" s="137"/>
      <c r="U37" s="137"/>
      <c r="V37" s="137"/>
      <c r="W37" s="137"/>
      <c r="X37" s="137">
        <v>0</v>
      </c>
      <c r="Y37" s="137"/>
      <c r="Z37" s="137">
        <v>0</v>
      </c>
      <c r="AA37" s="137">
        <v>0</v>
      </c>
      <c r="AB37" s="176"/>
      <c r="AC37" s="176">
        <v>0</v>
      </c>
      <c r="AE37" s="179">
        <v>0</v>
      </c>
      <c r="AF37" s="179">
        <v>0</v>
      </c>
      <c r="AG37" s="179">
        <v>0</v>
      </c>
      <c r="AH37" s="179">
        <v>0</v>
      </c>
      <c r="AJ37" s="178">
        <v>113</v>
      </c>
      <c r="AK37" s="176"/>
      <c r="AL37" s="176"/>
      <c r="AM37" s="176"/>
      <c r="AN37" s="176">
        <v>0</v>
      </c>
      <c r="AO37" s="176"/>
      <c r="AP37" s="176"/>
      <c r="AQ37" s="176">
        <v>172</v>
      </c>
      <c r="AR37" s="176">
        <v>2</v>
      </c>
      <c r="AS37" s="176">
        <v>0</v>
      </c>
      <c r="AT37" s="178">
        <v>1</v>
      </c>
      <c r="AU37" s="176"/>
      <c r="AV37" s="178">
        <v>0</v>
      </c>
      <c r="AW37" s="177"/>
      <c r="AX37" s="176">
        <v>0</v>
      </c>
      <c r="AY37" s="176"/>
      <c r="AZ37" s="178">
        <v>0</v>
      </c>
      <c r="BA37" s="176"/>
      <c r="BB37" s="176">
        <v>0</v>
      </c>
      <c r="BC37" s="176">
        <v>0</v>
      </c>
      <c r="BD37" s="180" t="s">
        <v>599</v>
      </c>
      <c r="BE37" s="176"/>
      <c r="BF37" s="178">
        <v>335</v>
      </c>
      <c r="BG37" s="176">
        <v>185</v>
      </c>
      <c r="BJ37" s="176"/>
      <c r="BL37" s="176"/>
      <c r="BM37" s="176"/>
      <c r="BN37" s="176"/>
      <c r="BO37" s="176">
        <v>0</v>
      </c>
      <c r="BP37" s="176">
        <v>0</v>
      </c>
      <c r="BQ37" s="176"/>
      <c r="BR37" s="176"/>
      <c r="BS37" s="176"/>
      <c r="BT37" s="176"/>
      <c r="BU37" s="176"/>
      <c r="BV37" s="176"/>
      <c r="BW37" s="178">
        <v>0</v>
      </c>
      <c r="BX37" s="178">
        <v>869.62</v>
      </c>
      <c r="BY37" s="92">
        <v>18100</v>
      </c>
      <c r="BZ37" s="92">
        <v>3246</v>
      </c>
      <c r="CA37" s="92">
        <v>0</v>
      </c>
      <c r="CB37" s="176"/>
      <c r="CC37" s="92">
        <v>3002</v>
      </c>
      <c r="CD37" s="92">
        <v>0</v>
      </c>
      <c r="CE37" s="178"/>
      <c r="CF37" s="178"/>
      <c r="CG37" s="178"/>
      <c r="CH37" s="178"/>
      <c r="CI37" s="178"/>
      <c r="CJ37" s="176">
        <v>0</v>
      </c>
      <c r="CK37" s="176">
        <v>0</v>
      </c>
      <c r="CQ37" s="232">
        <v>335</v>
      </c>
      <c r="CR37" s="232">
        <v>113</v>
      </c>
      <c r="CS37" s="176">
        <v>25.2</v>
      </c>
      <c r="CT37" s="92">
        <v>318</v>
      </c>
      <c r="CU37" s="92">
        <v>0</v>
      </c>
      <c r="CV37" s="92">
        <v>0</v>
      </c>
      <c r="CW37" s="92">
        <v>0</v>
      </c>
      <c r="DE37" s="92">
        <v>335</v>
      </c>
      <c r="DF37" s="135">
        <v>0</v>
      </c>
      <c r="DG37" s="92" t="s">
        <v>279</v>
      </c>
      <c r="DH37" s="92">
        <v>1</v>
      </c>
      <c r="DI37" s="92">
        <v>33.731343283582085</v>
      </c>
      <c r="DJ37" s="92">
        <v>0</v>
      </c>
      <c r="DK37" s="92">
        <v>0</v>
      </c>
      <c r="DL37" s="92">
        <v>0</v>
      </c>
      <c r="DM37" s="92">
        <v>0</v>
      </c>
      <c r="DN37" s="92">
        <v>0</v>
      </c>
      <c r="DO37" s="92">
        <v>0</v>
      </c>
      <c r="DP37" s="92">
        <v>0</v>
      </c>
      <c r="DQ37" s="92">
        <v>0</v>
      </c>
      <c r="DR37" s="92">
        <v>0</v>
      </c>
      <c r="DS37" s="92">
        <v>0</v>
      </c>
      <c r="DT37" s="92">
        <v>0</v>
      </c>
      <c r="DU37" s="92">
        <v>0</v>
      </c>
      <c r="DZ37" s="139">
        <v>40</v>
      </c>
      <c r="EA37" s="139">
        <v>335</v>
      </c>
      <c r="EB37" s="139">
        <v>40</v>
      </c>
      <c r="EC37" s="139">
        <v>31</v>
      </c>
      <c r="ED37" s="139">
        <v>9</v>
      </c>
      <c r="EE37" s="139">
        <v>7</v>
      </c>
      <c r="EF37" s="143">
        <v>26</v>
      </c>
      <c r="EG37" s="143">
        <v>34</v>
      </c>
      <c r="EH37" s="143">
        <v>0</v>
      </c>
      <c r="EI37" s="143">
        <v>0</v>
      </c>
    </row>
    <row r="38" spans="1:139">
      <c r="A38" s="175">
        <v>5999</v>
      </c>
      <c r="B38" s="92" t="s">
        <v>600</v>
      </c>
      <c r="C38" s="176">
        <v>0</v>
      </c>
      <c r="D38" s="176">
        <v>0</v>
      </c>
      <c r="E38" s="177">
        <v>0</v>
      </c>
      <c r="F38" s="176">
        <v>0</v>
      </c>
      <c r="G38" s="178"/>
      <c r="H38" s="176">
        <v>0</v>
      </c>
      <c r="I38" s="176">
        <v>0</v>
      </c>
      <c r="J38" s="176">
        <v>0</v>
      </c>
      <c r="K38" s="178">
        <v>0</v>
      </c>
      <c r="L38" s="176">
        <v>0</v>
      </c>
      <c r="M38" s="137">
        <v>0</v>
      </c>
      <c r="N38" s="137">
        <v>0</v>
      </c>
      <c r="O38" s="137">
        <v>0</v>
      </c>
      <c r="P38" s="137">
        <v>0</v>
      </c>
      <c r="Q38" s="137">
        <v>0</v>
      </c>
      <c r="R38" s="137">
        <v>0</v>
      </c>
      <c r="S38" s="137"/>
      <c r="T38" s="137"/>
      <c r="U38" s="137"/>
      <c r="V38" s="137"/>
      <c r="W38" s="137"/>
      <c r="X38" s="137">
        <v>0</v>
      </c>
      <c r="Y38" s="137"/>
      <c r="Z38" s="137">
        <v>0</v>
      </c>
      <c r="AA38" s="137">
        <v>0</v>
      </c>
      <c r="AB38" s="176"/>
      <c r="AC38" s="176">
        <v>0</v>
      </c>
      <c r="AE38" s="179">
        <v>0</v>
      </c>
      <c r="AF38" s="179">
        <v>0</v>
      </c>
      <c r="AG38" s="179">
        <v>0</v>
      </c>
      <c r="AH38" s="179">
        <v>0</v>
      </c>
      <c r="AJ38" s="178">
        <v>0</v>
      </c>
      <c r="AK38" s="176"/>
      <c r="AL38" s="176"/>
      <c r="AM38" s="176"/>
      <c r="AN38" s="176">
        <v>0</v>
      </c>
      <c r="AO38" s="176"/>
      <c r="AP38" s="176"/>
      <c r="AQ38" s="176">
        <v>0</v>
      </c>
      <c r="AR38" s="176">
        <v>0</v>
      </c>
      <c r="AS38" s="176">
        <v>0</v>
      </c>
      <c r="AT38" s="178">
        <v>1</v>
      </c>
      <c r="AU38" s="176"/>
      <c r="AV38" s="178">
        <v>0</v>
      </c>
      <c r="AW38" s="177"/>
      <c r="AX38" s="176">
        <v>0</v>
      </c>
      <c r="AY38" s="176"/>
      <c r="AZ38" s="178">
        <v>0</v>
      </c>
      <c r="BA38" s="176"/>
      <c r="BB38" s="176">
        <v>0</v>
      </c>
      <c r="BC38" s="176">
        <v>0</v>
      </c>
      <c r="BD38" s="180" t="s">
        <v>601</v>
      </c>
      <c r="BE38" s="176"/>
      <c r="BF38" s="178">
        <v>0</v>
      </c>
      <c r="BG38" s="176">
        <v>0</v>
      </c>
      <c r="BJ38" s="176"/>
      <c r="BL38" s="176"/>
      <c r="BM38" s="176"/>
      <c r="BN38" s="176"/>
      <c r="BO38" s="176">
        <v>0</v>
      </c>
      <c r="BP38" s="176">
        <v>0</v>
      </c>
      <c r="BQ38" s="176"/>
      <c r="BR38" s="176"/>
      <c r="BS38" s="176"/>
      <c r="BT38" s="176"/>
      <c r="BU38" s="176"/>
      <c r="BV38" s="176"/>
      <c r="BW38" s="178">
        <v>0</v>
      </c>
      <c r="BX38" s="178">
        <v>0</v>
      </c>
      <c r="BZ38" s="92">
        <v>0</v>
      </c>
      <c r="CA38" s="92">
        <v>0</v>
      </c>
      <c r="CB38" s="176"/>
      <c r="CC38" s="92">
        <v>0</v>
      </c>
      <c r="CD38" s="92">
        <v>0</v>
      </c>
      <c r="CE38" s="178"/>
      <c r="CF38" s="178"/>
      <c r="CG38" s="178"/>
      <c r="CH38" s="178"/>
      <c r="CI38" s="178"/>
      <c r="CJ38" s="176">
        <v>0</v>
      </c>
      <c r="CK38" s="176">
        <v>0</v>
      </c>
      <c r="CQ38" s="232">
        <v>0</v>
      </c>
      <c r="CR38" s="232">
        <v>0</v>
      </c>
      <c r="CS38" s="176">
        <v>0</v>
      </c>
      <c r="CT38" s="92">
        <v>0</v>
      </c>
      <c r="CU38" s="92">
        <v>0</v>
      </c>
      <c r="CV38" s="92">
        <v>0</v>
      </c>
      <c r="CW38" s="92">
        <v>0</v>
      </c>
      <c r="DE38" s="92">
        <v>0</v>
      </c>
      <c r="DF38" s="135">
        <v>0</v>
      </c>
      <c r="DG38" s="92" t="s">
        <v>210</v>
      </c>
      <c r="DI38" s="92">
        <v>0</v>
      </c>
      <c r="DJ38" s="92">
        <v>0</v>
      </c>
      <c r="DK38" s="92">
        <v>0</v>
      </c>
      <c r="DL38" s="92">
        <v>0</v>
      </c>
      <c r="DM38" s="92">
        <v>0</v>
      </c>
      <c r="DN38" s="92">
        <v>0</v>
      </c>
      <c r="DO38" s="92">
        <v>0</v>
      </c>
      <c r="DP38" s="92">
        <v>0</v>
      </c>
      <c r="DQ38" s="92">
        <v>0</v>
      </c>
      <c r="DR38" s="92">
        <v>0</v>
      </c>
      <c r="DS38" s="92">
        <v>0</v>
      </c>
      <c r="DT38" s="92">
        <v>0</v>
      </c>
      <c r="DU38" s="92">
        <v>0</v>
      </c>
      <c r="DZ38" s="139">
        <v>0</v>
      </c>
      <c r="EA38" s="139">
        <v>0</v>
      </c>
      <c r="EB38" s="139">
        <v>0</v>
      </c>
      <c r="EC38" s="139">
        <v>0</v>
      </c>
      <c r="ED38" s="139">
        <v>0</v>
      </c>
      <c r="EE38" s="139">
        <v>0</v>
      </c>
      <c r="EF38" s="143">
        <v>0</v>
      </c>
      <c r="EG38" s="143">
        <v>0</v>
      </c>
      <c r="EH38" s="143">
        <v>0</v>
      </c>
      <c r="EI38" s="143">
        <v>0</v>
      </c>
    </row>
    <row r="39" spans="1:139">
      <c r="A39" s="175">
        <v>2023</v>
      </c>
      <c r="B39" s="92" t="s">
        <v>60</v>
      </c>
      <c r="C39" s="176">
        <v>81</v>
      </c>
      <c r="D39" s="176">
        <v>667</v>
      </c>
      <c r="E39" s="177">
        <v>0</v>
      </c>
      <c r="F39" s="176">
        <v>0</v>
      </c>
      <c r="G39" s="178">
        <v>68256.896881759414</v>
      </c>
      <c r="H39" s="176">
        <v>101.12182857142888</v>
      </c>
      <c r="I39" s="176">
        <v>0</v>
      </c>
      <c r="J39" s="176">
        <v>0</v>
      </c>
      <c r="K39" s="178">
        <v>155</v>
      </c>
      <c r="L39" s="176">
        <v>0</v>
      </c>
      <c r="M39" s="137">
        <v>89</v>
      </c>
      <c r="N39" s="137">
        <v>94</v>
      </c>
      <c r="O39" s="137">
        <v>0</v>
      </c>
      <c r="P39" s="137">
        <v>0</v>
      </c>
      <c r="Q39" s="137">
        <v>0</v>
      </c>
      <c r="R39" s="137">
        <v>0</v>
      </c>
      <c r="S39" s="137"/>
      <c r="T39" s="137"/>
      <c r="U39" s="137"/>
      <c r="V39" s="137"/>
      <c r="W39" s="137"/>
      <c r="X39" s="137">
        <v>78</v>
      </c>
      <c r="Y39" s="137"/>
      <c r="Z39" s="137">
        <v>89</v>
      </c>
      <c r="AA39" s="137">
        <v>0</v>
      </c>
      <c r="AB39" s="176"/>
      <c r="AC39" s="176">
        <v>0</v>
      </c>
      <c r="AE39" s="179">
        <v>30</v>
      </c>
      <c r="AF39" s="179">
        <v>148.42105263157896</v>
      </c>
      <c r="AG39" s="179">
        <v>42300</v>
      </c>
      <c r="AH39" s="179">
        <v>27.553036437246956</v>
      </c>
      <c r="AJ39" s="178">
        <v>81</v>
      </c>
      <c r="AK39" s="176"/>
      <c r="AL39" s="176"/>
      <c r="AM39" s="176"/>
      <c r="AN39" s="176">
        <v>0</v>
      </c>
      <c r="AO39" s="176">
        <v>10875.96</v>
      </c>
      <c r="AP39" s="176"/>
      <c r="AQ39" s="176">
        <v>100</v>
      </c>
      <c r="AR39" s="176">
        <v>0</v>
      </c>
      <c r="AS39" s="176">
        <v>0</v>
      </c>
      <c r="AT39" s="178">
        <v>1</v>
      </c>
      <c r="AU39" s="176"/>
      <c r="AV39" s="178">
        <v>2</v>
      </c>
      <c r="AW39" s="177"/>
      <c r="AX39" s="176">
        <v>0</v>
      </c>
      <c r="AY39" s="176"/>
      <c r="AZ39" s="178">
        <v>0</v>
      </c>
      <c r="BA39" s="176"/>
      <c r="BB39" s="176">
        <v>0</v>
      </c>
      <c r="BC39" s="176">
        <v>0</v>
      </c>
      <c r="BD39" s="180" t="s">
        <v>214</v>
      </c>
      <c r="BE39" s="176"/>
      <c r="BF39" s="178">
        <v>318.8</v>
      </c>
      <c r="BG39" s="176">
        <v>120</v>
      </c>
      <c r="BJ39" s="176"/>
      <c r="BL39" s="176"/>
      <c r="BM39" s="176"/>
      <c r="BN39" s="176"/>
      <c r="BO39" s="176">
        <v>0</v>
      </c>
      <c r="BP39" s="176">
        <v>62673.387323220268</v>
      </c>
      <c r="BQ39" s="176"/>
      <c r="BR39" s="176"/>
      <c r="BS39" s="176"/>
      <c r="BT39" s="176"/>
      <c r="BU39" s="176"/>
      <c r="BV39" s="176"/>
      <c r="BW39" s="178">
        <v>0</v>
      </c>
      <c r="BX39" s="178">
        <v>869.63</v>
      </c>
      <c r="BY39" s="92">
        <v>6300.8642568077375</v>
      </c>
      <c r="BZ39" s="92">
        <v>2193</v>
      </c>
      <c r="CA39" s="92">
        <v>8759.25</v>
      </c>
      <c r="CB39" s="176"/>
      <c r="CC39" s="92">
        <v>1360</v>
      </c>
      <c r="CD39" s="92">
        <v>0</v>
      </c>
      <c r="CE39" s="178"/>
      <c r="CF39" s="178"/>
      <c r="CG39" s="178"/>
      <c r="CH39" s="178"/>
      <c r="CI39" s="178"/>
      <c r="CJ39" s="176">
        <v>0</v>
      </c>
      <c r="CK39" s="176">
        <v>0</v>
      </c>
      <c r="CQ39" s="232">
        <v>318.8</v>
      </c>
      <c r="CR39" s="232">
        <v>90.6</v>
      </c>
      <c r="CS39" s="176">
        <v>25</v>
      </c>
      <c r="CT39" s="92">
        <v>667</v>
      </c>
      <c r="CU39" s="92">
        <v>0</v>
      </c>
      <c r="CV39" s="92">
        <v>0</v>
      </c>
      <c r="CW39" s="92">
        <v>0</v>
      </c>
      <c r="DE39" s="92">
        <v>272</v>
      </c>
      <c r="DF39" s="135">
        <v>0</v>
      </c>
      <c r="DG39" s="92" t="s">
        <v>280</v>
      </c>
      <c r="DH39" s="92">
        <v>1</v>
      </c>
      <c r="DI39" s="92">
        <v>29.77941176470588</v>
      </c>
      <c r="DJ39" s="92">
        <v>10.263157894736842</v>
      </c>
      <c r="DK39" s="92">
        <v>11.368421052631579</v>
      </c>
      <c r="DL39" s="92">
        <v>8.3684210526315788</v>
      </c>
      <c r="DM39" s="92">
        <v>15210</v>
      </c>
      <c r="DN39" s="92">
        <v>14688</v>
      </c>
      <c r="DO39" s="92">
        <v>12402</v>
      </c>
      <c r="DP39" s="92">
        <v>53.368421052631582</v>
      </c>
      <c r="DQ39" s="92">
        <v>51.536842105263162</v>
      </c>
      <c r="DR39" s="92">
        <v>43.515789473684208</v>
      </c>
      <c r="DS39" s="92">
        <v>9.9073684210526292</v>
      </c>
      <c r="DT39" s="92">
        <v>9.5673522267206454</v>
      </c>
      <c r="DU39" s="92">
        <v>8.078315789473681</v>
      </c>
      <c r="DZ39" s="139">
        <v>18</v>
      </c>
      <c r="EA39" s="139">
        <v>183</v>
      </c>
      <c r="EB39" s="139">
        <v>26</v>
      </c>
      <c r="EC39" s="139">
        <v>37</v>
      </c>
      <c r="ED39" s="139">
        <v>1</v>
      </c>
      <c r="EE39" s="139">
        <v>2</v>
      </c>
      <c r="EF39" s="143">
        <v>4</v>
      </c>
      <c r="EG39" s="143">
        <v>24</v>
      </c>
      <c r="EH39" s="143">
        <v>116</v>
      </c>
      <c r="EI39" s="143">
        <v>195</v>
      </c>
    </row>
    <row r="40" spans="1:139">
      <c r="A40" s="175">
        <v>2022</v>
      </c>
      <c r="B40" s="92" t="s">
        <v>61</v>
      </c>
      <c r="C40" s="176">
        <v>95</v>
      </c>
      <c r="D40" s="176">
        <v>428</v>
      </c>
      <c r="E40" s="177">
        <v>0</v>
      </c>
      <c r="F40" s="176">
        <v>55</v>
      </c>
      <c r="G40" s="178">
        <v>132.05135802469135</v>
      </c>
      <c r="H40" s="176">
        <v>121.42</v>
      </c>
      <c r="I40" s="176">
        <v>0</v>
      </c>
      <c r="J40" s="176">
        <v>0</v>
      </c>
      <c r="K40" s="178">
        <v>140</v>
      </c>
      <c r="L40" s="176">
        <v>0</v>
      </c>
      <c r="M40" s="137">
        <v>0</v>
      </c>
      <c r="N40" s="137">
        <v>0</v>
      </c>
      <c r="O40" s="137">
        <v>88</v>
      </c>
      <c r="P40" s="137">
        <v>85</v>
      </c>
      <c r="Q40" s="137">
        <v>80</v>
      </c>
      <c r="R40" s="137">
        <v>71</v>
      </c>
      <c r="S40" s="137"/>
      <c r="T40" s="137"/>
      <c r="U40" s="137"/>
      <c r="V40" s="137"/>
      <c r="W40" s="137"/>
      <c r="X40" s="137">
        <v>0</v>
      </c>
      <c r="Y40" s="137"/>
      <c r="Z40" s="137">
        <v>0</v>
      </c>
      <c r="AA40" s="137">
        <v>0</v>
      </c>
      <c r="AB40" s="176"/>
      <c r="AC40" s="176">
        <v>0</v>
      </c>
      <c r="AE40" s="179">
        <v>0</v>
      </c>
      <c r="AF40" s="179">
        <v>0</v>
      </c>
      <c r="AG40" s="179">
        <v>0</v>
      </c>
      <c r="AH40" s="179">
        <v>0</v>
      </c>
      <c r="AJ40" s="178">
        <v>95</v>
      </c>
      <c r="AK40" s="176"/>
      <c r="AL40" s="176"/>
      <c r="AM40" s="176"/>
      <c r="AO40" s="176"/>
      <c r="AP40" s="176"/>
      <c r="AQ40" s="176">
        <v>152</v>
      </c>
      <c r="AR40" s="176">
        <v>0</v>
      </c>
      <c r="AS40" s="176">
        <v>0</v>
      </c>
      <c r="AT40" s="178">
        <v>1</v>
      </c>
      <c r="AU40" s="176"/>
      <c r="AV40" s="178">
        <v>2</v>
      </c>
      <c r="AW40" s="177"/>
      <c r="AX40" s="176">
        <v>0</v>
      </c>
      <c r="AY40" s="176"/>
      <c r="AZ40" s="178">
        <v>0</v>
      </c>
      <c r="BA40" s="176"/>
      <c r="BB40" s="176">
        <v>0</v>
      </c>
      <c r="BC40" s="176">
        <v>0</v>
      </c>
      <c r="BD40" s="180" t="s">
        <v>214</v>
      </c>
      <c r="BE40" s="176"/>
      <c r="BF40" s="178">
        <v>324</v>
      </c>
      <c r="BG40" s="176">
        <v>155</v>
      </c>
      <c r="BJ40" s="176"/>
      <c r="BL40" s="176"/>
      <c r="BM40" s="176"/>
      <c r="BN40" s="176"/>
      <c r="BO40" s="176">
        <v>1</v>
      </c>
      <c r="BP40" s="176">
        <v>63303.999300244242</v>
      </c>
      <c r="BQ40" s="176"/>
      <c r="BR40" s="176"/>
      <c r="BS40" s="176"/>
      <c r="BT40" s="176"/>
      <c r="BU40" s="176"/>
      <c r="BV40" s="176"/>
      <c r="BW40" s="178">
        <v>0</v>
      </c>
      <c r="BX40" s="178">
        <v>869.62</v>
      </c>
      <c r="BY40" s="92">
        <v>8399.1357431922625</v>
      </c>
      <c r="BZ40" s="92">
        <v>2838</v>
      </c>
      <c r="CA40" s="92">
        <v>8759.25</v>
      </c>
      <c r="CB40" s="176"/>
      <c r="CC40" s="92">
        <v>1700</v>
      </c>
      <c r="CD40" s="92">
        <v>0</v>
      </c>
      <c r="CE40" s="178"/>
      <c r="CF40" s="178"/>
      <c r="CG40" s="178"/>
      <c r="CH40" s="178"/>
      <c r="CI40" s="178"/>
      <c r="CJ40" s="176">
        <v>0</v>
      </c>
      <c r="CK40" s="176">
        <v>0</v>
      </c>
      <c r="CQ40" s="232">
        <v>324</v>
      </c>
      <c r="CR40" s="232">
        <v>95</v>
      </c>
      <c r="CS40" s="176">
        <v>29.93</v>
      </c>
      <c r="CT40" s="92">
        <v>428</v>
      </c>
      <c r="CU40" s="92">
        <v>0</v>
      </c>
      <c r="CV40" s="92">
        <v>0</v>
      </c>
      <c r="CW40" s="92">
        <v>0</v>
      </c>
      <c r="DE40" s="92">
        <v>324</v>
      </c>
      <c r="DF40" s="135">
        <v>0</v>
      </c>
      <c r="DG40" s="92" t="s">
        <v>279</v>
      </c>
      <c r="DH40" s="92">
        <v>1</v>
      </c>
      <c r="DI40" s="92">
        <v>29.320987654320991</v>
      </c>
      <c r="DJ40" s="92">
        <v>0</v>
      </c>
      <c r="DK40" s="92">
        <v>0</v>
      </c>
      <c r="DL40" s="92">
        <v>0</v>
      </c>
      <c r="DM40" s="92">
        <v>0</v>
      </c>
      <c r="DN40" s="92">
        <v>0</v>
      </c>
      <c r="DO40" s="92">
        <v>0</v>
      </c>
      <c r="DP40" s="92">
        <v>0</v>
      </c>
      <c r="DQ40" s="92">
        <v>0</v>
      </c>
      <c r="DR40" s="92">
        <v>0</v>
      </c>
      <c r="DS40" s="92">
        <v>0</v>
      </c>
      <c r="DT40" s="92">
        <v>0</v>
      </c>
      <c r="DU40" s="92">
        <v>0</v>
      </c>
      <c r="DZ40" s="139">
        <v>55</v>
      </c>
      <c r="EA40" s="139">
        <v>324</v>
      </c>
      <c r="EB40" s="139">
        <v>31</v>
      </c>
      <c r="EC40" s="139">
        <v>48</v>
      </c>
      <c r="ED40" s="139">
        <v>2</v>
      </c>
      <c r="EE40" s="139">
        <v>8</v>
      </c>
      <c r="EF40" s="143">
        <v>20</v>
      </c>
      <c r="EG40" s="143">
        <v>72</v>
      </c>
      <c r="EH40" s="143">
        <v>0</v>
      </c>
      <c r="EI40" s="143">
        <v>0</v>
      </c>
    </row>
    <row r="41" spans="1:139">
      <c r="A41" s="175">
        <v>3524</v>
      </c>
      <c r="B41" s="92" t="s">
        <v>602</v>
      </c>
      <c r="C41" s="176">
        <v>12</v>
      </c>
      <c r="D41" s="176">
        <v>72</v>
      </c>
      <c r="E41" s="177">
        <v>0</v>
      </c>
      <c r="F41" s="176">
        <v>0</v>
      </c>
      <c r="G41" s="178">
        <v>17068.538826617696</v>
      </c>
      <c r="H41" s="176">
        <v>21.584719101123603</v>
      </c>
      <c r="I41" s="176">
        <v>0</v>
      </c>
      <c r="J41" s="176">
        <v>0</v>
      </c>
      <c r="K41" s="178">
        <v>0</v>
      </c>
      <c r="L41" s="176">
        <v>0</v>
      </c>
      <c r="M41" s="137">
        <v>29</v>
      </c>
      <c r="N41" s="137">
        <v>29</v>
      </c>
      <c r="O41" s="137">
        <v>26</v>
      </c>
      <c r="P41" s="137">
        <v>21</v>
      </c>
      <c r="Q41" s="137">
        <v>13</v>
      </c>
      <c r="R41" s="137">
        <v>0</v>
      </c>
      <c r="S41" s="137"/>
      <c r="T41" s="137"/>
      <c r="U41" s="137"/>
      <c r="V41" s="137"/>
      <c r="W41" s="137"/>
      <c r="X41" s="137">
        <v>30</v>
      </c>
      <c r="Y41" s="137"/>
      <c r="Z41" s="137">
        <v>30</v>
      </c>
      <c r="AA41" s="137">
        <v>0</v>
      </c>
      <c r="AB41" s="176"/>
      <c r="AC41" s="176">
        <v>0</v>
      </c>
      <c r="AE41" s="179">
        <v>30</v>
      </c>
      <c r="AF41" s="179">
        <v>0</v>
      </c>
      <c r="AG41" s="179">
        <v>17100</v>
      </c>
      <c r="AH41" s="179">
        <v>4.95</v>
      </c>
      <c r="AJ41" s="178">
        <v>12</v>
      </c>
      <c r="AK41" s="176"/>
      <c r="AL41" s="176"/>
      <c r="AM41" s="176"/>
      <c r="AO41" s="176"/>
      <c r="AP41" s="176"/>
      <c r="AQ41" s="176">
        <v>16</v>
      </c>
      <c r="AR41" s="176">
        <v>0</v>
      </c>
      <c r="AS41" s="176">
        <v>0</v>
      </c>
      <c r="AT41" s="178">
        <v>1</v>
      </c>
      <c r="AU41" s="176"/>
      <c r="AV41" s="178">
        <v>1</v>
      </c>
      <c r="AW41" s="177"/>
      <c r="AX41" s="176">
        <v>0</v>
      </c>
      <c r="AY41" s="176"/>
      <c r="AZ41" s="178">
        <v>0</v>
      </c>
      <c r="BA41" s="176"/>
      <c r="BB41" s="176">
        <v>0</v>
      </c>
      <c r="BC41" s="176">
        <v>0</v>
      </c>
      <c r="BD41" s="180" t="s">
        <v>597</v>
      </c>
      <c r="BE41" s="176"/>
      <c r="BF41" s="178">
        <v>0</v>
      </c>
      <c r="BG41" s="176">
        <v>0</v>
      </c>
      <c r="BJ41" s="176"/>
      <c r="BL41" s="176"/>
      <c r="BM41" s="176"/>
      <c r="BN41" s="176"/>
      <c r="BO41" s="176">
        <v>0</v>
      </c>
      <c r="BP41" s="176">
        <v>0</v>
      </c>
      <c r="BQ41" s="176"/>
      <c r="BR41" s="176"/>
      <c r="BS41" s="176"/>
      <c r="BT41" s="176"/>
      <c r="BU41" s="176"/>
      <c r="BV41" s="176"/>
      <c r="BW41" s="178">
        <v>0</v>
      </c>
      <c r="BX41" s="178">
        <v>0</v>
      </c>
      <c r="BY41" s="92">
        <v>1902</v>
      </c>
      <c r="BZ41" s="92">
        <v>2191</v>
      </c>
      <c r="CA41" s="92">
        <v>0</v>
      </c>
      <c r="CB41" s="176"/>
      <c r="CC41" s="92">
        <v>1799</v>
      </c>
      <c r="CD41" s="92">
        <v>0</v>
      </c>
      <c r="CE41" s="178"/>
      <c r="CF41" s="178"/>
      <c r="CG41" s="178"/>
      <c r="CH41" s="178"/>
      <c r="CI41" s="178"/>
      <c r="CJ41" s="176">
        <v>0</v>
      </c>
      <c r="CK41" s="176">
        <v>0</v>
      </c>
      <c r="CQ41" s="232">
        <v>166</v>
      </c>
      <c r="CR41" s="232">
        <v>12</v>
      </c>
      <c r="CS41" s="176">
        <v>3.2611111111111106</v>
      </c>
      <c r="CT41" s="92">
        <v>72</v>
      </c>
      <c r="CU41" s="92">
        <v>0</v>
      </c>
      <c r="CV41" s="92">
        <v>0</v>
      </c>
      <c r="CW41" s="92">
        <v>0</v>
      </c>
      <c r="CX41" s="92">
        <v>30</v>
      </c>
      <c r="DE41" s="92">
        <v>148</v>
      </c>
      <c r="DF41" s="135">
        <v>0</v>
      </c>
      <c r="DG41" s="92" t="s">
        <v>210</v>
      </c>
      <c r="DH41" s="92">
        <v>1</v>
      </c>
      <c r="DI41" s="92">
        <v>8.1081081081081088</v>
      </c>
      <c r="DJ41" s="92">
        <v>10.263157894736842</v>
      </c>
      <c r="DK41" s="92">
        <v>11.368421052631579</v>
      </c>
      <c r="DL41" s="92">
        <v>8.3684210526315788</v>
      </c>
      <c r="DM41" s="92">
        <v>5850</v>
      </c>
      <c r="DN41" s="92">
        <v>6480</v>
      </c>
      <c r="DO41" s="92">
        <v>4770</v>
      </c>
      <c r="DP41" s="92">
        <v>0</v>
      </c>
      <c r="DQ41" s="92">
        <v>0</v>
      </c>
      <c r="DR41" s="92">
        <v>0</v>
      </c>
      <c r="DS41" s="92">
        <v>1.6934210526315792</v>
      </c>
      <c r="DT41" s="92">
        <v>1.8757894736842105</v>
      </c>
      <c r="DU41" s="92">
        <v>1.3807894736842106</v>
      </c>
      <c r="DZ41" s="139">
        <v>0</v>
      </c>
      <c r="EA41" s="139">
        <v>0</v>
      </c>
      <c r="EB41" s="139">
        <v>0</v>
      </c>
      <c r="EC41" s="139">
        <v>0</v>
      </c>
      <c r="ED41" s="139">
        <v>0</v>
      </c>
      <c r="EE41" s="139">
        <v>0</v>
      </c>
      <c r="EF41" s="143">
        <v>0</v>
      </c>
      <c r="EG41" s="143">
        <v>15</v>
      </c>
      <c r="EH41" s="143">
        <v>2</v>
      </c>
      <c r="EI41" s="143">
        <v>6</v>
      </c>
    </row>
    <row r="42" spans="1:139">
      <c r="A42" s="175">
        <v>2024</v>
      </c>
      <c r="B42" s="92" t="s">
        <v>342</v>
      </c>
      <c r="C42" s="176">
        <v>53</v>
      </c>
      <c r="D42" s="176">
        <v>297</v>
      </c>
      <c r="E42" s="177">
        <v>0</v>
      </c>
      <c r="F42" s="176">
        <v>0</v>
      </c>
      <c r="G42" s="178">
        <v>54376.649593613067</v>
      </c>
      <c r="H42" s="176">
        <v>56.044153846153797</v>
      </c>
      <c r="I42" s="176">
        <v>0</v>
      </c>
      <c r="J42" s="176">
        <v>0</v>
      </c>
      <c r="K42" s="178">
        <v>70</v>
      </c>
      <c r="L42" s="176">
        <v>0</v>
      </c>
      <c r="M42" s="137">
        <v>30</v>
      </c>
      <c r="N42" s="137">
        <v>30</v>
      </c>
      <c r="O42" s="137">
        <v>30</v>
      </c>
      <c r="P42" s="137">
        <v>30</v>
      </c>
      <c r="Q42" s="137">
        <v>29</v>
      </c>
      <c r="R42" s="137">
        <v>30</v>
      </c>
      <c r="S42" s="137"/>
      <c r="T42" s="137"/>
      <c r="U42" s="137"/>
      <c r="V42" s="137"/>
      <c r="W42" s="137"/>
      <c r="X42" s="137">
        <v>51</v>
      </c>
      <c r="Y42" s="137"/>
      <c r="Z42" s="137">
        <v>30</v>
      </c>
      <c r="AA42" s="137">
        <v>0</v>
      </c>
      <c r="AB42" s="176"/>
      <c r="AC42" s="176">
        <v>0</v>
      </c>
      <c r="AE42" s="179">
        <v>30</v>
      </c>
      <c r="AF42" s="179">
        <v>98.21052631578948</v>
      </c>
      <c r="AG42" s="179">
        <v>27990</v>
      </c>
      <c r="AH42" s="179">
        <v>10.937956656346753</v>
      </c>
      <c r="AJ42" s="178">
        <v>53</v>
      </c>
      <c r="AK42" s="176"/>
      <c r="AL42" s="176"/>
      <c r="AM42" s="176"/>
      <c r="AO42" s="176"/>
      <c r="AP42" s="176"/>
      <c r="AQ42" s="176">
        <v>82</v>
      </c>
      <c r="AR42" s="176">
        <v>0</v>
      </c>
      <c r="AS42" s="176">
        <v>0</v>
      </c>
      <c r="AT42" s="178">
        <v>1</v>
      </c>
      <c r="AU42" s="176"/>
      <c r="AV42" s="178">
        <v>1</v>
      </c>
      <c r="AW42" s="177"/>
      <c r="AX42" s="176">
        <v>0</v>
      </c>
      <c r="AY42" s="176"/>
      <c r="AZ42" s="178">
        <v>0</v>
      </c>
      <c r="BA42" s="176"/>
      <c r="BB42" s="176">
        <v>0</v>
      </c>
      <c r="BC42" s="176">
        <v>0</v>
      </c>
      <c r="BD42" s="180" t="s">
        <v>214</v>
      </c>
      <c r="BE42" s="176"/>
      <c r="BF42" s="178">
        <v>239.6</v>
      </c>
      <c r="BG42" s="176">
        <v>95</v>
      </c>
      <c r="BJ42" s="176"/>
      <c r="BL42" s="176"/>
      <c r="BM42" s="176"/>
      <c r="BN42" s="176"/>
      <c r="BO42" s="176">
        <v>1</v>
      </c>
      <c r="BP42" s="176">
        <v>0</v>
      </c>
      <c r="BQ42" s="176"/>
      <c r="BR42" s="176"/>
      <c r="BS42" s="176"/>
      <c r="BT42" s="176"/>
      <c r="BU42" s="176"/>
      <c r="BV42" s="176"/>
      <c r="BW42" s="178">
        <v>0</v>
      </c>
      <c r="BX42" s="178">
        <v>0</v>
      </c>
      <c r="BY42" s="92">
        <v>28042</v>
      </c>
      <c r="BZ42" s="92">
        <v>2198</v>
      </c>
      <c r="CA42" s="92">
        <v>11908.747145187603</v>
      </c>
      <c r="CB42" s="176"/>
      <c r="CC42" s="92">
        <v>1771</v>
      </c>
      <c r="CD42" s="92">
        <v>0</v>
      </c>
      <c r="CE42" s="178"/>
      <c r="CF42" s="178"/>
      <c r="CG42" s="178"/>
      <c r="CH42" s="178"/>
      <c r="CI42" s="178"/>
      <c r="CJ42" s="176">
        <v>0</v>
      </c>
      <c r="CK42" s="176">
        <v>0</v>
      </c>
      <c r="CQ42" s="232">
        <v>239.6</v>
      </c>
      <c r="CR42" s="232">
        <v>53</v>
      </c>
      <c r="CS42" s="176">
        <v>13.92</v>
      </c>
      <c r="CT42" s="92">
        <v>297</v>
      </c>
      <c r="CU42" s="92">
        <v>0</v>
      </c>
      <c r="CV42" s="92">
        <v>0</v>
      </c>
      <c r="CW42" s="92">
        <v>0</v>
      </c>
      <c r="DE42" s="92">
        <v>209</v>
      </c>
      <c r="DF42" s="135">
        <v>0</v>
      </c>
      <c r="DG42" s="92" t="s">
        <v>210</v>
      </c>
      <c r="DH42" s="92">
        <v>1</v>
      </c>
      <c r="DI42" s="92">
        <v>25.358851674641148</v>
      </c>
      <c r="DJ42" s="92">
        <v>10.263157894736842</v>
      </c>
      <c r="DK42" s="92">
        <v>11.368421052631579</v>
      </c>
      <c r="DL42" s="92">
        <v>8.3684210526315788</v>
      </c>
      <c r="DM42" s="92">
        <v>9945</v>
      </c>
      <c r="DN42" s="92">
        <v>9936</v>
      </c>
      <c r="DO42" s="92">
        <v>8109</v>
      </c>
      <c r="DP42" s="92">
        <v>34.89473684210526</v>
      </c>
      <c r="DQ42" s="92">
        <v>34.863157894736844</v>
      </c>
      <c r="DR42" s="92">
        <v>28.452631578947368</v>
      </c>
      <c r="DS42" s="92">
        <v>3.8863157894736853</v>
      </c>
      <c r="DT42" s="92">
        <v>3.8827987616099087</v>
      </c>
      <c r="DU42" s="92">
        <v>3.1688421052631583</v>
      </c>
      <c r="DZ42" s="139">
        <v>29</v>
      </c>
      <c r="EA42" s="139">
        <v>179</v>
      </c>
      <c r="EB42" s="139">
        <v>13</v>
      </c>
      <c r="EC42" s="139">
        <v>38</v>
      </c>
      <c r="ED42" s="139">
        <v>4</v>
      </c>
      <c r="EE42" s="139">
        <v>6</v>
      </c>
      <c r="EF42" s="143">
        <v>14</v>
      </c>
      <c r="EG42" s="143">
        <v>24</v>
      </c>
      <c r="EH42" s="143">
        <v>12</v>
      </c>
      <c r="EI42" s="143">
        <v>67</v>
      </c>
    </row>
    <row r="43" spans="1:139">
      <c r="A43" s="175">
        <v>2025</v>
      </c>
      <c r="B43" s="92" t="s">
        <v>63</v>
      </c>
      <c r="C43" s="176">
        <v>13</v>
      </c>
      <c r="D43" s="176">
        <v>81</v>
      </c>
      <c r="E43" s="177">
        <v>0</v>
      </c>
      <c r="F43" s="176">
        <v>0</v>
      </c>
      <c r="G43" s="178">
        <v>18684.737111365852</v>
      </c>
      <c r="H43" s="176">
        <v>29.649999999999928</v>
      </c>
      <c r="I43" s="176">
        <v>0</v>
      </c>
      <c r="J43" s="176">
        <v>0</v>
      </c>
      <c r="K43" s="178">
        <v>50</v>
      </c>
      <c r="L43" s="176">
        <v>0</v>
      </c>
      <c r="M43" s="137">
        <v>45</v>
      </c>
      <c r="N43" s="137">
        <v>45</v>
      </c>
      <c r="O43" s="137">
        <v>45</v>
      </c>
      <c r="P43" s="137">
        <v>45</v>
      </c>
      <c r="Q43" s="137">
        <v>44</v>
      </c>
      <c r="R43" s="137">
        <v>45</v>
      </c>
      <c r="S43" s="137"/>
      <c r="T43" s="137"/>
      <c r="U43" s="137"/>
      <c r="V43" s="137"/>
      <c r="W43" s="137"/>
      <c r="X43" s="137">
        <v>0</v>
      </c>
      <c r="Y43" s="137"/>
      <c r="Z43" s="137">
        <v>45</v>
      </c>
      <c r="AA43" s="137">
        <v>0</v>
      </c>
      <c r="AB43" s="176"/>
      <c r="AC43" s="176">
        <v>0</v>
      </c>
      <c r="AE43" s="179">
        <v>0</v>
      </c>
      <c r="AF43" s="179">
        <v>0</v>
      </c>
      <c r="AG43" s="179">
        <v>0</v>
      </c>
      <c r="AH43" s="179">
        <v>0</v>
      </c>
      <c r="AJ43" s="178">
        <v>13</v>
      </c>
      <c r="AK43" s="176"/>
      <c r="AL43" s="176"/>
      <c r="AM43" s="176"/>
      <c r="AO43" s="176"/>
      <c r="AP43" s="176"/>
      <c r="AQ43" s="176">
        <v>19</v>
      </c>
      <c r="AR43" s="176">
        <v>0</v>
      </c>
      <c r="AS43" s="176">
        <v>0</v>
      </c>
      <c r="AT43" s="178">
        <v>1</v>
      </c>
      <c r="AU43" s="176"/>
      <c r="AV43" s="178">
        <v>0</v>
      </c>
      <c r="AW43" s="177"/>
      <c r="AX43" s="176">
        <v>1</v>
      </c>
      <c r="AY43" s="176"/>
      <c r="AZ43" s="178">
        <v>0</v>
      </c>
      <c r="BA43" s="176"/>
      <c r="BB43" s="176">
        <v>0</v>
      </c>
      <c r="BC43" s="176">
        <v>0</v>
      </c>
      <c r="BD43" s="180" t="s">
        <v>214</v>
      </c>
      <c r="BE43" s="176"/>
      <c r="BF43" s="178">
        <v>314</v>
      </c>
      <c r="BG43" s="176">
        <v>23</v>
      </c>
      <c r="BJ43" s="176"/>
      <c r="BL43" s="176"/>
      <c r="BM43" s="176"/>
      <c r="BN43" s="176"/>
      <c r="BO43" s="176">
        <v>0</v>
      </c>
      <c r="BP43" s="176">
        <v>0</v>
      </c>
      <c r="BQ43" s="176"/>
      <c r="BR43" s="176"/>
      <c r="BS43" s="176"/>
      <c r="BT43" s="176"/>
      <c r="BU43" s="176"/>
      <c r="BV43" s="176"/>
      <c r="BW43" s="178">
        <v>0</v>
      </c>
      <c r="BX43" s="178">
        <v>0</v>
      </c>
      <c r="BY43" s="92">
        <v>6700</v>
      </c>
      <c r="BZ43" s="92">
        <v>3549</v>
      </c>
      <c r="CA43" s="92">
        <v>19923</v>
      </c>
      <c r="CB43" s="176"/>
      <c r="CC43" s="92">
        <v>2037.31</v>
      </c>
      <c r="CD43" s="92">
        <v>0</v>
      </c>
      <c r="CE43" s="178"/>
      <c r="CF43" s="178"/>
      <c r="CG43" s="178"/>
      <c r="CH43" s="178"/>
      <c r="CI43" s="178"/>
      <c r="CJ43" s="176">
        <v>0</v>
      </c>
      <c r="CK43" s="176">
        <v>0</v>
      </c>
      <c r="CQ43" s="232">
        <v>314</v>
      </c>
      <c r="CR43" s="232">
        <v>13</v>
      </c>
      <c r="CS43" s="176">
        <v>2.1</v>
      </c>
      <c r="CT43" s="92">
        <v>81</v>
      </c>
      <c r="CU43" s="92">
        <v>0</v>
      </c>
      <c r="CV43" s="92">
        <v>0</v>
      </c>
      <c r="CW43" s="92">
        <v>0</v>
      </c>
      <c r="DE43" s="92">
        <v>314</v>
      </c>
      <c r="DF43" s="135">
        <v>0</v>
      </c>
      <c r="DG43" s="92" t="s">
        <v>210</v>
      </c>
      <c r="DH43" s="92">
        <v>1</v>
      </c>
      <c r="DI43" s="92">
        <v>4.1401273885350314</v>
      </c>
      <c r="DJ43" s="92">
        <v>0</v>
      </c>
      <c r="DK43" s="92">
        <v>0</v>
      </c>
      <c r="DL43" s="92">
        <v>0</v>
      </c>
      <c r="DM43" s="92">
        <v>0</v>
      </c>
      <c r="DN43" s="92">
        <v>0</v>
      </c>
      <c r="DO43" s="92">
        <v>0</v>
      </c>
      <c r="DP43" s="92">
        <v>0</v>
      </c>
      <c r="DQ43" s="92">
        <v>0</v>
      </c>
      <c r="DR43" s="92">
        <v>0</v>
      </c>
      <c r="DS43" s="92">
        <v>0</v>
      </c>
      <c r="DT43" s="92">
        <v>0</v>
      </c>
      <c r="DU43" s="92">
        <v>0</v>
      </c>
      <c r="DZ43" s="139">
        <v>14</v>
      </c>
      <c r="EA43" s="139">
        <v>269</v>
      </c>
      <c r="EB43" s="139">
        <v>1</v>
      </c>
      <c r="EC43" s="139">
        <v>6</v>
      </c>
      <c r="ED43" s="139">
        <v>0</v>
      </c>
      <c r="EE43" s="139">
        <v>14</v>
      </c>
      <c r="EF43" s="143">
        <v>0</v>
      </c>
      <c r="EG43" s="143">
        <v>12</v>
      </c>
      <c r="EH43" s="143">
        <v>8</v>
      </c>
      <c r="EI43" s="143">
        <v>9</v>
      </c>
    </row>
    <row r="44" spans="1:139">
      <c r="A44" s="175">
        <v>2026</v>
      </c>
      <c r="B44" s="92" t="s">
        <v>343</v>
      </c>
      <c r="C44" s="176">
        <v>79</v>
      </c>
      <c r="D44" s="176">
        <v>719</v>
      </c>
      <c r="E44" s="177">
        <v>0</v>
      </c>
      <c r="F44" s="176">
        <v>0</v>
      </c>
      <c r="G44" s="178">
        <v>44625.668815504847</v>
      </c>
      <c r="H44" s="176">
        <v>139.20937499999999</v>
      </c>
      <c r="I44" s="176">
        <v>0</v>
      </c>
      <c r="J44" s="176">
        <v>0</v>
      </c>
      <c r="K44" s="178">
        <v>140</v>
      </c>
      <c r="L44" s="176">
        <v>0</v>
      </c>
      <c r="M44" s="137">
        <v>92</v>
      </c>
      <c r="N44" s="137">
        <v>91</v>
      </c>
      <c r="O44" s="137">
        <v>90</v>
      </c>
      <c r="P44" s="137">
        <v>87</v>
      </c>
      <c r="Q44" s="137">
        <v>89</v>
      </c>
      <c r="R44" s="137">
        <v>82</v>
      </c>
      <c r="S44" s="137"/>
      <c r="T44" s="137"/>
      <c r="U44" s="137"/>
      <c r="V44" s="137"/>
      <c r="W44" s="137"/>
      <c r="X44" s="137">
        <v>84</v>
      </c>
      <c r="Y44" s="137"/>
      <c r="Z44" s="137">
        <v>89</v>
      </c>
      <c r="AA44" s="137">
        <v>0</v>
      </c>
      <c r="AB44" s="176"/>
      <c r="AC44" s="176">
        <v>0</v>
      </c>
      <c r="AE44" s="179">
        <v>30</v>
      </c>
      <c r="AF44" s="179">
        <v>175.84210526315792</v>
      </c>
      <c r="AG44" s="179">
        <v>50115</v>
      </c>
      <c r="AH44" s="179">
        <v>25.057500000000001</v>
      </c>
      <c r="AJ44" s="178">
        <v>79</v>
      </c>
      <c r="AK44" s="176"/>
      <c r="AL44" s="176"/>
      <c r="AM44" s="176"/>
      <c r="AN44" s="176">
        <v>2</v>
      </c>
      <c r="AO44" s="176"/>
      <c r="AP44" s="176"/>
      <c r="AQ44" s="176">
        <v>120</v>
      </c>
      <c r="AR44" s="176">
        <v>2</v>
      </c>
      <c r="AS44" s="176">
        <v>0</v>
      </c>
      <c r="AT44" s="178">
        <v>1</v>
      </c>
      <c r="AU44" s="176"/>
      <c r="AV44" s="178">
        <v>1</v>
      </c>
      <c r="AW44" s="177"/>
      <c r="AX44" s="176">
        <v>0</v>
      </c>
      <c r="AY44" s="176"/>
      <c r="AZ44" s="178">
        <v>0</v>
      </c>
      <c r="BA44" s="176"/>
      <c r="BB44" s="176">
        <v>0</v>
      </c>
      <c r="BC44" s="176">
        <v>0</v>
      </c>
      <c r="BD44" s="180" t="s">
        <v>214</v>
      </c>
      <c r="BE44" s="176"/>
      <c r="BF44" s="178">
        <v>670.4</v>
      </c>
      <c r="BG44" s="176">
        <v>163</v>
      </c>
      <c r="BJ44" s="176"/>
      <c r="BL44" s="176"/>
      <c r="BM44" s="176"/>
      <c r="BN44" s="176"/>
      <c r="BO44" s="176">
        <v>2</v>
      </c>
      <c r="BP44" s="176">
        <v>0</v>
      </c>
      <c r="BQ44" s="176"/>
      <c r="BR44" s="176"/>
      <c r="BS44" s="176"/>
      <c r="BT44" s="176"/>
      <c r="BU44" s="176"/>
      <c r="BV44" s="176"/>
      <c r="BW44" s="178">
        <v>0</v>
      </c>
      <c r="BX44" s="178">
        <v>1244.19</v>
      </c>
      <c r="BY44" s="92">
        <v>40400</v>
      </c>
      <c r="BZ44" s="92">
        <v>5511</v>
      </c>
      <c r="CA44" s="92">
        <v>37045</v>
      </c>
      <c r="CB44" s="176"/>
      <c r="CC44" s="92">
        <v>3867</v>
      </c>
      <c r="CD44" s="92">
        <v>0</v>
      </c>
      <c r="CE44" s="178"/>
      <c r="CF44" s="178"/>
      <c r="CG44" s="178"/>
      <c r="CH44" s="178"/>
      <c r="CI44" s="178"/>
      <c r="CJ44" s="176">
        <v>0</v>
      </c>
      <c r="CK44" s="176">
        <v>0</v>
      </c>
      <c r="CQ44" s="232">
        <v>670.4</v>
      </c>
      <c r="CR44" s="232">
        <v>80.8</v>
      </c>
      <c r="CS44" s="176">
        <v>13.2</v>
      </c>
      <c r="CT44" s="92">
        <v>719</v>
      </c>
      <c r="CU44" s="92">
        <v>0</v>
      </c>
      <c r="CV44" s="92">
        <v>0</v>
      </c>
      <c r="CW44" s="92">
        <v>0</v>
      </c>
      <c r="CY44" s="92">
        <v>1</v>
      </c>
      <c r="DE44" s="92">
        <v>620</v>
      </c>
      <c r="DF44" s="135">
        <v>0</v>
      </c>
      <c r="DG44" s="92" t="s">
        <v>210</v>
      </c>
      <c r="DH44" s="92">
        <v>1</v>
      </c>
      <c r="DI44" s="92">
        <v>12.741935483870966</v>
      </c>
      <c r="DJ44" s="92">
        <v>10.263157894736842</v>
      </c>
      <c r="DK44" s="92">
        <v>11.368421052631579</v>
      </c>
      <c r="DL44" s="92">
        <v>8.3684210526315788</v>
      </c>
      <c r="DM44" s="92">
        <v>19695</v>
      </c>
      <c r="DN44" s="92">
        <v>17064</v>
      </c>
      <c r="DO44" s="92">
        <v>13356</v>
      </c>
      <c r="DP44" s="92">
        <v>69.10526315789474</v>
      </c>
      <c r="DQ44" s="92">
        <v>59.873684210526321</v>
      </c>
      <c r="DR44" s="92">
        <v>46.863157894736844</v>
      </c>
      <c r="DS44" s="92">
        <v>9.8475000000000001</v>
      </c>
      <c r="DT44" s="92">
        <v>8.5319999999999983</v>
      </c>
      <c r="DU44" s="92">
        <v>6.6779999999999999</v>
      </c>
      <c r="DZ44" s="139">
        <v>63</v>
      </c>
      <c r="EA44" s="139">
        <v>531</v>
      </c>
      <c r="EB44" s="139">
        <v>27</v>
      </c>
      <c r="EC44" s="139">
        <v>47</v>
      </c>
      <c r="ED44" s="139">
        <v>4</v>
      </c>
      <c r="EE44" s="139">
        <v>23</v>
      </c>
      <c r="EF44" s="143">
        <v>18</v>
      </c>
      <c r="EG44" s="143">
        <v>80</v>
      </c>
      <c r="EH44" s="143">
        <v>42</v>
      </c>
      <c r="EI44" s="143">
        <v>147</v>
      </c>
    </row>
    <row r="45" spans="1:139">
      <c r="A45" s="175">
        <v>2028</v>
      </c>
      <c r="B45" s="92" t="s">
        <v>65</v>
      </c>
      <c r="C45" s="176">
        <v>33</v>
      </c>
      <c r="D45" s="176">
        <v>353</v>
      </c>
      <c r="E45" s="177">
        <v>0</v>
      </c>
      <c r="F45" s="176">
        <v>0</v>
      </c>
      <c r="G45" s="178">
        <v>29110.385506941093</v>
      </c>
      <c r="H45" s="176">
        <v>35.840000000000003</v>
      </c>
      <c r="I45" s="176">
        <v>0</v>
      </c>
      <c r="J45" s="176">
        <v>0</v>
      </c>
      <c r="K45" s="178">
        <v>70</v>
      </c>
      <c r="L45" s="176">
        <v>0</v>
      </c>
      <c r="M45" s="137">
        <v>90</v>
      </c>
      <c r="N45" s="137">
        <v>90</v>
      </c>
      <c r="O45" s="137">
        <v>0</v>
      </c>
      <c r="P45" s="137">
        <v>0</v>
      </c>
      <c r="Q45" s="137">
        <v>0</v>
      </c>
      <c r="R45" s="137">
        <v>0</v>
      </c>
      <c r="S45" s="137"/>
      <c r="T45" s="137"/>
      <c r="U45" s="137"/>
      <c r="V45" s="137"/>
      <c r="W45" s="137"/>
      <c r="X45" s="137">
        <v>0</v>
      </c>
      <c r="Y45" s="137"/>
      <c r="Z45" s="137">
        <v>90</v>
      </c>
      <c r="AA45" s="137">
        <v>0</v>
      </c>
      <c r="AB45" s="176"/>
      <c r="AC45" s="176">
        <v>0</v>
      </c>
      <c r="AE45" s="179">
        <v>0</v>
      </c>
      <c r="AF45" s="179">
        <v>0</v>
      </c>
      <c r="AG45" s="179">
        <v>0</v>
      </c>
      <c r="AH45" s="179">
        <v>0</v>
      </c>
      <c r="AJ45" s="178">
        <v>33</v>
      </c>
      <c r="AK45" s="176"/>
      <c r="AL45" s="176"/>
      <c r="AM45" s="176"/>
      <c r="AO45" s="176"/>
      <c r="AP45" s="176"/>
      <c r="AQ45" s="176">
        <v>40</v>
      </c>
      <c r="AR45" s="176">
        <v>0</v>
      </c>
      <c r="AS45" s="176">
        <v>0</v>
      </c>
      <c r="AT45" s="178">
        <v>1</v>
      </c>
      <c r="AU45" s="176"/>
      <c r="AV45" s="178">
        <v>1</v>
      </c>
      <c r="AW45" s="177"/>
      <c r="AX45" s="176">
        <v>0</v>
      </c>
      <c r="AY45" s="176"/>
      <c r="AZ45" s="178">
        <v>0</v>
      </c>
      <c r="BA45" s="176"/>
      <c r="BB45" s="176">
        <v>0</v>
      </c>
      <c r="BC45" s="176">
        <v>0</v>
      </c>
      <c r="BD45" s="180" t="s">
        <v>214</v>
      </c>
      <c r="BE45" s="176"/>
      <c r="BF45" s="178">
        <v>270</v>
      </c>
      <c r="BG45" s="176">
        <v>37</v>
      </c>
      <c r="BJ45" s="176"/>
      <c r="BL45" s="176"/>
      <c r="BM45" s="176"/>
      <c r="BN45" s="176"/>
      <c r="BO45" s="176">
        <v>0</v>
      </c>
      <c r="BP45" s="176">
        <v>0</v>
      </c>
      <c r="BQ45" s="176"/>
      <c r="BR45" s="176"/>
      <c r="BS45" s="176"/>
      <c r="BT45" s="176"/>
      <c r="BU45" s="176"/>
      <c r="BV45" s="176"/>
      <c r="BW45" s="178">
        <v>0</v>
      </c>
      <c r="BX45" s="178">
        <v>1185.8499999999999</v>
      </c>
      <c r="BY45" s="92">
        <v>5504.8538961038957</v>
      </c>
      <c r="BZ45" s="92">
        <v>2517</v>
      </c>
      <c r="CA45" s="92">
        <v>16371.5</v>
      </c>
      <c r="CB45" s="176"/>
      <c r="CC45" s="92">
        <v>958.05</v>
      </c>
      <c r="CD45" s="92">
        <v>0</v>
      </c>
      <c r="CE45" s="178"/>
      <c r="CF45" s="178"/>
      <c r="CG45" s="178"/>
      <c r="CH45" s="178"/>
      <c r="CI45" s="178"/>
      <c r="CJ45" s="176">
        <v>0</v>
      </c>
      <c r="CK45" s="176">
        <v>0</v>
      </c>
      <c r="CQ45" s="232">
        <v>270</v>
      </c>
      <c r="CR45" s="232">
        <v>33</v>
      </c>
      <c r="CS45" s="176">
        <v>14</v>
      </c>
      <c r="CT45" s="92">
        <v>353</v>
      </c>
      <c r="CU45" s="92">
        <v>0</v>
      </c>
      <c r="CV45" s="92">
        <v>0</v>
      </c>
      <c r="CW45" s="92">
        <v>0</v>
      </c>
      <c r="DE45" s="92">
        <v>270</v>
      </c>
      <c r="DF45" s="135">
        <v>0</v>
      </c>
      <c r="DG45" s="92" t="s">
        <v>280</v>
      </c>
      <c r="DH45" s="92">
        <v>1</v>
      </c>
      <c r="DI45" s="92">
        <v>12.222222222222221</v>
      </c>
      <c r="DJ45" s="92">
        <v>0</v>
      </c>
      <c r="DK45" s="92">
        <v>0</v>
      </c>
      <c r="DL45" s="92">
        <v>0</v>
      </c>
      <c r="DM45" s="92">
        <v>0</v>
      </c>
      <c r="DN45" s="92">
        <v>0</v>
      </c>
      <c r="DO45" s="92">
        <v>0</v>
      </c>
      <c r="DP45" s="92">
        <v>0</v>
      </c>
      <c r="DQ45" s="92">
        <v>0</v>
      </c>
      <c r="DR45" s="92">
        <v>0</v>
      </c>
      <c r="DS45" s="92">
        <v>0</v>
      </c>
      <c r="DT45" s="92">
        <v>0</v>
      </c>
      <c r="DU45" s="92">
        <v>0</v>
      </c>
      <c r="DZ45" s="139">
        <v>26</v>
      </c>
      <c r="EA45" s="139">
        <v>180</v>
      </c>
      <c r="EB45" s="139">
        <v>7</v>
      </c>
      <c r="EC45" s="139">
        <v>8</v>
      </c>
      <c r="ED45" s="139">
        <v>0</v>
      </c>
      <c r="EE45" s="139">
        <v>8</v>
      </c>
      <c r="EF45" s="143">
        <v>8</v>
      </c>
      <c r="EG45" s="143">
        <v>26</v>
      </c>
      <c r="EH45" s="143">
        <v>30</v>
      </c>
      <c r="EI45" s="143">
        <v>103</v>
      </c>
    </row>
    <row r="46" spans="1:139">
      <c r="A46" s="175">
        <v>2027</v>
      </c>
      <c r="B46" s="92" t="s">
        <v>66</v>
      </c>
      <c r="C46" s="176">
        <v>45</v>
      </c>
      <c r="D46" s="176">
        <v>262</v>
      </c>
      <c r="E46" s="177">
        <v>0</v>
      </c>
      <c r="F46" s="176">
        <v>0</v>
      </c>
      <c r="G46" s="178">
        <v>55.95753086419753</v>
      </c>
      <c r="H46" s="176">
        <v>51.19</v>
      </c>
      <c r="I46" s="176">
        <v>0</v>
      </c>
      <c r="J46" s="176">
        <v>0</v>
      </c>
      <c r="K46" s="178">
        <v>180</v>
      </c>
      <c r="L46" s="176">
        <v>0</v>
      </c>
      <c r="M46" s="137">
        <v>0</v>
      </c>
      <c r="N46" s="137">
        <v>0</v>
      </c>
      <c r="O46" s="137">
        <v>90</v>
      </c>
      <c r="P46" s="137">
        <v>90</v>
      </c>
      <c r="Q46" s="137">
        <v>87</v>
      </c>
      <c r="R46" s="137">
        <v>89</v>
      </c>
      <c r="S46" s="137"/>
      <c r="T46" s="137"/>
      <c r="U46" s="137"/>
      <c r="V46" s="137"/>
      <c r="W46" s="137"/>
      <c r="X46" s="137">
        <v>0</v>
      </c>
      <c r="Y46" s="137"/>
      <c r="Z46" s="137">
        <v>0</v>
      </c>
      <c r="AA46" s="137">
        <v>0</v>
      </c>
      <c r="AB46" s="176"/>
      <c r="AC46" s="176">
        <v>0</v>
      </c>
      <c r="AE46" s="179">
        <v>0</v>
      </c>
      <c r="AF46" s="179">
        <v>0</v>
      </c>
      <c r="AG46" s="179">
        <v>0</v>
      </c>
      <c r="AH46" s="179">
        <v>0</v>
      </c>
      <c r="AJ46" s="178">
        <v>45</v>
      </c>
      <c r="AK46" s="176"/>
      <c r="AL46" s="176"/>
      <c r="AM46" s="176"/>
      <c r="AO46" s="176"/>
      <c r="AP46" s="176"/>
      <c r="AQ46" s="176">
        <v>70</v>
      </c>
      <c r="AR46" s="176">
        <v>0</v>
      </c>
      <c r="AS46" s="176">
        <v>0</v>
      </c>
      <c r="AT46" s="178">
        <v>1</v>
      </c>
      <c r="AU46" s="176"/>
      <c r="AV46" s="178">
        <v>0</v>
      </c>
      <c r="AW46" s="177"/>
      <c r="AX46" s="176">
        <v>0</v>
      </c>
      <c r="AY46" s="176"/>
      <c r="AZ46" s="178">
        <v>0</v>
      </c>
      <c r="BA46" s="176"/>
      <c r="BB46" s="176">
        <v>0</v>
      </c>
      <c r="BC46" s="176">
        <v>0</v>
      </c>
      <c r="BD46" s="180" t="s">
        <v>214</v>
      </c>
      <c r="BE46" s="176"/>
      <c r="BF46" s="178">
        <v>356</v>
      </c>
      <c r="BG46" s="176">
        <v>49</v>
      </c>
      <c r="BJ46" s="176"/>
      <c r="BL46" s="176"/>
      <c r="BM46" s="176"/>
      <c r="BN46" s="176"/>
      <c r="BO46" s="176">
        <v>0</v>
      </c>
      <c r="BP46" s="176">
        <v>0</v>
      </c>
      <c r="BQ46" s="176"/>
      <c r="BR46" s="176"/>
      <c r="BS46" s="176"/>
      <c r="BT46" s="176"/>
      <c r="BU46" s="176"/>
      <c r="BV46" s="176"/>
      <c r="BW46" s="178">
        <v>0</v>
      </c>
      <c r="BX46" s="178">
        <v>1185.8499999999999</v>
      </c>
      <c r="BY46" s="92">
        <v>6695.1461038961043</v>
      </c>
      <c r="BZ46" s="92">
        <v>3776</v>
      </c>
      <c r="CA46" s="92">
        <v>16371.5</v>
      </c>
      <c r="CB46" s="176"/>
      <c r="CC46" s="92">
        <v>1864.84</v>
      </c>
      <c r="CD46" s="92">
        <v>0</v>
      </c>
      <c r="CE46" s="178"/>
      <c r="CF46" s="178"/>
      <c r="CG46" s="178"/>
      <c r="CH46" s="178"/>
      <c r="CI46" s="178"/>
      <c r="CJ46" s="176">
        <v>0</v>
      </c>
      <c r="CK46" s="176">
        <v>0</v>
      </c>
      <c r="CQ46" s="232">
        <v>356</v>
      </c>
      <c r="CR46" s="232">
        <v>45</v>
      </c>
      <c r="CS46" s="176">
        <v>8.3999999999999915</v>
      </c>
      <c r="CT46" s="92">
        <v>262</v>
      </c>
      <c r="CU46" s="92">
        <v>0</v>
      </c>
      <c r="CV46" s="92">
        <v>0</v>
      </c>
      <c r="CW46" s="92">
        <v>0</v>
      </c>
      <c r="DE46" s="92">
        <v>356</v>
      </c>
      <c r="DF46" s="135">
        <v>0</v>
      </c>
      <c r="DG46" s="92" t="s">
        <v>279</v>
      </c>
      <c r="DH46" s="92">
        <v>1</v>
      </c>
      <c r="DI46" s="92">
        <v>12.640449438202248</v>
      </c>
      <c r="DJ46" s="92">
        <v>0</v>
      </c>
      <c r="DK46" s="92">
        <v>0</v>
      </c>
      <c r="DL46" s="92">
        <v>0</v>
      </c>
      <c r="DM46" s="92">
        <v>0</v>
      </c>
      <c r="DN46" s="92">
        <v>0</v>
      </c>
      <c r="DO46" s="92">
        <v>0</v>
      </c>
      <c r="DP46" s="92">
        <v>0</v>
      </c>
      <c r="DQ46" s="92">
        <v>0</v>
      </c>
      <c r="DR46" s="92">
        <v>0</v>
      </c>
      <c r="DS46" s="92">
        <v>0</v>
      </c>
      <c r="DT46" s="92">
        <v>0</v>
      </c>
      <c r="DU46" s="92">
        <v>0</v>
      </c>
      <c r="DZ46" s="139">
        <v>35</v>
      </c>
      <c r="EA46" s="139">
        <v>356</v>
      </c>
      <c r="EB46" s="139">
        <v>5</v>
      </c>
      <c r="EC46" s="139">
        <v>24</v>
      </c>
      <c r="ED46" s="139">
        <v>0</v>
      </c>
      <c r="EE46" s="139">
        <v>10</v>
      </c>
      <c r="EF46" s="143">
        <v>18</v>
      </c>
      <c r="EG46" s="143">
        <v>34</v>
      </c>
      <c r="EH46" s="143">
        <v>0</v>
      </c>
      <c r="EI46" s="143">
        <v>0</v>
      </c>
    </row>
    <row r="47" spans="1:139">
      <c r="A47" s="175">
        <v>2029</v>
      </c>
      <c r="B47" s="92" t="s">
        <v>344</v>
      </c>
      <c r="C47" s="176">
        <v>180</v>
      </c>
      <c r="D47" s="176">
        <v>699</v>
      </c>
      <c r="E47" s="177">
        <v>0</v>
      </c>
      <c r="F47" s="176">
        <v>0</v>
      </c>
      <c r="G47" s="178">
        <v>97553.019783682787</v>
      </c>
      <c r="H47" s="176">
        <v>175.78726872246725</v>
      </c>
      <c r="I47" s="176">
        <v>0</v>
      </c>
      <c r="J47" s="176">
        <v>0</v>
      </c>
      <c r="K47" s="178">
        <v>90</v>
      </c>
      <c r="L47" s="176">
        <v>0</v>
      </c>
      <c r="M47" s="137">
        <v>59</v>
      </c>
      <c r="N47" s="137">
        <v>59</v>
      </c>
      <c r="O47" s="137">
        <v>61</v>
      </c>
      <c r="P47" s="137">
        <v>56</v>
      </c>
      <c r="Q47" s="137">
        <v>59</v>
      </c>
      <c r="R47" s="137">
        <v>53</v>
      </c>
      <c r="S47" s="137"/>
      <c r="T47" s="137"/>
      <c r="U47" s="137"/>
      <c r="V47" s="137"/>
      <c r="W47" s="137"/>
      <c r="X47" s="137">
        <v>48</v>
      </c>
      <c r="Y47" s="137"/>
      <c r="Z47" s="137">
        <v>59</v>
      </c>
      <c r="AA47" s="137">
        <v>0</v>
      </c>
      <c r="AB47" s="176"/>
      <c r="AC47" s="176">
        <v>0</v>
      </c>
      <c r="AE47" s="179">
        <v>30</v>
      </c>
      <c r="AF47" s="179">
        <v>99.347368421052636</v>
      </c>
      <c r="AG47" s="179">
        <v>28314</v>
      </c>
      <c r="AH47" s="179">
        <v>21.497079507278841</v>
      </c>
      <c r="AJ47" s="178">
        <v>180</v>
      </c>
      <c r="AK47" s="176"/>
      <c r="AL47" s="176"/>
      <c r="AM47" s="176"/>
      <c r="AO47" s="176"/>
      <c r="AP47" s="176"/>
      <c r="AQ47" s="176">
        <v>216</v>
      </c>
      <c r="AR47" s="176">
        <v>3</v>
      </c>
      <c r="AS47" s="176">
        <v>0</v>
      </c>
      <c r="AT47" s="178">
        <v>1</v>
      </c>
      <c r="AU47" s="176"/>
      <c r="AV47" s="178">
        <v>2</v>
      </c>
      <c r="AW47" s="177"/>
      <c r="AX47" s="176">
        <v>0</v>
      </c>
      <c r="AY47" s="176"/>
      <c r="AZ47" s="178">
        <v>0</v>
      </c>
      <c r="BA47" s="176"/>
      <c r="BB47" s="176">
        <v>0</v>
      </c>
      <c r="BC47" s="176">
        <v>0</v>
      </c>
      <c r="BD47" s="180" t="s">
        <v>214</v>
      </c>
      <c r="BE47" s="176"/>
      <c r="BF47" s="178">
        <v>434.8</v>
      </c>
      <c r="BG47" s="176">
        <v>297</v>
      </c>
      <c r="BJ47" s="176"/>
      <c r="BL47" s="176"/>
      <c r="BM47" s="176"/>
      <c r="BN47" s="176"/>
      <c r="BO47" s="176">
        <v>0</v>
      </c>
      <c r="BP47" s="176">
        <v>79006.565677808147</v>
      </c>
      <c r="BQ47" s="176"/>
      <c r="BR47" s="176"/>
      <c r="BS47" s="176"/>
      <c r="BT47" s="176"/>
      <c r="BU47" s="176"/>
      <c r="BV47" s="176"/>
      <c r="BW47" s="178">
        <v>0</v>
      </c>
      <c r="BX47" s="178">
        <v>1423.02</v>
      </c>
      <c r="BY47" s="92">
        <v>6200</v>
      </c>
      <c r="BZ47" s="92">
        <v>3874</v>
      </c>
      <c r="CA47" s="92">
        <v>20953.5</v>
      </c>
      <c r="CB47" s="176"/>
      <c r="CC47" s="92">
        <v>2744</v>
      </c>
      <c r="CD47" s="92">
        <v>0</v>
      </c>
      <c r="CE47" s="178"/>
      <c r="CF47" s="178"/>
      <c r="CG47" s="178"/>
      <c r="CH47" s="178"/>
      <c r="CI47" s="178"/>
      <c r="CJ47" s="176">
        <v>0</v>
      </c>
      <c r="CK47" s="176">
        <v>0</v>
      </c>
      <c r="CQ47" s="232">
        <v>434.8</v>
      </c>
      <c r="CR47" s="232">
        <v>187.2</v>
      </c>
      <c r="CS47" s="176">
        <v>4.8</v>
      </c>
      <c r="CT47" s="92">
        <v>699</v>
      </c>
      <c r="CU47" s="92">
        <v>0</v>
      </c>
      <c r="CV47" s="92">
        <v>0</v>
      </c>
      <c r="CW47" s="92">
        <v>0</v>
      </c>
      <c r="DE47" s="92">
        <v>406</v>
      </c>
      <c r="DF47" s="135">
        <v>0</v>
      </c>
      <c r="DG47" s="92" t="s">
        <v>210</v>
      </c>
      <c r="DH47" s="92">
        <v>1</v>
      </c>
      <c r="DI47" s="92">
        <v>44.334975369458128</v>
      </c>
      <c r="DJ47" s="92">
        <v>10.263157894736842</v>
      </c>
      <c r="DK47" s="92">
        <v>11.368421052631579</v>
      </c>
      <c r="DL47" s="92">
        <v>8.3684210526315788</v>
      </c>
      <c r="DM47" s="92">
        <v>10530</v>
      </c>
      <c r="DN47" s="92">
        <v>10152</v>
      </c>
      <c r="DO47" s="92">
        <v>7632</v>
      </c>
      <c r="DP47" s="92">
        <v>36.94736842105263</v>
      </c>
      <c r="DQ47" s="92">
        <v>35.621052631578948</v>
      </c>
      <c r="DR47" s="92">
        <v>26.778947368421051</v>
      </c>
      <c r="DS47" s="92">
        <v>7.9947816349384109</v>
      </c>
      <c r="DT47" s="92">
        <v>7.7077894736842127</v>
      </c>
      <c r="DU47" s="92">
        <v>5.794508398656216</v>
      </c>
      <c r="DZ47" s="139">
        <v>46</v>
      </c>
      <c r="EA47" s="139">
        <v>347</v>
      </c>
      <c r="EB47" s="139">
        <v>73</v>
      </c>
      <c r="EC47" s="139">
        <v>51</v>
      </c>
      <c r="ED47" s="139">
        <v>7</v>
      </c>
      <c r="EE47" s="139">
        <v>6</v>
      </c>
      <c r="EF47" s="143">
        <v>16</v>
      </c>
      <c r="EG47" s="143">
        <v>54</v>
      </c>
      <c r="EH47" s="143">
        <v>100</v>
      </c>
      <c r="EI47" s="143">
        <v>71</v>
      </c>
    </row>
    <row r="48" spans="1:139">
      <c r="A48" s="175">
        <v>2030</v>
      </c>
      <c r="B48" s="92" t="s">
        <v>68</v>
      </c>
      <c r="C48" s="176">
        <v>22</v>
      </c>
      <c r="D48" s="176">
        <v>68</v>
      </c>
      <c r="E48" s="177">
        <v>0</v>
      </c>
      <c r="F48" s="176">
        <v>11</v>
      </c>
      <c r="G48" s="178">
        <v>53483.464273388316</v>
      </c>
      <c r="H48" s="176">
        <v>20.68</v>
      </c>
      <c r="I48" s="176">
        <v>0</v>
      </c>
      <c r="J48" s="176">
        <v>0</v>
      </c>
      <c r="K48" s="178">
        <v>75</v>
      </c>
      <c r="L48" s="176">
        <v>0</v>
      </c>
      <c r="M48" s="137">
        <v>29</v>
      </c>
      <c r="N48" s="137">
        <v>24</v>
      </c>
      <c r="O48" s="137">
        <v>0</v>
      </c>
      <c r="P48" s="137">
        <v>0</v>
      </c>
      <c r="Q48" s="137">
        <v>0</v>
      </c>
      <c r="R48" s="137">
        <v>0</v>
      </c>
      <c r="S48" s="137"/>
      <c r="T48" s="137"/>
      <c r="U48" s="137"/>
      <c r="V48" s="137"/>
      <c r="W48" s="137"/>
      <c r="X48" s="137">
        <v>0</v>
      </c>
      <c r="Y48" s="137"/>
      <c r="Z48" s="137">
        <v>30</v>
      </c>
      <c r="AA48" s="137">
        <v>0</v>
      </c>
      <c r="AB48" s="176"/>
      <c r="AC48" s="176">
        <v>0</v>
      </c>
      <c r="AE48" s="179">
        <v>0</v>
      </c>
      <c r="AF48" s="179">
        <v>0</v>
      </c>
      <c r="AG48" s="179">
        <v>0</v>
      </c>
      <c r="AH48" s="179">
        <v>0</v>
      </c>
      <c r="AJ48" s="178">
        <v>22</v>
      </c>
      <c r="AK48" s="176"/>
      <c r="AL48" s="176"/>
      <c r="AM48" s="176"/>
      <c r="AO48" s="176"/>
      <c r="AP48" s="176"/>
      <c r="AQ48" s="176">
        <v>26</v>
      </c>
      <c r="AR48" s="176">
        <v>0</v>
      </c>
      <c r="AS48" s="176">
        <v>0</v>
      </c>
      <c r="AT48" s="178">
        <v>1</v>
      </c>
      <c r="AU48" s="176"/>
      <c r="AV48" s="178">
        <v>0</v>
      </c>
      <c r="AW48" s="177"/>
      <c r="AX48" s="176">
        <v>0</v>
      </c>
      <c r="AY48" s="176"/>
      <c r="AZ48" s="178">
        <v>0</v>
      </c>
      <c r="BA48" s="176"/>
      <c r="BB48" s="176">
        <v>0</v>
      </c>
      <c r="BC48" s="176">
        <v>0</v>
      </c>
      <c r="BD48" s="180" t="s">
        <v>214</v>
      </c>
      <c r="BE48" s="176"/>
      <c r="BF48" s="178">
        <v>83</v>
      </c>
      <c r="BG48" s="176">
        <v>25</v>
      </c>
      <c r="BJ48" s="176"/>
      <c r="BL48" s="176"/>
      <c r="BM48" s="176"/>
      <c r="BN48" s="176"/>
      <c r="BO48" s="176">
        <v>0</v>
      </c>
      <c r="BP48" s="176">
        <v>0</v>
      </c>
      <c r="BQ48" s="176"/>
      <c r="BR48" s="176"/>
      <c r="BS48" s="176"/>
      <c r="BT48" s="176"/>
      <c r="BU48" s="176"/>
      <c r="BV48" s="176"/>
      <c r="BW48" s="178">
        <v>0</v>
      </c>
      <c r="BX48" s="178">
        <v>0</v>
      </c>
      <c r="BY48" s="92">
        <v>3500</v>
      </c>
      <c r="BZ48" s="92">
        <v>1319</v>
      </c>
      <c r="CA48" s="92">
        <v>3801.4</v>
      </c>
      <c r="CB48" s="176"/>
      <c r="CC48" s="92">
        <v>657.49</v>
      </c>
      <c r="CD48" s="92">
        <v>0</v>
      </c>
      <c r="CE48" s="178"/>
      <c r="CF48" s="178"/>
      <c r="CG48" s="178"/>
      <c r="CH48" s="178"/>
      <c r="CI48" s="178"/>
      <c r="CJ48" s="176">
        <v>0</v>
      </c>
      <c r="CK48" s="176">
        <v>0</v>
      </c>
      <c r="CQ48" s="232">
        <v>83</v>
      </c>
      <c r="CR48" s="232">
        <v>22</v>
      </c>
      <c r="CS48" s="176">
        <v>2</v>
      </c>
      <c r="CT48" s="92">
        <v>68</v>
      </c>
      <c r="CU48" s="92">
        <v>0</v>
      </c>
      <c r="CV48" s="92">
        <v>0</v>
      </c>
      <c r="CW48" s="92">
        <v>0</v>
      </c>
      <c r="DE48" s="92">
        <v>83</v>
      </c>
      <c r="DF48" s="135">
        <v>0</v>
      </c>
      <c r="DG48" s="92" t="s">
        <v>280</v>
      </c>
      <c r="DH48" s="92">
        <v>1</v>
      </c>
      <c r="DI48" s="92">
        <v>26.506024096385545</v>
      </c>
      <c r="DJ48" s="92">
        <v>0</v>
      </c>
      <c r="DK48" s="92">
        <v>0</v>
      </c>
      <c r="DL48" s="92">
        <v>0</v>
      </c>
      <c r="DM48" s="92">
        <v>0</v>
      </c>
      <c r="DN48" s="92">
        <v>0</v>
      </c>
      <c r="DO48" s="92">
        <v>0</v>
      </c>
      <c r="DP48" s="92">
        <v>0</v>
      </c>
      <c r="DQ48" s="92">
        <v>0</v>
      </c>
      <c r="DR48" s="92">
        <v>0</v>
      </c>
      <c r="DS48" s="92">
        <v>0</v>
      </c>
      <c r="DT48" s="92">
        <v>0</v>
      </c>
      <c r="DU48" s="92">
        <v>0</v>
      </c>
      <c r="DZ48" s="139">
        <v>11</v>
      </c>
      <c r="EA48" s="139">
        <v>53</v>
      </c>
      <c r="EB48" s="139">
        <v>4</v>
      </c>
      <c r="EC48" s="139">
        <v>5</v>
      </c>
      <c r="ED48" s="139">
        <v>2</v>
      </c>
      <c r="EE48" s="139">
        <v>2</v>
      </c>
      <c r="EF48" s="143">
        <v>2</v>
      </c>
      <c r="EG48" s="143">
        <v>6</v>
      </c>
      <c r="EH48" s="143">
        <v>6</v>
      </c>
      <c r="EI48" s="143">
        <v>12</v>
      </c>
    </row>
    <row r="49" spans="1:139">
      <c r="A49" s="175">
        <v>3516</v>
      </c>
      <c r="B49" s="92" t="s">
        <v>69</v>
      </c>
      <c r="C49" s="176">
        <v>11</v>
      </c>
      <c r="D49" s="176">
        <v>52</v>
      </c>
      <c r="E49" s="177">
        <v>0</v>
      </c>
      <c r="F49" s="176">
        <v>0</v>
      </c>
      <c r="G49" s="178">
        <v>12633.935072685046</v>
      </c>
      <c r="H49" s="176">
        <v>26.371844262295067</v>
      </c>
      <c r="I49" s="176">
        <v>0</v>
      </c>
      <c r="J49" s="176">
        <v>0</v>
      </c>
      <c r="K49" s="178">
        <v>110</v>
      </c>
      <c r="L49" s="176">
        <v>0</v>
      </c>
      <c r="M49" s="137">
        <v>30</v>
      </c>
      <c r="N49" s="137">
        <v>32</v>
      </c>
      <c r="O49" s="137">
        <v>30</v>
      </c>
      <c r="P49" s="137">
        <v>30</v>
      </c>
      <c r="Q49" s="137">
        <v>31</v>
      </c>
      <c r="R49" s="137">
        <v>30</v>
      </c>
      <c r="S49" s="137"/>
      <c r="T49" s="137"/>
      <c r="U49" s="137"/>
      <c r="V49" s="137"/>
      <c r="W49" s="137"/>
      <c r="X49" s="137">
        <v>31</v>
      </c>
      <c r="Y49" s="137"/>
      <c r="Z49" s="137">
        <v>30</v>
      </c>
      <c r="AA49" s="137">
        <v>0</v>
      </c>
      <c r="AB49" s="176"/>
      <c r="AC49" s="176">
        <v>0</v>
      </c>
      <c r="AE49" s="179">
        <v>29.657894736842106</v>
      </c>
      <c r="AF49" s="179">
        <v>60.631578947368425</v>
      </c>
      <c r="AG49" s="179">
        <v>17280</v>
      </c>
      <c r="AH49" s="179">
        <v>3.5009847198641766</v>
      </c>
      <c r="AJ49" s="178">
        <v>11</v>
      </c>
      <c r="AK49" s="176"/>
      <c r="AL49" s="176"/>
      <c r="AM49" s="176"/>
      <c r="AN49" s="176">
        <v>1</v>
      </c>
      <c r="AO49" s="176"/>
      <c r="AP49" s="176"/>
      <c r="AQ49" s="176">
        <v>15</v>
      </c>
      <c r="AR49" s="176">
        <v>0</v>
      </c>
      <c r="AS49" s="176">
        <v>0</v>
      </c>
      <c r="AT49" s="178">
        <v>1</v>
      </c>
      <c r="AU49" s="176"/>
      <c r="AV49" s="178">
        <v>1</v>
      </c>
      <c r="AW49" s="177"/>
      <c r="AX49" s="176">
        <v>0</v>
      </c>
      <c r="AY49" s="176"/>
      <c r="AZ49" s="178">
        <v>0</v>
      </c>
      <c r="BA49" s="176"/>
      <c r="BB49" s="176">
        <v>0</v>
      </c>
      <c r="BC49" s="176">
        <v>0</v>
      </c>
      <c r="BD49" s="180" t="s">
        <v>597</v>
      </c>
      <c r="BE49" s="176"/>
      <c r="BF49" s="178">
        <v>0</v>
      </c>
      <c r="BG49" s="176">
        <v>0</v>
      </c>
      <c r="BJ49" s="176"/>
      <c r="BL49" s="176"/>
      <c r="BM49" s="176"/>
      <c r="BN49" s="176"/>
      <c r="BO49" s="176">
        <v>1</v>
      </c>
      <c r="BP49" s="176">
        <v>0</v>
      </c>
      <c r="BQ49" s="176"/>
      <c r="BR49" s="176"/>
      <c r="BS49" s="176"/>
      <c r="BT49" s="176"/>
      <c r="BU49" s="176"/>
      <c r="BV49" s="176"/>
      <c r="BW49" s="178">
        <v>0</v>
      </c>
      <c r="BX49" s="178">
        <v>0</v>
      </c>
      <c r="BY49" s="92">
        <v>3276</v>
      </c>
      <c r="BZ49" s="92">
        <v>3779</v>
      </c>
      <c r="CA49" s="92">
        <v>0</v>
      </c>
      <c r="CB49" s="176"/>
      <c r="CC49" s="92">
        <v>1810</v>
      </c>
      <c r="CD49" s="92">
        <v>0</v>
      </c>
      <c r="CE49" s="178"/>
      <c r="CF49" s="178"/>
      <c r="CG49" s="178"/>
      <c r="CH49" s="178"/>
      <c r="CI49" s="178"/>
      <c r="CJ49" s="176">
        <v>0</v>
      </c>
      <c r="CK49" s="176">
        <v>0</v>
      </c>
      <c r="CQ49" s="232">
        <v>231.6</v>
      </c>
      <c r="CR49" s="232">
        <v>11</v>
      </c>
      <c r="CS49" s="176">
        <v>0.96000000000000085</v>
      </c>
      <c r="CT49" s="92">
        <v>52</v>
      </c>
      <c r="CU49" s="92">
        <v>0</v>
      </c>
      <c r="CV49" s="92">
        <v>0</v>
      </c>
      <c r="CW49" s="92">
        <v>0</v>
      </c>
      <c r="DE49" s="92">
        <v>213</v>
      </c>
      <c r="DF49" s="135">
        <v>0</v>
      </c>
      <c r="DG49" s="92" t="s">
        <v>210</v>
      </c>
      <c r="DH49" s="92">
        <v>1</v>
      </c>
      <c r="DI49" s="92">
        <v>5.164319248826291</v>
      </c>
      <c r="DJ49" s="92">
        <v>9.9210526315789469</v>
      </c>
      <c r="DK49" s="92">
        <v>11.368421052631579</v>
      </c>
      <c r="DL49" s="92">
        <v>8.3684210526315788</v>
      </c>
      <c r="DM49" s="92">
        <v>5655</v>
      </c>
      <c r="DN49" s="92">
        <v>6696</v>
      </c>
      <c r="DO49" s="92">
        <v>4929</v>
      </c>
      <c r="DP49" s="92">
        <v>19.842105263157894</v>
      </c>
      <c r="DQ49" s="92">
        <v>23.494736842105265</v>
      </c>
      <c r="DR49" s="92">
        <v>17.294736842105262</v>
      </c>
      <c r="DS49" s="92">
        <v>1.1457215619694399</v>
      </c>
      <c r="DT49" s="92">
        <v>1.3566315789473684</v>
      </c>
      <c r="DU49" s="92">
        <v>0.99863157894736843</v>
      </c>
      <c r="DZ49" s="139">
        <v>8</v>
      </c>
      <c r="EA49" s="139">
        <v>183</v>
      </c>
      <c r="EB49" s="139">
        <v>0</v>
      </c>
      <c r="EC49" s="139">
        <v>0</v>
      </c>
      <c r="ED49" s="139">
        <v>0</v>
      </c>
      <c r="EE49" s="139">
        <v>0</v>
      </c>
      <c r="EF49" s="143">
        <v>2</v>
      </c>
      <c r="EG49" s="143">
        <v>4</v>
      </c>
      <c r="EH49" s="143">
        <v>0</v>
      </c>
      <c r="EI49" s="143">
        <v>22</v>
      </c>
    </row>
    <row r="50" spans="1:139">
      <c r="A50" s="175">
        <v>2031</v>
      </c>
      <c r="B50" s="92" t="s">
        <v>345</v>
      </c>
      <c r="C50" s="176">
        <v>86</v>
      </c>
      <c r="D50" s="176">
        <v>238</v>
      </c>
      <c r="E50" s="177">
        <v>0</v>
      </c>
      <c r="F50" s="176">
        <v>0</v>
      </c>
      <c r="G50" s="178">
        <v>97478.488291254209</v>
      </c>
      <c r="H50" s="176">
        <v>60.59190476190475</v>
      </c>
      <c r="I50" s="176">
        <v>0</v>
      </c>
      <c r="J50" s="176">
        <v>0</v>
      </c>
      <c r="K50" s="178">
        <v>65</v>
      </c>
      <c r="L50" s="176">
        <v>0</v>
      </c>
      <c r="M50" s="137">
        <v>29</v>
      </c>
      <c r="N50" s="137">
        <v>30</v>
      </c>
      <c r="O50" s="137">
        <v>21</v>
      </c>
      <c r="P50" s="137">
        <v>30</v>
      </c>
      <c r="Q50" s="137">
        <v>17</v>
      </c>
      <c r="R50" s="137">
        <v>24</v>
      </c>
      <c r="S50" s="137"/>
      <c r="T50" s="137"/>
      <c r="U50" s="137"/>
      <c r="V50" s="137"/>
      <c r="W50" s="137"/>
      <c r="X50" s="137">
        <v>50</v>
      </c>
      <c r="Y50" s="137"/>
      <c r="Z50" s="137">
        <v>30</v>
      </c>
      <c r="AA50" s="137">
        <v>0</v>
      </c>
      <c r="AB50" s="176"/>
      <c r="AC50" s="176">
        <v>0</v>
      </c>
      <c r="AE50" s="179">
        <v>30</v>
      </c>
      <c r="AF50" s="179">
        <v>93.105263157894726</v>
      </c>
      <c r="AG50" s="179">
        <v>26535</v>
      </c>
      <c r="AH50" s="179">
        <v>15.325126315789475</v>
      </c>
      <c r="AJ50" s="178">
        <v>86</v>
      </c>
      <c r="AK50" s="176"/>
      <c r="AL50" s="176"/>
      <c r="AM50" s="176"/>
      <c r="AO50" s="176"/>
      <c r="AP50" s="176"/>
      <c r="AQ50" s="176">
        <v>97</v>
      </c>
      <c r="AR50" s="176">
        <v>1</v>
      </c>
      <c r="AS50" s="176">
        <v>0</v>
      </c>
      <c r="AT50" s="178">
        <v>1</v>
      </c>
      <c r="AU50" s="176"/>
      <c r="AV50" s="178">
        <v>0</v>
      </c>
      <c r="AW50" s="177"/>
      <c r="AX50" s="176">
        <v>0</v>
      </c>
      <c r="AY50" s="176"/>
      <c r="AZ50" s="178">
        <v>0</v>
      </c>
      <c r="BA50" s="176"/>
      <c r="BB50" s="176">
        <v>0</v>
      </c>
      <c r="BC50" s="176">
        <v>0</v>
      </c>
      <c r="BD50" s="180" t="s">
        <v>599</v>
      </c>
      <c r="BE50" s="176"/>
      <c r="BF50" s="178">
        <v>211</v>
      </c>
      <c r="BG50" s="176">
        <v>117</v>
      </c>
      <c r="BJ50" s="176"/>
      <c r="BL50" s="176"/>
      <c r="BM50" s="176"/>
      <c r="BN50" s="176"/>
      <c r="BO50" s="176">
        <v>0</v>
      </c>
      <c r="BP50" s="176">
        <v>45804.711370098157</v>
      </c>
      <c r="BQ50" s="176"/>
      <c r="BR50" s="176"/>
      <c r="BS50" s="176"/>
      <c r="BT50" s="176"/>
      <c r="BU50" s="176"/>
      <c r="BV50" s="176"/>
      <c r="BW50" s="178">
        <v>0</v>
      </c>
      <c r="BX50" s="178">
        <v>0</v>
      </c>
      <c r="BY50" s="92">
        <v>9900</v>
      </c>
      <c r="BZ50" s="92">
        <v>2872</v>
      </c>
      <c r="CA50" s="92">
        <v>0</v>
      </c>
      <c r="CB50" s="176"/>
      <c r="CC50" s="92">
        <v>1460.09</v>
      </c>
      <c r="CD50" s="92">
        <v>0</v>
      </c>
      <c r="CE50" s="178"/>
      <c r="CF50" s="178"/>
      <c r="CG50" s="178"/>
      <c r="CH50" s="178"/>
      <c r="CI50" s="178"/>
      <c r="CJ50" s="176">
        <v>0</v>
      </c>
      <c r="CK50" s="176">
        <v>0</v>
      </c>
      <c r="CQ50" s="232">
        <v>211</v>
      </c>
      <c r="CR50" s="232">
        <v>86</v>
      </c>
      <c r="CS50" s="176">
        <v>5.04</v>
      </c>
      <c r="CT50" s="92">
        <v>238</v>
      </c>
      <c r="CU50" s="92">
        <v>0</v>
      </c>
      <c r="CV50" s="92">
        <v>0</v>
      </c>
      <c r="CW50" s="92">
        <v>0</v>
      </c>
      <c r="DE50" s="92">
        <v>181</v>
      </c>
      <c r="DF50" s="135">
        <v>0</v>
      </c>
      <c r="DG50" s="92" t="s">
        <v>210</v>
      </c>
      <c r="DH50" s="92">
        <v>1</v>
      </c>
      <c r="DI50" s="92">
        <v>47.513812154696133</v>
      </c>
      <c r="DJ50" s="92">
        <v>10.263157894736842</v>
      </c>
      <c r="DK50" s="92">
        <v>11.368421052631579</v>
      </c>
      <c r="DL50" s="92">
        <v>8.3684210526315788</v>
      </c>
      <c r="DM50" s="92">
        <v>9945</v>
      </c>
      <c r="DN50" s="92">
        <v>8640</v>
      </c>
      <c r="DO50" s="92">
        <v>7950</v>
      </c>
      <c r="DP50" s="92">
        <v>34.89473684210526</v>
      </c>
      <c r="DQ50" s="92">
        <v>30.315789473684209</v>
      </c>
      <c r="DR50" s="92">
        <v>27.894736842105264</v>
      </c>
      <c r="DS50" s="92">
        <v>5.7436736842105267</v>
      </c>
      <c r="DT50" s="92">
        <v>4.9899789473684208</v>
      </c>
      <c r="DU50" s="92">
        <v>4.5914736842105262</v>
      </c>
      <c r="DZ50" s="139">
        <v>25</v>
      </c>
      <c r="EA50" s="139">
        <v>151</v>
      </c>
      <c r="EB50" s="139">
        <v>20</v>
      </c>
      <c r="EC50" s="139">
        <v>20</v>
      </c>
      <c r="ED50" s="139">
        <v>9</v>
      </c>
      <c r="EE50" s="139">
        <v>10</v>
      </c>
      <c r="EF50" s="143">
        <v>6</v>
      </c>
      <c r="EG50" s="143">
        <v>10</v>
      </c>
      <c r="EH50" s="143">
        <v>42</v>
      </c>
      <c r="EI50" s="143">
        <v>30</v>
      </c>
    </row>
    <row r="51" spans="1:139">
      <c r="A51" s="175">
        <v>2032</v>
      </c>
      <c r="B51" s="92" t="s">
        <v>346</v>
      </c>
      <c r="C51" s="176">
        <v>103</v>
      </c>
      <c r="D51" s="176">
        <v>491</v>
      </c>
      <c r="E51" s="177">
        <v>0</v>
      </c>
      <c r="F51" s="176">
        <v>0</v>
      </c>
      <c r="G51" s="178">
        <v>53089.56286210844</v>
      </c>
      <c r="H51" s="176">
        <v>106.84376865671648</v>
      </c>
      <c r="I51" s="176">
        <v>0</v>
      </c>
      <c r="J51" s="176">
        <v>0</v>
      </c>
      <c r="K51" s="178">
        <v>185</v>
      </c>
      <c r="L51" s="176">
        <v>0</v>
      </c>
      <c r="M51" s="137">
        <v>82</v>
      </c>
      <c r="N51" s="137">
        <v>60</v>
      </c>
      <c r="O51" s="137">
        <v>60</v>
      </c>
      <c r="P51" s="137">
        <v>60</v>
      </c>
      <c r="Q51" s="137">
        <v>59</v>
      </c>
      <c r="R51" s="137">
        <v>60</v>
      </c>
      <c r="S51" s="137"/>
      <c r="T51" s="137"/>
      <c r="U51" s="137"/>
      <c r="V51" s="137"/>
      <c r="W51" s="137"/>
      <c r="X51" s="137">
        <v>95</v>
      </c>
      <c r="Y51" s="137"/>
      <c r="Z51" s="137">
        <v>60</v>
      </c>
      <c r="AA51" s="137">
        <v>0</v>
      </c>
      <c r="AB51" s="176"/>
      <c r="AC51" s="176">
        <v>0</v>
      </c>
      <c r="AE51" s="179">
        <v>30</v>
      </c>
      <c r="AF51" s="179">
        <v>173.17894736842106</v>
      </c>
      <c r="AG51" s="179">
        <v>49356</v>
      </c>
      <c r="AH51" s="179">
        <v>22.522675057208236</v>
      </c>
      <c r="AJ51" s="178">
        <v>103</v>
      </c>
      <c r="AK51" s="176"/>
      <c r="AL51" s="176"/>
      <c r="AM51" s="176"/>
      <c r="AO51" s="176">
        <v>59817.78</v>
      </c>
      <c r="AP51" s="176"/>
      <c r="AQ51" s="176">
        <v>121</v>
      </c>
      <c r="AR51" s="176">
        <v>0</v>
      </c>
      <c r="AS51" s="176">
        <v>1</v>
      </c>
      <c r="AT51" s="178">
        <v>1</v>
      </c>
      <c r="AU51" s="176"/>
      <c r="AV51" s="178">
        <v>1</v>
      </c>
      <c r="AW51" s="177"/>
      <c r="AX51" s="176">
        <v>0</v>
      </c>
      <c r="AY51" s="176"/>
      <c r="AZ51" s="178">
        <v>0</v>
      </c>
      <c r="BA51" s="176"/>
      <c r="BB51" s="176">
        <v>0</v>
      </c>
      <c r="BC51" s="176">
        <v>0</v>
      </c>
      <c r="BD51" s="180" t="s">
        <v>214</v>
      </c>
      <c r="BE51" s="176"/>
      <c r="BF51" s="178">
        <v>498</v>
      </c>
      <c r="BG51" s="176">
        <v>140</v>
      </c>
      <c r="BJ51" s="176"/>
      <c r="BL51" s="176"/>
      <c r="BM51" s="176"/>
      <c r="BN51" s="176"/>
      <c r="BO51" s="176">
        <v>2</v>
      </c>
      <c r="BP51" s="176">
        <v>0</v>
      </c>
      <c r="BQ51" s="176"/>
      <c r="BR51" s="176"/>
      <c r="BS51" s="176"/>
      <c r="BT51" s="176"/>
      <c r="BU51" s="176"/>
      <c r="BV51" s="176"/>
      <c r="BW51" s="178">
        <v>0</v>
      </c>
      <c r="BX51" s="178">
        <v>1423.02</v>
      </c>
      <c r="BY51" s="92">
        <v>9308</v>
      </c>
      <c r="BZ51" s="92">
        <v>4273</v>
      </c>
      <c r="CA51" s="92">
        <v>19923</v>
      </c>
      <c r="CB51" s="176"/>
      <c r="CC51" s="92">
        <v>2458</v>
      </c>
      <c r="CD51" s="92">
        <v>0</v>
      </c>
      <c r="CE51" s="178"/>
      <c r="CF51" s="178"/>
      <c r="CG51" s="178"/>
      <c r="CH51" s="178"/>
      <c r="CI51" s="178"/>
      <c r="CJ51" s="176">
        <v>0</v>
      </c>
      <c r="CK51" s="176">
        <v>0</v>
      </c>
      <c r="CQ51" s="232">
        <v>498</v>
      </c>
      <c r="CR51" s="232">
        <v>103</v>
      </c>
      <c r="CS51" s="176">
        <v>11.02</v>
      </c>
      <c r="CT51" s="92">
        <v>491</v>
      </c>
      <c r="CU51" s="92">
        <v>0</v>
      </c>
      <c r="CV51" s="92">
        <v>0</v>
      </c>
      <c r="CW51" s="92">
        <v>0</v>
      </c>
      <c r="CY51" s="92">
        <v>1</v>
      </c>
      <c r="DE51" s="92">
        <v>441</v>
      </c>
      <c r="DF51" s="135">
        <v>0</v>
      </c>
      <c r="DG51" s="92" t="s">
        <v>210</v>
      </c>
      <c r="DH51" s="92">
        <v>1</v>
      </c>
      <c r="DI51" s="92">
        <v>23.356009070294785</v>
      </c>
      <c r="DJ51" s="92">
        <v>10.263157894736842</v>
      </c>
      <c r="DK51" s="92">
        <v>11.368421052631579</v>
      </c>
      <c r="DL51" s="92">
        <v>8.3684210526315788</v>
      </c>
      <c r="DM51" s="92">
        <v>18915</v>
      </c>
      <c r="DN51" s="92">
        <v>15336</v>
      </c>
      <c r="DO51" s="92">
        <v>15105</v>
      </c>
      <c r="DP51" s="92">
        <v>66.368421052631575</v>
      </c>
      <c r="DQ51" s="92">
        <v>53.810526315789474</v>
      </c>
      <c r="DR51" s="92">
        <v>53</v>
      </c>
      <c r="DS51" s="92">
        <v>8.6315017162471399</v>
      </c>
      <c r="DT51" s="92">
        <v>6.9982929061784889</v>
      </c>
      <c r="DU51" s="92">
        <v>6.8928804347826089</v>
      </c>
      <c r="DZ51" s="139">
        <v>49</v>
      </c>
      <c r="EA51" s="139">
        <v>381</v>
      </c>
      <c r="EB51" s="139">
        <v>29</v>
      </c>
      <c r="EC51" s="139">
        <v>29</v>
      </c>
      <c r="ED51" s="139">
        <v>4</v>
      </c>
      <c r="EE51" s="139">
        <v>12</v>
      </c>
      <c r="EF51" s="143">
        <v>18</v>
      </c>
      <c r="EG51" s="143">
        <v>40</v>
      </c>
      <c r="EH51" s="143">
        <v>30</v>
      </c>
      <c r="EI51" s="143">
        <v>115</v>
      </c>
    </row>
    <row r="52" spans="1:139">
      <c r="A52" s="175">
        <v>3304</v>
      </c>
      <c r="B52" s="92" t="s">
        <v>347</v>
      </c>
      <c r="C52" s="176">
        <v>36</v>
      </c>
      <c r="D52" s="176">
        <v>80</v>
      </c>
      <c r="E52" s="177">
        <v>0</v>
      </c>
      <c r="F52" s="176">
        <v>0</v>
      </c>
      <c r="G52" s="178">
        <v>36434.63182751467</v>
      </c>
      <c r="H52" s="176">
        <v>46.665284552845577</v>
      </c>
      <c r="I52" s="176">
        <v>0</v>
      </c>
      <c r="J52" s="176">
        <v>0</v>
      </c>
      <c r="K52" s="178">
        <v>40</v>
      </c>
      <c r="L52" s="176">
        <v>0</v>
      </c>
      <c r="M52" s="137">
        <v>30</v>
      </c>
      <c r="N52" s="137">
        <v>29</v>
      </c>
      <c r="O52" s="137">
        <v>30</v>
      </c>
      <c r="P52" s="137">
        <v>28</v>
      </c>
      <c r="Q52" s="137">
        <v>30</v>
      </c>
      <c r="R52" s="137">
        <v>25</v>
      </c>
      <c r="S52" s="137"/>
      <c r="T52" s="137"/>
      <c r="U52" s="137"/>
      <c r="V52" s="137"/>
      <c r="W52" s="137"/>
      <c r="X52" s="137">
        <v>44</v>
      </c>
      <c r="Y52" s="137"/>
      <c r="Z52" s="137">
        <v>30</v>
      </c>
      <c r="AA52" s="137">
        <v>0</v>
      </c>
      <c r="AB52" s="176"/>
      <c r="AC52" s="176">
        <v>0</v>
      </c>
      <c r="AE52" s="179">
        <v>30</v>
      </c>
      <c r="AF52" s="179">
        <v>41.884210526315783</v>
      </c>
      <c r="AG52" s="179">
        <v>23874</v>
      </c>
      <c r="AH52" s="179">
        <v>9.7761555023923421</v>
      </c>
      <c r="AJ52" s="178">
        <v>36</v>
      </c>
      <c r="AK52" s="176"/>
      <c r="AL52" s="176"/>
      <c r="AM52" s="176"/>
      <c r="AO52" s="176"/>
      <c r="AP52" s="176"/>
      <c r="AQ52" s="176">
        <v>46</v>
      </c>
      <c r="AR52" s="176">
        <v>0</v>
      </c>
      <c r="AS52" s="176">
        <v>0</v>
      </c>
      <c r="AT52" s="178">
        <v>1</v>
      </c>
      <c r="AU52" s="176"/>
      <c r="AV52" s="178">
        <v>1</v>
      </c>
      <c r="AW52" s="177"/>
      <c r="AX52" s="176">
        <v>0</v>
      </c>
      <c r="AY52" s="176"/>
      <c r="AZ52" s="178">
        <v>0</v>
      </c>
      <c r="BA52" s="176"/>
      <c r="BB52" s="176">
        <v>0</v>
      </c>
      <c r="BC52" s="176">
        <v>0</v>
      </c>
      <c r="BD52" s="180" t="s">
        <v>597</v>
      </c>
      <c r="BE52" s="176"/>
      <c r="BF52" s="178">
        <v>0</v>
      </c>
      <c r="BG52" s="176">
        <v>49</v>
      </c>
      <c r="BJ52" s="176"/>
      <c r="BL52" s="176"/>
      <c r="BM52" s="176"/>
      <c r="BN52" s="176"/>
      <c r="BO52" s="176">
        <v>0</v>
      </c>
      <c r="BP52" s="176">
        <v>0</v>
      </c>
      <c r="BQ52" s="176"/>
      <c r="BR52" s="176"/>
      <c r="BS52" s="176"/>
      <c r="BT52" s="176"/>
      <c r="BU52" s="176"/>
      <c r="BV52" s="176"/>
      <c r="BW52" s="178">
        <v>0</v>
      </c>
      <c r="BX52" s="178">
        <v>1423.02</v>
      </c>
      <c r="BY52" s="92">
        <v>8094</v>
      </c>
      <c r="BZ52" s="92">
        <v>2299</v>
      </c>
      <c r="CA52" s="92">
        <v>0</v>
      </c>
      <c r="CB52" s="176"/>
      <c r="CC52" s="92">
        <v>1240.7</v>
      </c>
      <c r="CD52" s="92">
        <v>0</v>
      </c>
      <c r="CE52" s="178"/>
      <c r="CF52" s="178"/>
      <c r="CG52" s="178"/>
      <c r="CH52" s="178"/>
      <c r="CI52" s="178"/>
      <c r="CJ52" s="176">
        <v>0</v>
      </c>
      <c r="CK52" s="176">
        <v>0</v>
      </c>
      <c r="CQ52" s="232">
        <v>228.4</v>
      </c>
      <c r="CR52" s="232">
        <v>36</v>
      </c>
      <c r="CS52" s="176">
        <v>3.08</v>
      </c>
      <c r="CT52" s="92">
        <v>80</v>
      </c>
      <c r="CU52" s="92">
        <v>0</v>
      </c>
      <c r="CV52" s="92">
        <v>0</v>
      </c>
      <c r="CW52" s="92">
        <v>0</v>
      </c>
      <c r="DE52" s="92">
        <v>202</v>
      </c>
      <c r="DF52" s="135">
        <v>0</v>
      </c>
      <c r="DG52" s="92" t="s">
        <v>210</v>
      </c>
      <c r="DH52" s="92">
        <v>1</v>
      </c>
      <c r="DI52" s="92">
        <v>17.82178217821782</v>
      </c>
      <c r="DJ52" s="92">
        <v>10.263157894736842</v>
      </c>
      <c r="DK52" s="92">
        <v>11.368421052631579</v>
      </c>
      <c r="DL52" s="92">
        <v>8.3684210526315788</v>
      </c>
      <c r="DM52" s="92">
        <v>9750</v>
      </c>
      <c r="DN52" s="92">
        <v>7128</v>
      </c>
      <c r="DO52" s="92">
        <v>6996</v>
      </c>
      <c r="DP52" s="92">
        <v>17.105263157894736</v>
      </c>
      <c r="DQ52" s="92">
        <v>12.505263157894737</v>
      </c>
      <c r="DR52" s="92">
        <v>12.273684210526316</v>
      </c>
      <c r="DS52" s="92">
        <v>3.9925239234449754</v>
      </c>
      <c r="DT52" s="92">
        <v>2.9188421052631575</v>
      </c>
      <c r="DU52" s="92">
        <v>2.8647894736842097</v>
      </c>
      <c r="DZ52" s="139">
        <v>5</v>
      </c>
      <c r="EA52" s="139">
        <v>172</v>
      </c>
      <c r="EB52" s="139">
        <v>8</v>
      </c>
      <c r="EC52" s="139">
        <v>13</v>
      </c>
      <c r="ED52" s="139">
        <v>2</v>
      </c>
      <c r="EE52" s="139">
        <v>6</v>
      </c>
      <c r="EF52" s="143">
        <v>4</v>
      </c>
      <c r="EG52" s="143">
        <v>2</v>
      </c>
      <c r="EH52" s="143">
        <v>8</v>
      </c>
      <c r="EI52" s="143">
        <v>20</v>
      </c>
    </row>
    <row r="53" spans="1:139">
      <c r="A53" s="175">
        <v>3515</v>
      </c>
      <c r="B53" s="92" t="s">
        <v>603</v>
      </c>
      <c r="C53" s="176">
        <v>0</v>
      </c>
      <c r="D53" s="176">
        <v>13</v>
      </c>
      <c r="E53" s="177">
        <v>0</v>
      </c>
      <c r="F53" s="176">
        <v>0</v>
      </c>
      <c r="G53" s="178">
        <v>10919.845432640925</v>
      </c>
      <c r="H53" s="176">
        <v>24.035229357798162</v>
      </c>
      <c r="I53" s="176">
        <v>0</v>
      </c>
      <c r="J53" s="176">
        <v>0</v>
      </c>
      <c r="K53" s="178">
        <v>50</v>
      </c>
      <c r="L53" s="176">
        <v>0</v>
      </c>
      <c r="M53" s="137">
        <v>28</v>
      </c>
      <c r="N53" s="137">
        <v>30</v>
      </c>
      <c r="O53" s="137">
        <v>29</v>
      </c>
      <c r="P53" s="137">
        <v>28</v>
      </c>
      <c r="Q53" s="137">
        <v>25</v>
      </c>
      <c r="R53" s="137">
        <v>25</v>
      </c>
      <c r="S53" s="137"/>
      <c r="T53" s="137"/>
      <c r="U53" s="137"/>
      <c r="V53" s="137"/>
      <c r="W53" s="137"/>
      <c r="X53" s="137">
        <v>26</v>
      </c>
      <c r="Y53" s="137"/>
      <c r="Z53" s="137">
        <v>27</v>
      </c>
      <c r="AA53" s="137">
        <v>0</v>
      </c>
      <c r="AB53" s="176"/>
      <c r="AC53" s="176">
        <v>0</v>
      </c>
      <c r="AJ53" s="178">
        <v>0</v>
      </c>
      <c r="AK53" s="176"/>
      <c r="AL53" s="176"/>
      <c r="AM53" s="176"/>
      <c r="AO53" s="176"/>
      <c r="AP53" s="176"/>
      <c r="AQ53" s="176">
        <v>0</v>
      </c>
      <c r="AR53" s="176">
        <v>0</v>
      </c>
      <c r="AS53" s="176">
        <v>0</v>
      </c>
      <c r="AT53" s="178">
        <v>1</v>
      </c>
      <c r="AU53" s="176"/>
      <c r="AV53" s="178">
        <v>1</v>
      </c>
      <c r="AW53" s="177"/>
      <c r="AX53" s="176">
        <v>0</v>
      </c>
      <c r="AY53" s="176"/>
      <c r="AZ53" s="178">
        <v>0</v>
      </c>
      <c r="BA53" s="176"/>
      <c r="BB53" s="176">
        <v>0</v>
      </c>
      <c r="BC53" s="176">
        <v>0</v>
      </c>
      <c r="BD53" s="180" t="s">
        <v>604</v>
      </c>
      <c r="BE53" s="176"/>
      <c r="BF53" s="178">
        <v>0</v>
      </c>
      <c r="BG53" s="176">
        <v>0</v>
      </c>
      <c r="BJ53" s="176"/>
      <c r="BL53" s="176"/>
      <c r="BM53" s="176"/>
      <c r="BN53" s="176"/>
      <c r="BO53" s="176">
        <v>0</v>
      </c>
      <c r="BP53" s="176">
        <v>0</v>
      </c>
      <c r="BQ53" s="176"/>
      <c r="BR53" s="176"/>
      <c r="BS53" s="176"/>
      <c r="BT53" s="176"/>
      <c r="BU53" s="176"/>
      <c r="BV53" s="176"/>
      <c r="BW53" s="178">
        <v>0</v>
      </c>
      <c r="BX53" s="178">
        <v>0</v>
      </c>
      <c r="BY53" s="92">
        <v>2352</v>
      </c>
      <c r="BZ53" s="92">
        <v>0</v>
      </c>
      <c r="CA53" s="92">
        <v>0</v>
      </c>
      <c r="CB53" s="176"/>
      <c r="CC53" s="92">
        <v>1369</v>
      </c>
      <c r="CD53" s="92">
        <v>0</v>
      </c>
      <c r="CE53" s="178"/>
      <c r="CF53" s="178"/>
      <c r="CG53" s="178"/>
      <c r="CH53" s="178"/>
      <c r="CI53" s="178"/>
      <c r="CJ53" s="176">
        <v>0</v>
      </c>
      <c r="CK53" s="176">
        <v>0</v>
      </c>
      <c r="CQ53" s="232">
        <v>207.6</v>
      </c>
      <c r="CR53" s="232">
        <v>0</v>
      </c>
      <c r="CS53" s="176">
        <v>0</v>
      </c>
      <c r="CT53" s="92">
        <v>0</v>
      </c>
      <c r="CU53" s="92">
        <v>0</v>
      </c>
      <c r="CV53" s="92">
        <v>0</v>
      </c>
      <c r="CW53" s="92">
        <v>0</v>
      </c>
      <c r="DE53" s="92">
        <v>192</v>
      </c>
      <c r="DF53" s="135">
        <v>0</v>
      </c>
      <c r="DG53" s="92" t="s">
        <v>210</v>
      </c>
      <c r="DH53" s="92">
        <v>1</v>
      </c>
      <c r="DI53" s="92">
        <v>0</v>
      </c>
      <c r="DN53" s="92"/>
      <c r="DO53" s="92"/>
      <c r="DP53" s="92"/>
      <c r="DQ53" s="92"/>
      <c r="DR53" s="92"/>
      <c r="DS53" s="92"/>
      <c r="DT53" s="92"/>
      <c r="DU53" s="92"/>
      <c r="DZ53" s="139">
        <v>11</v>
      </c>
      <c r="EA53" s="139">
        <v>165</v>
      </c>
      <c r="EB53" s="139">
        <v>0</v>
      </c>
      <c r="EC53" s="139">
        <v>0</v>
      </c>
      <c r="ED53" s="139">
        <v>0</v>
      </c>
      <c r="EE53" s="139">
        <v>0</v>
      </c>
      <c r="EF53" s="143">
        <v>0</v>
      </c>
      <c r="EG53" s="143">
        <v>2</v>
      </c>
      <c r="EH53" s="143">
        <v>0</v>
      </c>
      <c r="EI53" s="143">
        <v>5</v>
      </c>
    </row>
    <row r="54" spans="1:139">
      <c r="A54" s="175" t="s">
        <v>450</v>
      </c>
      <c r="B54" s="92" t="s">
        <v>603</v>
      </c>
      <c r="C54" s="176">
        <v>0</v>
      </c>
      <c r="D54" s="176">
        <v>0</v>
      </c>
      <c r="E54" s="177">
        <v>0</v>
      </c>
      <c r="F54" s="176">
        <v>0</v>
      </c>
      <c r="G54" s="178"/>
      <c r="H54" s="176">
        <v>0</v>
      </c>
      <c r="I54" s="176">
        <v>0</v>
      </c>
      <c r="J54" s="176">
        <v>0</v>
      </c>
      <c r="K54" s="178">
        <v>0</v>
      </c>
      <c r="L54" s="176">
        <v>0</v>
      </c>
      <c r="M54" s="137">
        <v>0</v>
      </c>
      <c r="N54" s="137">
        <v>0</v>
      </c>
      <c r="O54" s="137">
        <v>0</v>
      </c>
      <c r="P54" s="137">
        <v>0</v>
      </c>
      <c r="Q54" s="137">
        <v>0</v>
      </c>
      <c r="R54" s="137">
        <v>0</v>
      </c>
      <c r="S54" s="137"/>
      <c r="T54" s="137"/>
      <c r="U54" s="137"/>
      <c r="V54" s="137"/>
      <c r="W54" s="137"/>
      <c r="X54" s="137">
        <v>0</v>
      </c>
      <c r="Y54" s="137"/>
      <c r="Z54" s="137">
        <v>0</v>
      </c>
      <c r="AA54" s="137">
        <v>0</v>
      </c>
      <c r="AB54" s="176"/>
      <c r="AC54" s="176">
        <v>0</v>
      </c>
      <c r="AE54" s="179">
        <v>0</v>
      </c>
      <c r="AF54" s="179">
        <v>0</v>
      </c>
      <c r="AG54" s="179">
        <v>0</v>
      </c>
      <c r="AH54" s="179">
        <v>0</v>
      </c>
      <c r="AJ54" s="178">
        <v>0</v>
      </c>
      <c r="AK54" s="176"/>
      <c r="AL54" s="176"/>
      <c r="AM54" s="176"/>
      <c r="AO54" s="176"/>
      <c r="AP54" s="176"/>
      <c r="AQ54" s="176">
        <v>0</v>
      </c>
      <c r="AR54" s="176">
        <v>0</v>
      </c>
      <c r="AS54" s="176">
        <v>0</v>
      </c>
      <c r="AT54" s="178">
        <v>1</v>
      </c>
      <c r="AU54" s="176"/>
      <c r="AV54" s="178">
        <v>0</v>
      </c>
      <c r="AW54" s="177"/>
      <c r="AX54" s="176">
        <v>0</v>
      </c>
      <c r="AY54" s="176"/>
      <c r="AZ54" s="178">
        <v>0</v>
      </c>
      <c r="BA54" s="176"/>
      <c r="BB54" s="176">
        <v>0</v>
      </c>
      <c r="BC54" s="176">
        <v>0</v>
      </c>
      <c r="BD54" s="180" t="s">
        <v>604</v>
      </c>
      <c r="BE54" s="176"/>
      <c r="BF54" s="178">
        <v>0</v>
      </c>
      <c r="BG54" s="176">
        <v>0</v>
      </c>
      <c r="BJ54" s="176"/>
      <c r="BL54" s="176"/>
      <c r="BM54" s="176"/>
      <c r="BN54" s="176"/>
      <c r="BO54" s="176">
        <v>0</v>
      </c>
      <c r="BP54" s="176">
        <v>0</v>
      </c>
      <c r="BQ54" s="176"/>
      <c r="BR54" s="176"/>
      <c r="BS54" s="176"/>
      <c r="BT54" s="176"/>
      <c r="BU54" s="176"/>
      <c r="BV54" s="176"/>
      <c r="BW54" s="178">
        <v>0</v>
      </c>
      <c r="BX54" s="178">
        <v>0</v>
      </c>
      <c r="BZ54" s="92">
        <v>0</v>
      </c>
      <c r="CA54" s="92">
        <v>0</v>
      </c>
      <c r="CB54" s="176"/>
      <c r="CC54" s="92">
        <v>0</v>
      </c>
      <c r="CD54" s="92">
        <v>0</v>
      </c>
      <c r="CE54" s="178"/>
      <c r="CF54" s="178"/>
      <c r="CG54" s="178"/>
      <c r="CH54" s="178"/>
      <c r="CI54" s="178"/>
      <c r="CJ54" s="176">
        <v>0</v>
      </c>
      <c r="CK54" s="176">
        <v>0</v>
      </c>
      <c r="CQ54" s="232">
        <v>0</v>
      </c>
      <c r="CR54" s="232">
        <v>0</v>
      </c>
      <c r="CS54" s="176">
        <v>0</v>
      </c>
      <c r="CT54" s="92">
        <v>0</v>
      </c>
      <c r="CU54" s="92">
        <v>0</v>
      </c>
      <c r="CV54" s="92">
        <v>0</v>
      </c>
      <c r="CW54" s="92">
        <v>0</v>
      </c>
      <c r="DE54" s="92">
        <v>0</v>
      </c>
      <c r="DF54" s="135">
        <v>0</v>
      </c>
      <c r="DG54" s="92" t="s">
        <v>210</v>
      </c>
      <c r="DI54" s="92">
        <v>0</v>
      </c>
      <c r="DJ54" s="92">
        <v>0</v>
      </c>
      <c r="DK54" s="92">
        <v>0</v>
      </c>
      <c r="DL54" s="92">
        <v>0</v>
      </c>
      <c r="DM54" s="92">
        <v>0</v>
      </c>
      <c r="DN54" s="92">
        <v>0</v>
      </c>
      <c r="DO54" s="92">
        <v>0</v>
      </c>
      <c r="DP54" s="92">
        <v>0</v>
      </c>
      <c r="DQ54" s="92">
        <v>0</v>
      </c>
      <c r="DR54" s="92">
        <v>0</v>
      </c>
      <c r="DS54" s="92">
        <v>0</v>
      </c>
      <c r="DT54" s="92">
        <v>0</v>
      </c>
      <c r="DU54" s="92">
        <v>0</v>
      </c>
      <c r="DZ54" s="139">
        <v>0</v>
      </c>
      <c r="EA54" s="139">
        <v>0</v>
      </c>
      <c r="EB54" s="139">
        <v>0</v>
      </c>
      <c r="EC54" s="139">
        <v>0</v>
      </c>
      <c r="ED54" s="139">
        <v>0</v>
      </c>
      <c r="EE54" s="139">
        <v>0</v>
      </c>
      <c r="EF54" s="143">
        <v>0</v>
      </c>
      <c r="EG54" s="143">
        <v>0</v>
      </c>
      <c r="EH54" s="143">
        <v>0</v>
      </c>
      <c r="EI54" s="143">
        <v>0</v>
      </c>
    </row>
    <row r="55" spans="1:139">
      <c r="A55" s="175">
        <v>2036</v>
      </c>
      <c r="B55" s="92" t="s">
        <v>348</v>
      </c>
      <c r="C55" s="176">
        <v>64</v>
      </c>
      <c r="D55" s="176">
        <v>279</v>
      </c>
      <c r="E55" s="177">
        <v>0</v>
      </c>
      <c r="F55" s="176">
        <v>0</v>
      </c>
      <c r="G55" s="178">
        <v>68258.462335852761</v>
      </c>
      <c r="H55" s="176">
        <v>52.380296610169538</v>
      </c>
      <c r="I55" s="176">
        <v>534800.13643333339</v>
      </c>
      <c r="J55" s="176">
        <v>0</v>
      </c>
      <c r="K55" s="178">
        <v>25</v>
      </c>
      <c r="L55" s="176">
        <v>0</v>
      </c>
      <c r="M55" s="137">
        <v>31</v>
      </c>
      <c r="N55" s="137">
        <v>30</v>
      </c>
      <c r="O55" s="137">
        <v>28</v>
      </c>
      <c r="P55" s="137">
        <v>30</v>
      </c>
      <c r="Q55" s="137">
        <v>29</v>
      </c>
      <c r="R55" s="137">
        <v>19</v>
      </c>
      <c r="S55" s="137"/>
      <c r="T55" s="137"/>
      <c r="U55" s="137"/>
      <c r="V55" s="137"/>
      <c r="W55" s="137"/>
      <c r="X55" s="137">
        <v>39</v>
      </c>
      <c r="Y55" s="137"/>
      <c r="Z55" s="137">
        <v>30</v>
      </c>
      <c r="AA55" s="137">
        <v>0</v>
      </c>
      <c r="AB55" s="176"/>
      <c r="AC55" s="176">
        <v>0</v>
      </c>
      <c r="AE55" s="179">
        <v>28.86315789473684</v>
      </c>
      <c r="AF55" s="179">
        <v>77.115789473684202</v>
      </c>
      <c r="AG55" s="179">
        <v>21978</v>
      </c>
      <c r="AH55" s="179">
        <v>11.053263157894737</v>
      </c>
      <c r="AJ55" s="178">
        <v>64</v>
      </c>
      <c r="AK55" s="176"/>
      <c r="AL55" s="176"/>
      <c r="AM55" s="176"/>
      <c r="AN55" s="176">
        <v>1</v>
      </c>
      <c r="AO55" s="176"/>
      <c r="AP55" s="176"/>
      <c r="AQ55" s="176">
        <v>97</v>
      </c>
      <c r="AR55" s="176">
        <v>0</v>
      </c>
      <c r="AS55" s="176">
        <v>0</v>
      </c>
      <c r="AT55" s="178">
        <v>1</v>
      </c>
      <c r="AU55" s="176"/>
      <c r="AV55" s="178">
        <v>1</v>
      </c>
      <c r="AW55" s="177"/>
      <c r="AX55" s="176">
        <v>0</v>
      </c>
      <c r="AY55" s="176"/>
      <c r="AZ55" s="178">
        <v>0</v>
      </c>
      <c r="BA55" s="176"/>
      <c r="BB55" s="176">
        <v>0</v>
      </c>
      <c r="BC55" s="176">
        <v>0</v>
      </c>
      <c r="BD55" s="180" t="s">
        <v>214</v>
      </c>
      <c r="BE55" s="176"/>
      <c r="BF55" s="178">
        <v>220.4</v>
      </c>
      <c r="BG55" s="176">
        <v>106</v>
      </c>
      <c r="BJ55" s="176"/>
      <c r="BL55" s="176"/>
      <c r="BM55" s="176"/>
      <c r="BN55" s="176"/>
      <c r="BO55" s="176">
        <v>1</v>
      </c>
      <c r="BP55" s="176">
        <v>21189.339177484333</v>
      </c>
      <c r="BQ55" s="176"/>
      <c r="BR55" s="176"/>
      <c r="BS55" s="176"/>
      <c r="BT55" s="176"/>
      <c r="BU55" s="176"/>
      <c r="BV55" s="176"/>
      <c r="BW55" s="178">
        <v>0</v>
      </c>
      <c r="BX55" s="178">
        <v>0</v>
      </c>
      <c r="BY55" s="92">
        <v>17000</v>
      </c>
      <c r="BZ55" s="92">
        <v>4062</v>
      </c>
      <c r="CA55" s="92">
        <v>13167.5</v>
      </c>
      <c r="CB55" s="176"/>
      <c r="CC55" s="92">
        <v>2645</v>
      </c>
      <c r="CD55" s="92">
        <v>0</v>
      </c>
      <c r="CE55" s="178"/>
      <c r="CF55" s="178"/>
      <c r="CG55" s="178"/>
      <c r="CH55" s="178"/>
      <c r="CI55" s="178"/>
      <c r="CJ55" s="176">
        <v>0</v>
      </c>
      <c r="CK55" s="176">
        <v>0</v>
      </c>
      <c r="CQ55" s="232">
        <v>220.4</v>
      </c>
      <c r="CR55" s="232">
        <v>64.599999999999994</v>
      </c>
      <c r="CS55" s="176">
        <v>14.1</v>
      </c>
      <c r="CT55" s="92">
        <v>279</v>
      </c>
      <c r="CU55" s="92">
        <v>0</v>
      </c>
      <c r="CV55" s="92">
        <v>0</v>
      </c>
      <c r="CW55" s="92">
        <v>0</v>
      </c>
      <c r="DE55" s="92">
        <v>197</v>
      </c>
      <c r="DF55" s="135">
        <v>0</v>
      </c>
      <c r="DG55" s="92" t="s">
        <v>210</v>
      </c>
      <c r="DH55" s="92">
        <v>1</v>
      </c>
      <c r="DI55" s="92">
        <v>32.487309644670049</v>
      </c>
      <c r="DJ55" s="92">
        <v>10.263157894736842</v>
      </c>
      <c r="DK55" s="92">
        <v>10.231578947368421</v>
      </c>
      <c r="DL55" s="92">
        <v>8.3684210526315788</v>
      </c>
      <c r="DM55" s="92">
        <v>9945</v>
      </c>
      <c r="DN55" s="92">
        <v>5832</v>
      </c>
      <c r="DO55" s="92">
        <v>6201</v>
      </c>
      <c r="DP55" s="92">
        <v>34.89473684210526</v>
      </c>
      <c r="DQ55" s="92">
        <v>20.463157894736842</v>
      </c>
      <c r="DR55" s="92">
        <v>21.757894736842104</v>
      </c>
      <c r="DS55" s="92">
        <v>5.0015789473684213</v>
      </c>
      <c r="DT55" s="92">
        <v>2.9330526315789474</v>
      </c>
      <c r="DU55" s="92">
        <v>3.1186315789473684</v>
      </c>
      <c r="DZ55" s="139">
        <v>23</v>
      </c>
      <c r="EA55" s="139">
        <v>167</v>
      </c>
      <c r="EB55" s="139">
        <v>19</v>
      </c>
      <c r="EC55" s="139">
        <v>13</v>
      </c>
      <c r="ED55" s="139">
        <v>10</v>
      </c>
      <c r="EE55" s="139">
        <v>6</v>
      </c>
      <c r="EF55" s="143">
        <v>20</v>
      </c>
      <c r="EG55" s="143">
        <v>14</v>
      </c>
      <c r="EH55" s="143">
        <v>14</v>
      </c>
      <c r="EI55" s="143">
        <v>41</v>
      </c>
    </row>
    <row r="56" spans="1:139">
      <c r="A56" s="175">
        <v>2037</v>
      </c>
      <c r="B56" s="92" t="s">
        <v>349</v>
      </c>
      <c r="C56" s="176">
        <v>70</v>
      </c>
      <c r="D56" s="176">
        <v>261</v>
      </c>
      <c r="E56" s="177">
        <v>0</v>
      </c>
      <c r="F56" s="176">
        <v>0</v>
      </c>
      <c r="G56" s="178">
        <v>62158.85156138552</v>
      </c>
      <c r="H56" s="176">
        <v>59.001398601398577</v>
      </c>
      <c r="I56" s="176">
        <v>0</v>
      </c>
      <c r="J56" s="176">
        <v>0</v>
      </c>
      <c r="K56" s="178">
        <v>146.66666666666666</v>
      </c>
      <c r="L56" s="176">
        <v>0</v>
      </c>
      <c r="M56" s="137">
        <v>30</v>
      </c>
      <c r="N56" s="137">
        <v>30</v>
      </c>
      <c r="O56" s="137">
        <v>30</v>
      </c>
      <c r="P56" s="137">
        <v>30</v>
      </c>
      <c r="Q56" s="137">
        <v>27</v>
      </c>
      <c r="R56" s="137">
        <v>30</v>
      </c>
      <c r="S56" s="137"/>
      <c r="T56" s="137"/>
      <c r="U56" s="137"/>
      <c r="V56" s="137"/>
      <c r="W56" s="137"/>
      <c r="X56" s="137">
        <v>49</v>
      </c>
      <c r="Y56" s="137"/>
      <c r="Z56" s="137">
        <v>60</v>
      </c>
      <c r="AA56" s="137">
        <v>0</v>
      </c>
      <c r="AB56" s="176"/>
      <c r="AC56" s="176">
        <v>0</v>
      </c>
      <c r="AE56" s="179">
        <v>30</v>
      </c>
      <c r="AF56" s="179">
        <v>84.021052631578954</v>
      </c>
      <c r="AG56" s="179">
        <v>23946</v>
      </c>
      <c r="AH56" s="179">
        <v>9.1261164613661805</v>
      </c>
      <c r="AJ56" s="178">
        <v>70</v>
      </c>
      <c r="AK56" s="176"/>
      <c r="AL56" s="176"/>
      <c r="AM56" s="176"/>
      <c r="AO56" s="176"/>
      <c r="AP56" s="176"/>
      <c r="AQ56" s="176">
        <v>85</v>
      </c>
      <c r="AR56" s="176">
        <v>0</v>
      </c>
      <c r="AS56" s="176">
        <v>0</v>
      </c>
      <c r="AT56" s="178">
        <v>1</v>
      </c>
      <c r="AU56" s="176"/>
      <c r="AV56" s="178">
        <v>3</v>
      </c>
      <c r="AW56" s="177"/>
      <c r="AX56" s="176">
        <v>0</v>
      </c>
      <c r="AY56" s="176"/>
      <c r="AZ56" s="178">
        <v>0</v>
      </c>
      <c r="BA56" s="176"/>
      <c r="BB56" s="176">
        <v>0</v>
      </c>
      <c r="BC56" s="176">
        <v>0</v>
      </c>
      <c r="BD56" s="180" t="s">
        <v>214</v>
      </c>
      <c r="BE56" s="176"/>
      <c r="BF56" s="178">
        <v>266.39999999999998</v>
      </c>
      <c r="BG56" s="176">
        <v>122</v>
      </c>
      <c r="BJ56" s="176"/>
      <c r="BL56" s="176"/>
      <c r="BM56" s="176"/>
      <c r="BN56" s="176"/>
      <c r="BO56" s="176">
        <v>1</v>
      </c>
      <c r="BP56" s="176">
        <v>19547.048961757959</v>
      </c>
      <c r="BQ56" s="176"/>
      <c r="BR56" s="176"/>
      <c r="BS56" s="176"/>
      <c r="BT56" s="176"/>
      <c r="BU56" s="176"/>
      <c r="BV56" s="176"/>
      <c r="BW56" s="178">
        <v>0</v>
      </c>
      <c r="BX56" s="178">
        <v>0</v>
      </c>
      <c r="BY56" s="92">
        <v>8094</v>
      </c>
      <c r="BZ56" s="92">
        <v>7614</v>
      </c>
      <c r="CA56" s="92">
        <v>15343</v>
      </c>
      <c r="CB56" s="176"/>
      <c r="CC56" s="92">
        <v>2649.88</v>
      </c>
      <c r="CD56" s="92">
        <v>0</v>
      </c>
      <c r="CE56" s="178"/>
      <c r="CF56" s="178"/>
      <c r="CG56" s="178"/>
      <c r="CH56" s="178"/>
      <c r="CI56" s="178"/>
      <c r="CJ56" s="176">
        <v>0</v>
      </c>
      <c r="CK56" s="176">
        <v>0</v>
      </c>
      <c r="CQ56" s="232">
        <v>266.39999999999998</v>
      </c>
      <c r="CR56" s="232">
        <v>70</v>
      </c>
      <c r="CS56" s="176">
        <v>4.05</v>
      </c>
      <c r="CT56" s="92">
        <v>261</v>
      </c>
      <c r="CU56" s="92">
        <v>0</v>
      </c>
      <c r="CV56" s="92">
        <v>0</v>
      </c>
      <c r="CW56" s="92">
        <v>0</v>
      </c>
      <c r="DE56" s="92">
        <v>237</v>
      </c>
      <c r="DF56" s="135">
        <v>0</v>
      </c>
      <c r="DG56" s="92" t="s">
        <v>210</v>
      </c>
      <c r="DH56" s="92">
        <v>1</v>
      </c>
      <c r="DI56" s="92">
        <v>29.535864978902953</v>
      </c>
      <c r="DJ56" s="92">
        <v>10.263157894736842</v>
      </c>
      <c r="DK56" s="92">
        <v>11.368421052631579</v>
      </c>
      <c r="DL56" s="92">
        <v>8.3684210526315788</v>
      </c>
      <c r="DM56" s="92">
        <v>8970</v>
      </c>
      <c r="DN56" s="92">
        <v>7344</v>
      </c>
      <c r="DO56" s="92">
        <v>7632</v>
      </c>
      <c r="DP56" s="92">
        <v>31.473684210526315</v>
      </c>
      <c r="DQ56" s="92">
        <v>25.768421052631581</v>
      </c>
      <c r="DR56" s="92">
        <v>26.778947368421051</v>
      </c>
      <c r="DS56" s="92">
        <v>3.4185778275475927</v>
      </c>
      <c r="DT56" s="92">
        <v>2.7988891377379619</v>
      </c>
      <c r="DU56" s="92">
        <v>2.9086494960806268</v>
      </c>
      <c r="DZ56" s="139">
        <v>23</v>
      </c>
      <c r="EA56" s="139">
        <v>177</v>
      </c>
      <c r="EB56" s="139">
        <v>24</v>
      </c>
      <c r="EC56" s="139">
        <v>18</v>
      </c>
      <c r="ED56" s="139">
        <v>8</v>
      </c>
      <c r="EE56" s="139">
        <v>8</v>
      </c>
      <c r="EF56" s="143">
        <v>6</v>
      </c>
      <c r="EG56" s="143">
        <v>12</v>
      </c>
      <c r="EH56" s="143">
        <v>28</v>
      </c>
      <c r="EI56" s="143">
        <v>87</v>
      </c>
    </row>
    <row r="57" spans="1:139">
      <c r="A57" s="175">
        <v>3523</v>
      </c>
      <c r="B57" s="92" t="s">
        <v>350</v>
      </c>
      <c r="C57" s="176">
        <v>101</v>
      </c>
      <c r="D57" s="176">
        <v>498</v>
      </c>
      <c r="E57" s="177">
        <v>0</v>
      </c>
      <c r="F57" s="176">
        <v>0</v>
      </c>
      <c r="G57" s="178">
        <v>52702.931777525482</v>
      </c>
      <c r="H57" s="176">
        <v>118.09925000000014</v>
      </c>
      <c r="I57" s="176">
        <v>0</v>
      </c>
      <c r="J57" s="176">
        <v>0</v>
      </c>
      <c r="K57" s="178">
        <v>240</v>
      </c>
      <c r="L57" s="176">
        <v>0</v>
      </c>
      <c r="M57" s="137">
        <v>60</v>
      </c>
      <c r="N57" s="137">
        <v>60</v>
      </c>
      <c r="O57" s="137">
        <v>59</v>
      </c>
      <c r="P57" s="137">
        <v>56</v>
      </c>
      <c r="Q57" s="137">
        <v>60</v>
      </c>
      <c r="R57" s="137">
        <v>52</v>
      </c>
      <c r="S57" s="137"/>
      <c r="T57" s="137"/>
      <c r="U57" s="137"/>
      <c r="V57" s="137"/>
      <c r="W57" s="137"/>
      <c r="X57" s="137">
        <v>83</v>
      </c>
      <c r="Y57" s="137"/>
      <c r="Z57" s="137">
        <v>90</v>
      </c>
      <c r="AA57" s="137">
        <v>0</v>
      </c>
      <c r="AB57" s="176"/>
      <c r="AC57" s="176">
        <v>0</v>
      </c>
      <c r="AE57" s="179">
        <v>30</v>
      </c>
      <c r="AF57" s="179">
        <v>0</v>
      </c>
      <c r="AG57" s="179">
        <v>44529</v>
      </c>
      <c r="AH57" s="179">
        <v>17.092509828788842</v>
      </c>
      <c r="AJ57" s="178">
        <v>101</v>
      </c>
      <c r="AK57" s="176"/>
      <c r="AL57" s="176"/>
      <c r="AM57" s="176"/>
      <c r="AO57" s="176"/>
      <c r="AP57" s="176"/>
      <c r="AQ57" s="176">
        <v>172</v>
      </c>
      <c r="AR57" s="176">
        <v>0</v>
      </c>
      <c r="AS57" s="176">
        <v>0</v>
      </c>
      <c r="AT57" s="178">
        <v>1</v>
      </c>
      <c r="AU57" s="176"/>
      <c r="AV57" s="178">
        <v>0</v>
      </c>
      <c r="AW57" s="177"/>
      <c r="AX57" s="176">
        <v>0</v>
      </c>
      <c r="AY57" s="176"/>
      <c r="AZ57" s="178">
        <v>0</v>
      </c>
      <c r="BA57" s="176"/>
      <c r="BB57" s="176">
        <v>0</v>
      </c>
      <c r="BC57" s="176">
        <v>0</v>
      </c>
      <c r="BD57" s="180" t="s">
        <v>214</v>
      </c>
      <c r="BE57" s="176"/>
      <c r="BF57" s="178">
        <v>486.8</v>
      </c>
      <c r="BG57" s="176">
        <v>171</v>
      </c>
      <c r="BJ57" s="176"/>
      <c r="BL57" s="176"/>
      <c r="BM57" s="176"/>
      <c r="BN57" s="176"/>
      <c r="BO57" s="176">
        <v>0</v>
      </c>
      <c r="BP57" s="176">
        <v>0</v>
      </c>
      <c r="BQ57" s="176"/>
      <c r="BR57" s="176"/>
      <c r="BS57" s="176"/>
      <c r="BT57" s="176"/>
      <c r="BU57" s="176"/>
      <c r="BV57" s="176"/>
      <c r="BW57" s="178">
        <v>0</v>
      </c>
      <c r="BX57" s="178">
        <v>2055.48</v>
      </c>
      <c r="BY57" s="92">
        <v>19300</v>
      </c>
      <c r="BZ57" s="92">
        <v>2595</v>
      </c>
      <c r="CA57" s="92">
        <v>27724</v>
      </c>
      <c r="CB57" s="176"/>
      <c r="CC57" s="92">
        <v>2828.63</v>
      </c>
      <c r="CD57" s="92">
        <v>0</v>
      </c>
      <c r="CE57" s="178"/>
      <c r="CF57" s="178"/>
      <c r="CG57" s="178"/>
      <c r="CH57" s="178"/>
      <c r="CI57" s="178"/>
      <c r="CJ57" s="176">
        <v>0</v>
      </c>
      <c r="CK57" s="176">
        <v>0</v>
      </c>
      <c r="CQ57" s="232">
        <v>486.8</v>
      </c>
      <c r="CR57" s="232">
        <v>103.4</v>
      </c>
      <c r="CS57" s="176">
        <v>12.18</v>
      </c>
      <c r="CT57" s="92">
        <v>498</v>
      </c>
      <c r="CU57" s="92">
        <v>0</v>
      </c>
      <c r="CV57" s="92">
        <v>0</v>
      </c>
      <c r="CW57" s="92">
        <v>0</v>
      </c>
      <c r="DE57" s="92">
        <v>437</v>
      </c>
      <c r="DF57" s="135">
        <v>0</v>
      </c>
      <c r="DG57" s="92" t="s">
        <v>210</v>
      </c>
      <c r="DH57" s="92">
        <v>1</v>
      </c>
      <c r="DI57" s="92">
        <v>23.112128146453088</v>
      </c>
      <c r="DJ57" s="92">
        <v>10.263157894736842</v>
      </c>
      <c r="DK57" s="92">
        <v>11.368421052631579</v>
      </c>
      <c r="DL57" s="92">
        <v>8.3684210526315788</v>
      </c>
      <c r="DM57" s="92">
        <v>17940</v>
      </c>
      <c r="DN57" s="92">
        <v>13392</v>
      </c>
      <c r="DO57" s="92">
        <v>13197</v>
      </c>
      <c r="DP57" s="92">
        <v>0</v>
      </c>
      <c r="DQ57" s="92">
        <v>0</v>
      </c>
      <c r="DR57" s="92">
        <v>0</v>
      </c>
      <c r="DS57" s="92">
        <v>6.8862904248573242</v>
      </c>
      <c r="DT57" s="92">
        <v>5.1405351934051993</v>
      </c>
      <c r="DU57" s="92">
        <v>5.0656842105263156</v>
      </c>
      <c r="DZ57" s="139">
        <v>36</v>
      </c>
      <c r="EA57" s="139">
        <v>347</v>
      </c>
      <c r="EB57" s="139">
        <v>28</v>
      </c>
      <c r="EC57" s="139">
        <v>52</v>
      </c>
      <c r="ED57" s="139">
        <v>7</v>
      </c>
      <c r="EE57" s="139">
        <v>14</v>
      </c>
      <c r="EF57" s="143">
        <v>12</v>
      </c>
      <c r="EG57" s="143">
        <v>40</v>
      </c>
      <c r="EH57" s="143">
        <v>50</v>
      </c>
      <c r="EI57" s="143">
        <v>104</v>
      </c>
    </row>
    <row r="58" spans="1:139">
      <c r="A58" s="175">
        <v>5948</v>
      </c>
      <c r="B58" s="92" t="s">
        <v>351</v>
      </c>
      <c r="C58" s="176">
        <v>11</v>
      </c>
      <c r="D58" s="176">
        <v>61</v>
      </c>
      <c r="E58" s="177">
        <v>0</v>
      </c>
      <c r="F58" s="176">
        <v>0</v>
      </c>
      <c r="G58" s="178">
        <v>11968.843499114177</v>
      </c>
      <c r="H58" s="176">
        <v>32.340000000000003</v>
      </c>
      <c r="I58" s="176">
        <v>0</v>
      </c>
      <c r="J58" s="176">
        <v>0</v>
      </c>
      <c r="K58" s="178">
        <v>135</v>
      </c>
      <c r="L58" s="176">
        <v>0</v>
      </c>
      <c r="M58" s="137">
        <v>28</v>
      </c>
      <c r="N58" s="137">
        <v>28</v>
      </c>
      <c r="O58" s="137">
        <v>28</v>
      </c>
      <c r="P58" s="137">
        <v>28</v>
      </c>
      <c r="Q58" s="137">
        <v>28</v>
      </c>
      <c r="R58" s="137">
        <v>28</v>
      </c>
      <c r="S58" s="137"/>
      <c r="T58" s="137"/>
      <c r="U58" s="137"/>
      <c r="V58" s="137"/>
      <c r="W58" s="137"/>
      <c r="X58" s="137">
        <v>26</v>
      </c>
      <c r="Y58" s="137"/>
      <c r="Z58" s="137">
        <v>28</v>
      </c>
      <c r="AA58" s="137">
        <v>0</v>
      </c>
      <c r="AB58" s="176"/>
      <c r="AC58" s="176">
        <v>0</v>
      </c>
      <c r="AE58" s="179">
        <v>26</v>
      </c>
      <c r="AF58" s="179">
        <v>52</v>
      </c>
      <c r="AG58" s="179">
        <v>14820</v>
      </c>
      <c r="AH58" s="179">
        <v>4.45</v>
      </c>
      <c r="AJ58" s="178">
        <v>11</v>
      </c>
      <c r="AK58" s="176"/>
      <c r="AL58" s="176"/>
      <c r="AM58" s="176"/>
      <c r="AO58" s="176"/>
      <c r="AP58" s="176"/>
      <c r="AQ58" s="176">
        <v>13</v>
      </c>
      <c r="AR58" s="176">
        <v>0</v>
      </c>
      <c r="AS58" s="176">
        <v>0</v>
      </c>
      <c r="AT58" s="178">
        <v>1</v>
      </c>
      <c r="AU58" s="176"/>
      <c r="AV58" s="178">
        <v>0</v>
      </c>
      <c r="AW58" s="177"/>
      <c r="AX58" s="176">
        <v>0</v>
      </c>
      <c r="AY58" s="176"/>
      <c r="AZ58" s="178">
        <v>0</v>
      </c>
      <c r="BA58" s="176"/>
      <c r="BB58" s="176">
        <v>0</v>
      </c>
      <c r="BC58" s="176">
        <v>0</v>
      </c>
      <c r="BD58" s="180" t="s">
        <v>597</v>
      </c>
      <c r="BE58" s="176"/>
      <c r="BF58" s="178">
        <v>0</v>
      </c>
      <c r="BG58" s="176">
        <v>0</v>
      </c>
      <c r="BJ58" s="176"/>
      <c r="BL58" s="176"/>
      <c r="BM58" s="176"/>
      <c r="BN58" s="176"/>
      <c r="BO58" s="176">
        <v>0</v>
      </c>
      <c r="BP58" s="176">
        <v>0</v>
      </c>
      <c r="BQ58" s="176"/>
      <c r="BR58" s="176"/>
      <c r="BS58" s="176"/>
      <c r="BT58" s="176"/>
      <c r="BU58" s="176"/>
      <c r="BV58" s="176"/>
      <c r="BW58" s="178">
        <v>0</v>
      </c>
      <c r="BX58" s="178">
        <v>0</v>
      </c>
      <c r="BY58" s="92">
        <v>3263</v>
      </c>
      <c r="BZ58" s="92">
        <v>1521</v>
      </c>
      <c r="CA58" s="92">
        <v>0</v>
      </c>
      <c r="CB58" s="176"/>
      <c r="CC58" s="92">
        <v>1635</v>
      </c>
      <c r="CD58" s="92">
        <v>0</v>
      </c>
      <c r="CE58" s="178"/>
      <c r="CF58" s="178"/>
      <c r="CG58" s="178"/>
      <c r="CH58" s="178"/>
      <c r="CI58" s="178"/>
      <c r="CJ58" s="176">
        <v>0</v>
      </c>
      <c r="CK58" s="176">
        <v>0</v>
      </c>
      <c r="CQ58" s="232">
        <v>211.6</v>
      </c>
      <c r="CR58" s="232">
        <v>11</v>
      </c>
      <c r="CS58" s="176">
        <v>3.08</v>
      </c>
      <c r="CT58" s="92">
        <v>61</v>
      </c>
      <c r="CU58" s="92">
        <v>0</v>
      </c>
      <c r="CV58" s="92">
        <v>0</v>
      </c>
      <c r="CW58" s="92">
        <v>0</v>
      </c>
      <c r="DE58" s="92">
        <v>196</v>
      </c>
      <c r="DF58" s="135">
        <v>0</v>
      </c>
      <c r="DG58" s="92" t="s">
        <v>210</v>
      </c>
      <c r="DH58" s="92">
        <v>1</v>
      </c>
      <c r="DI58" s="92">
        <v>5.6122448979591839</v>
      </c>
      <c r="DJ58" s="92">
        <v>8.8947368421052637</v>
      </c>
      <c r="DK58" s="92">
        <v>9.8526315789473689</v>
      </c>
      <c r="DL58" s="92">
        <v>7.2526315789473674</v>
      </c>
      <c r="DM58" s="92">
        <v>5070</v>
      </c>
      <c r="DN58" s="92">
        <v>5616</v>
      </c>
      <c r="DO58" s="92">
        <v>4134</v>
      </c>
      <c r="DP58" s="92">
        <v>17.789473684210527</v>
      </c>
      <c r="DQ58" s="92">
        <v>19.705263157894738</v>
      </c>
      <c r="DR58" s="92">
        <v>14.505263157894735</v>
      </c>
      <c r="DS58" s="92">
        <v>1.5223684210526316</v>
      </c>
      <c r="DT58" s="92">
        <v>1.6863157894736842</v>
      </c>
      <c r="DU58" s="92">
        <v>1.2413157894736842</v>
      </c>
      <c r="DZ58" s="139">
        <v>9</v>
      </c>
      <c r="EA58" s="139">
        <v>168</v>
      </c>
      <c r="EB58" s="139">
        <v>0</v>
      </c>
      <c r="EC58" s="139">
        <v>0</v>
      </c>
      <c r="ED58" s="139">
        <v>0</v>
      </c>
      <c r="EE58" s="139">
        <v>0</v>
      </c>
      <c r="EF58" s="143">
        <v>6</v>
      </c>
      <c r="EG58" s="143">
        <v>2</v>
      </c>
      <c r="EH58" s="143">
        <v>0</v>
      </c>
      <c r="EI58" s="143">
        <v>11</v>
      </c>
    </row>
    <row r="59" spans="1:139">
      <c r="A59" s="175">
        <v>5949</v>
      </c>
      <c r="B59" s="92" t="s">
        <v>78</v>
      </c>
      <c r="C59" s="176">
        <v>7</v>
      </c>
      <c r="D59" s="176">
        <v>10</v>
      </c>
      <c r="E59" s="177">
        <v>0</v>
      </c>
      <c r="F59" s="176">
        <v>0</v>
      </c>
      <c r="G59" s="178">
        <v>12836.174311216912</v>
      </c>
      <c r="H59" s="176">
        <v>31.718171206225687</v>
      </c>
      <c r="I59" s="176">
        <v>0</v>
      </c>
      <c r="J59" s="176">
        <v>0</v>
      </c>
      <c r="K59" s="178">
        <v>115</v>
      </c>
      <c r="L59" s="176">
        <v>0</v>
      </c>
      <c r="M59" s="137">
        <v>30</v>
      </c>
      <c r="N59" s="137">
        <v>48</v>
      </c>
      <c r="O59" s="137">
        <v>30</v>
      </c>
      <c r="P59" s="137">
        <v>29</v>
      </c>
      <c r="Q59" s="137">
        <v>30</v>
      </c>
      <c r="R59" s="137">
        <v>30</v>
      </c>
      <c r="S59" s="137"/>
      <c r="T59" s="137"/>
      <c r="U59" s="137"/>
      <c r="V59" s="137"/>
      <c r="W59" s="137"/>
      <c r="X59" s="137">
        <v>30</v>
      </c>
      <c r="Y59" s="137"/>
      <c r="Z59" s="137">
        <v>30</v>
      </c>
      <c r="AA59" s="137">
        <v>0</v>
      </c>
      <c r="AB59" s="176"/>
      <c r="AC59" s="176">
        <v>0</v>
      </c>
      <c r="AE59" s="179">
        <v>30</v>
      </c>
      <c r="AF59" s="179">
        <v>60.684210526315788</v>
      </c>
      <c r="AG59" s="179">
        <v>17295</v>
      </c>
      <c r="AH59" s="179">
        <v>3.8939035087719307</v>
      </c>
      <c r="AJ59" s="178">
        <v>7</v>
      </c>
      <c r="AK59" s="176"/>
      <c r="AL59" s="176"/>
      <c r="AM59" s="176"/>
      <c r="AO59" s="176"/>
      <c r="AP59" s="176"/>
      <c r="AQ59" s="176">
        <v>7</v>
      </c>
      <c r="AR59" s="176">
        <v>0</v>
      </c>
      <c r="AS59" s="176">
        <v>0</v>
      </c>
      <c r="AT59" s="178">
        <v>1</v>
      </c>
      <c r="AU59" s="176"/>
      <c r="AV59" s="178">
        <v>0</v>
      </c>
      <c r="AW59" s="177"/>
      <c r="AX59" s="176">
        <v>0</v>
      </c>
      <c r="AY59" s="176"/>
      <c r="AZ59" s="178">
        <v>0</v>
      </c>
      <c r="BA59" s="176"/>
      <c r="BB59" s="176">
        <v>0</v>
      </c>
      <c r="BC59" s="176">
        <v>0</v>
      </c>
      <c r="BD59" s="180" t="s">
        <v>597</v>
      </c>
      <c r="BE59" s="176"/>
      <c r="BF59" s="178">
        <v>0</v>
      </c>
      <c r="BG59" s="176">
        <v>0</v>
      </c>
      <c r="BJ59" s="176"/>
      <c r="BL59" s="176"/>
      <c r="BM59" s="176"/>
      <c r="BN59" s="176"/>
      <c r="BO59" s="176">
        <v>0</v>
      </c>
      <c r="BP59" s="176">
        <v>0</v>
      </c>
      <c r="BQ59" s="176"/>
      <c r="BR59" s="176"/>
      <c r="BS59" s="176"/>
      <c r="BT59" s="176"/>
      <c r="BU59" s="176"/>
      <c r="BV59" s="176"/>
      <c r="BW59" s="178">
        <v>0</v>
      </c>
      <c r="BX59" s="178">
        <v>1423.02</v>
      </c>
      <c r="BY59" s="92">
        <v>4486</v>
      </c>
      <c r="BZ59" s="92">
        <v>2081</v>
      </c>
      <c r="CA59" s="92">
        <v>0</v>
      </c>
      <c r="CB59" s="176"/>
      <c r="CC59" s="92">
        <v>1567</v>
      </c>
      <c r="CD59" s="92">
        <v>0</v>
      </c>
      <c r="CE59" s="178"/>
      <c r="CF59" s="178"/>
      <c r="CG59" s="178"/>
      <c r="CH59" s="178"/>
      <c r="CI59" s="178"/>
      <c r="CJ59" s="176">
        <v>0</v>
      </c>
      <c r="CK59" s="176">
        <v>0</v>
      </c>
      <c r="CQ59" s="232">
        <v>245</v>
      </c>
      <c r="CR59" s="232">
        <v>7</v>
      </c>
      <c r="CS59" s="176">
        <v>3.9</v>
      </c>
      <c r="CT59" s="92">
        <v>0</v>
      </c>
      <c r="CU59" s="92">
        <v>0</v>
      </c>
      <c r="CV59" s="92">
        <v>0</v>
      </c>
      <c r="CW59" s="92">
        <v>0</v>
      </c>
      <c r="DE59" s="92">
        <v>227</v>
      </c>
      <c r="DF59" s="135">
        <v>0</v>
      </c>
      <c r="DG59" s="92" t="s">
        <v>210</v>
      </c>
      <c r="DH59" s="92">
        <v>1</v>
      </c>
      <c r="DI59" s="92">
        <v>3.0837004405286343</v>
      </c>
      <c r="DJ59" s="92">
        <v>10.263157894736842</v>
      </c>
      <c r="DK59" s="92">
        <v>11.368421052631579</v>
      </c>
      <c r="DL59" s="92">
        <v>8.3684210526315788</v>
      </c>
      <c r="DM59" s="92">
        <v>6045</v>
      </c>
      <c r="DN59" s="92">
        <v>6480</v>
      </c>
      <c r="DO59" s="92">
        <v>4770</v>
      </c>
      <c r="DP59" s="92">
        <v>21.210526315789473</v>
      </c>
      <c r="DQ59" s="92">
        <v>22.736842105263158</v>
      </c>
      <c r="DR59" s="92">
        <v>16.736842105263158</v>
      </c>
      <c r="DS59" s="92">
        <v>1.3610087719298247</v>
      </c>
      <c r="DT59" s="92">
        <v>1.458947368421053</v>
      </c>
      <c r="DU59" s="92">
        <v>1.0739473684210528</v>
      </c>
      <c r="DZ59" s="139">
        <v>7</v>
      </c>
      <c r="EA59" s="139">
        <v>197</v>
      </c>
      <c r="EB59" s="139">
        <v>0</v>
      </c>
      <c r="EC59" s="139">
        <v>0</v>
      </c>
      <c r="ED59" s="139">
        <v>0</v>
      </c>
      <c r="EE59" s="139">
        <v>0</v>
      </c>
      <c r="EF59" s="143">
        <v>0</v>
      </c>
      <c r="EG59" s="143">
        <v>1</v>
      </c>
      <c r="EH59" s="143">
        <v>0</v>
      </c>
      <c r="EI59" s="143">
        <v>6</v>
      </c>
    </row>
    <row r="60" spans="1:139">
      <c r="A60" s="175">
        <v>3513</v>
      </c>
      <c r="B60" s="92" t="s">
        <v>79</v>
      </c>
      <c r="C60" s="176">
        <v>9</v>
      </c>
      <c r="D60" s="176">
        <v>14</v>
      </c>
      <c r="E60" s="177">
        <v>0</v>
      </c>
      <c r="F60" s="176">
        <v>0</v>
      </c>
      <c r="G60" s="178">
        <v>21729.660279684656</v>
      </c>
      <c r="H60" s="176">
        <v>45.372511312217192</v>
      </c>
      <c r="I60" s="176">
        <v>0</v>
      </c>
      <c r="J60" s="176">
        <v>0</v>
      </c>
      <c r="K60" s="178">
        <v>235</v>
      </c>
      <c r="L60" s="176">
        <v>0</v>
      </c>
      <c r="M60" s="137">
        <v>58</v>
      </c>
      <c r="N60" s="137">
        <v>57</v>
      </c>
      <c r="O60" s="137">
        <v>58</v>
      </c>
      <c r="P60" s="137">
        <v>53</v>
      </c>
      <c r="Q60" s="137">
        <v>48</v>
      </c>
      <c r="R60" s="137">
        <v>59</v>
      </c>
      <c r="S60" s="137"/>
      <c r="T60" s="137"/>
      <c r="U60" s="137"/>
      <c r="V60" s="137"/>
      <c r="W60" s="137"/>
      <c r="X60" s="137">
        <v>57</v>
      </c>
      <c r="Y60" s="137"/>
      <c r="Z60" s="137">
        <v>52</v>
      </c>
      <c r="AA60" s="137">
        <v>0</v>
      </c>
      <c r="AB60" s="176"/>
      <c r="AC60" s="176">
        <v>0</v>
      </c>
      <c r="AE60" s="179">
        <v>30</v>
      </c>
      <c r="AF60" s="179">
        <v>0</v>
      </c>
      <c r="AG60" s="179">
        <v>31320</v>
      </c>
      <c r="AH60" s="179">
        <v>6.2796992481202967</v>
      </c>
      <c r="AJ60" s="178">
        <v>9</v>
      </c>
      <c r="AK60" s="176"/>
      <c r="AL60" s="176"/>
      <c r="AM60" s="176"/>
      <c r="AO60" s="176"/>
      <c r="AP60" s="176"/>
      <c r="AQ60" s="176">
        <v>14</v>
      </c>
      <c r="AR60" s="176">
        <v>0</v>
      </c>
      <c r="AS60" s="176">
        <v>0</v>
      </c>
      <c r="AT60" s="178">
        <v>1</v>
      </c>
      <c r="AU60" s="176"/>
      <c r="AV60" s="178">
        <v>3</v>
      </c>
      <c r="AW60" s="177"/>
      <c r="AX60" s="176">
        <v>0</v>
      </c>
      <c r="AY60" s="176"/>
      <c r="AZ60" s="178">
        <v>1</v>
      </c>
      <c r="BA60" s="176"/>
      <c r="BB60" s="176">
        <v>0</v>
      </c>
      <c r="BC60" s="176">
        <v>0</v>
      </c>
      <c r="BD60" s="180" t="s">
        <v>597</v>
      </c>
      <c r="BE60" s="176"/>
      <c r="BF60" s="178">
        <v>0</v>
      </c>
      <c r="BG60" s="176">
        <v>0</v>
      </c>
      <c r="BJ60" s="176"/>
      <c r="BL60" s="176"/>
      <c r="BM60" s="176"/>
      <c r="BN60" s="176"/>
      <c r="BO60" s="176">
        <v>0</v>
      </c>
      <c r="BP60" s="176">
        <v>0</v>
      </c>
      <c r="BQ60" s="176"/>
      <c r="BR60" s="176"/>
      <c r="BS60" s="176"/>
      <c r="BT60" s="176"/>
      <c r="BU60" s="176"/>
      <c r="BV60" s="176"/>
      <c r="BW60" s="178">
        <v>0</v>
      </c>
      <c r="BX60" s="178">
        <v>0</v>
      </c>
      <c r="BY60" s="92">
        <v>3477</v>
      </c>
      <c r="BZ60" s="92">
        <v>762</v>
      </c>
      <c r="CA60" s="92">
        <v>0</v>
      </c>
      <c r="CB60" s="176"/>
      <c r="CC60" s="92">
        <v>2741</v>
      </c>
      <c r="CD60" s="92">
        <v>1</v>
      </c>
      <c r="CE60" s="178"/>
      <c r="CF60" s="178"/>
      <c r="CG60" s="178"/>
      <c r="CH60" s="178"/>
      <c r="CI60" s="178"/>
      <c r="CJ60" s="176">
        <v>0</v>
      </c>
      <c r="CK60" s="176">
        <v>0</v>
      </c>
      <c r="CQ60" s="232">
        <v>419.2</v>
      </c>
      <c r="CR60" s="232">
        <v>9.6</v>
      </c>
      <c r="CS60" s="176">
        <v>3.9199999999999946</v>
      </c>
      <c r="CT60" s="92">
        <v>0</v>
      </c>
      <c r="CU60" s="92">
        <v>0</v>
      </c>
      <c r="CV60" s="92">
        <v>0</v>
      </c>
      <c r="CW60" s="92">
        <v>0</v>
      </c>
      <c r="DE60" s="92">
        <v>385</v>
      </c>
      <c r="DF60" s="135">
        <v>0</v>
      </c>
      <c r="DG60" s="92" t="s">
        <v>210</v>
      </c>
      <c r="DH60" s="92">
        <v>1</v>
      </c>
      <c r="DI60" s="92">
        <v>2.3376623376623376</v>
      </c>
      <c r="DJ60" s="92">
        <v>10.263157894736842</v>
      </c>
      <c r="DK60" s="92">
        <v>11.368421052631579</v>
      </c>
      <c r="DL60" s="92">
        <v>8.3684210526315788</v>
      </c>
      <c r="DM60" s="92">
        <v>9945</v>
      </c>
      <c r="DN60" s="92">
        <v>12312</v>
      </c>
      <c r="DO60" s="92">
        <v>9063</v>
      </c>
      <c r="DP60" s="92">
        <v>0</v>
      </c>
      <c r="DQ60" s="92">
        <v>0</v>
      </c>
      <c r="DR60" s="92">
        <v>0</v>
      </c>
      <c r="DS60" s="92">
        <v>1.993984962406014</v>
      </c>
      <c r="DT60" s="92">
        <v>2.4685714285714271</v>
      </c>
      <c r="DU60" s="92">
        <v>1.8171428571428561</v>
      </c>
      <c r="DZ60" s="139">
        <v>4</v>
      </c>
      <c r="EA60" s="139">
        <v>333</v>
      </c>
      <c r="EB60" s="139">
        <v>0</v>
      </c>
      <c r="EC60" s="139">
        <v>0</v>
      </c>
      <c r="ED60" s="139">
        <v>0</v>
      </c>
      <c r="EE60" s="139">
        <v>0</v>
      </c>
      <c r="EF60" s="143">
        <v>0</v>
      </c>
      <c r="EG60" s="143">
        <v>2</v>
      </c>
      <c r="EH60" s="143">
        <v>0</v>
      </c>
      <c r="EI60" s="143">
        <v>6</v>
      </c>
    </row>
    <row r="61" spans="1:139">
      <c r="A61" s="175">
        <v>3305</v>
      </c>
      <c r="B61" s="92" t="s">
        <v>352</v>
      </c>
      <c r="C61" s="176">
        <v>3</v>
      </c>
      <c r="D61" s="176">
        <v>6</v>
      </c>
      <c r="E61" s="177">
        <v>0</v>
      </c>
      <c r="F61" s="176">
        <v>0</v>
      </c>
      <c r="G61" s="178">
        <v>8473.64542254767</v>
      </c>
      <c r="H61" s="176">
        <v>17.850000000000001</v>
      </c>
      <c r="I61" s="176">
        <v>0</v>
      </c>
      <c r="J61" s="176">
        <v>0</v>
      </c>
      <c r="K61" s="178">
        <v>50</v>
      </c>
      <c r="L61" s="176">
        <v>0</v>
      </c>
      <c r="M61" s="137">
        <v>20</v>
      </c>
      <c r="N61" s="137">
        <v>20</v>
      </c>
      <c r="O61" s="137">
        <v>23</v>
      </c>
      <c r="P61" s="137">
        <v>24</v>
      </c>
      <c r="Q61" s="137">
        <v>23</v>
      </c>
      <c r="R61" s="137">
        <v>20</v>
      </c>
      <c r="S61" s="137"/>
      <c r="T61" s="137"/>
      <c r="U61" s="137"/>
      <c r="V61" s="137"/>
      <c r="W61" s="137"/>
      <c r="X61" s="137">
        <v>0</v>
      </c>
      <c r="Y61" s="137"/>
      <c r="Z61" s="137">
        <v>20</v>
      </c>
      <c r="AA61" s="137">
        <v>0</v>
      </c>
      <c r="AB61" s="176"/>
      <c r="AC61" s="176">
        <v>0</v>
      </c>
      <c r="AE61" s="179">
        <v>0</v>
      </c>
      <c r="AF61" s="179">
        <v>0</v>
      </c>
      <c r="AG61" s="179">
        <v>0</v>
      </c>
      <c r="AH61" s="179">
        <v>0</v>
      </c>
      <c r="AJ61" s="178">
        <v>3</v>
      </c>
      <c r="AK61" s="176"/>
      <c r="AL61" s="176"/>
      <c r="AM61" s="176"/>
      <c r="AO61" s="176"/>
      <c r="AP61" s="176"/>
      <c r="AQ61" s="176">
        <v>3</v>
      </c>
      <c r="AR61" s="176">
        <v>0</v>
      </c>
      <c r="AS61" s="176">
        <v>0</v>
      </c>
      <c r="AT61" s="178">
        <v>1</v>
      </c>
      <c r="AU61" s="176"/>
      <c r="AV61" s="178">
        <v>1</v>
      </c>
      <c r="AW61" s="177"/>
      <c r="AX61" s="176">
        <v>0</v>
      </c>
      <c r="AY61" s="176"/>
      <c r="AZ61" s="178">
        <v>0</v>
      </c>
      <c r="BA61" s="176"/>
      <c r="BB61" s="176">
        <v>0</v>
      </c>
      <c r="BC61" s="176">
        <v>0</v>
      </c>
      <c r="BD61" s="180" t="s">
        <v>597</v>
      </c>
      <c r="BE61" s="176"/>
      <c r="BF61" s="178">
        <v>0</v>
      </c>
      <c r="BG61" s="176">
        <v>0</v>
      </c>
      <c r="BJ61" s="176"/>
      <c r="BL61" s="176"/>
      <c r="BM61" s="176"/>
      <c r="BN61" s="176"/>
      <c r="BO61" s="176">
        <v>0</v>
      </c>
      <c r="BP61" s="176">
        <v>0</v>
      </c>
      <c r="BQ61" s="176"/>
      <c r="BR61" s="176"/>
      <c r="BS61" s="176"/>
      <c r="BT61" s="176"/>
      <c r="BU61" s="176"/>
      <c r="BV61" s="176"/>
      <c r="BW61" s="178">
        <v>0</v>
      </c>
      <c r="BX61" s="178">
        <v>0</v>
      </c>
      <c r="BY61" s="92">
        <v>2094</v>
      </c>
      <c r="BZ61" s="92">
        <v>926</v>
      </c>
      <c r="CA61" s="92">
        <v>0</v>
      </c>
      <c r="CB61" s="176"/>
      <c r="CC61" s="92">
        <v>602.84</v>
      </c>
      <c r="CD61" s="92">
        <v>0</v>
      </c>
      <c r="CE61" s="178"/>
      <c r="CF61" s="178"/>
      <c r="CG61" s="178"/>
      <c r="CH61" s="178"/>
      <c r="CI61" s="178"/>
      <c r="CJ61" s="176">
        <v>0</v>
      </c>
      <c r="CK61" s="176">
        <v>0</v>
      </c>
      <c r="CQ61" s="232">
        <v>150</v>
      </c>
      <c r="CR61" s="232">
        <v>3</v>
      </c>
      <c r="CS61" s="176">
        <v>3.08</v>
      </c>
      <c r="CT61" s="92">
        <v>0</v>
      </c>
      <c r="CU61" s="92">
        <v>0</v>
      </c>
      <c r="CV61" s="92">
        <v>0</v>
      </c>
      <c r="CW61" s="92">
        <v>0</v>
      </c>
      <c r="DE61" s="92">
        <v>150</v>
      </c>
      <c r="DF61" s="135">
        <v>0</v>
      </c>
      <c r="DG61" s="92" t="s">
        <v>210</v>
      </c>
      <c r="DH61" s="92">
        <v>1</v>
      </c>
      <c r="DI61" s="92">
        <v>2</v>
      </c>
      <c r="DJ61" s="92">
        <v>0</v>
      </c>
      <c r="DK61" s="92">
        <v>0</v>
      </c>
      <c r="DL61" s="92">
        <v>0</v>
      </c>
      <c r="DM61" s="92">
        <v>0</v>
      </c>
      <c r="DN61" s="92">
        <v>0</v>
      </c>
      <c r="DO61" s="92">
        <v>0</v>
      </c>
      <c r="DP61" s="92">
        <v>0</v>
      </c>
      <c r="DQ61" s="92">
        <v>0</v>
      </c>
      <c r="DR61" s="92">
        <v>0</v>
      </c>
      <c r="DS61" s="92">
        <v>0</v>
      </c>
      <c r="DT61" s="92">
        <v>0</v>
      </c>
      <c r="DU61" s="92">
        <v>0</v>
      </c>
      <c r="DZ61" s="139">
        <v>14</v>
      </c>
      <c r="EA61" s="139">
        <v>130</v>
      </c>
      <c r="EB61" s="139">
        <v>3</v>
      </c>
      <c r="EC61" s="139">
        <v>8</v>
      </c>
      <c r="ED61" s="139">
        <v>0</v>
      </c>
      <c r="EE61" s="139">
        <v>1</v>
      </c>
      <c r="EF61" s="143">
        <v>0</v>
      </c>
      <c r="EG61" s="143">
        <v>1</v>
      </c>
      <c r="EH61" s="143">
        <v>0</v>
      </c>
      <c r="EI61" s="143">
        <v>2</v>
      </c>
    </row>
    <row r="62" spans="1:139">
      <c r="A62" s="175">
        <v>2042</v>
      </c>
      <c r="B62" s="92" t="s">
        <v>353</v>
      </c>
      <c r="C62" s="176">
        <v>15</v>
      </c>
      <c r="D62" s="176">
        <v>88</v>
      </c>
      <c r="E62" s="177">
        <v>0</v>
      </c>
      <c r="F62" s="176">
        <v>0</v>
      </c>
      <c r="G62" s="178">
        <v>14865.910048157468</v>
      </c>
      <c r="H62" s="176">
        <v>39.29</v>
      </c>
      <c r="I62" s="176">
        <v>0</v>
      </c>
      <c r="J62" s="176">
        <v>0</v>
      </c>
      <c r="K62" s="178">
        <v>155</v>
      </c>
      <c r="L62" s="176">
        <v>0</v>
      </c>
      <c r="M62" s="137">
        <v>60</v>
      </c>
      <c r="N62" s="137">
        <v>30</v>
      </c>
      <c r="O62" s="137">
        <v>31</v>
      </c>
      <c r="P62" s="137">
        <v>32</v>
      </c>
      <c r="Q62" s="137">
        <v>31</v>
      </c>
      <c r="R62" s="137">
        <v>30</v>
      </c>
      <c r="S62" s="137"/>
      <c r="T62" s="137"/>
      <c r="U62" s="137"/>
      <c r="V62" s="137"/>
      <c r="W62" s="137"/>
      <c r="X62" s="137">
        <v>0</v>
      </c>
      <c r="Y62" s="137"/>
      <c r="Z62" s="137">
        <v>30</v>
      </c>
      <c r="AA62" s="137">
        <v>0</v>
      </c>
      <c r="AB62" s="176"/>
      <c r="AC62" s="176">
        <v>0</v>
      </c>
      <c r="AE62" s="179">
        <v>0</v>
      </c>
      <c r="AF62" s="179">
        <v>0</v>
      </c>
      <c r="AG62" s="179">
        <v>0</v>
      </c>
      <c r="AH62" s="179">
        <v>0</v>
      </c>
      <c r="AJ62" s="178">
        <v>15</v>
      </c>
      <c r="AK62" s="176"/>
      <c r="AL62" s="176"/>
      <c r="AM62" s="176"/>
      <c r="AO62" s="176"/>
      <c r="AP62" s="176"/>
      <c r="AQ62" s="176">
        <v>28</v>
      </c>
      <c r="AR62" s="176">
        <v>0</v>
      </c>
      <c r="AS62" s="176">
        <v>0</v>
      </c>
      <c r="AT62" s="178">
        <v>1</v>
      </c>
      <c r="AU62" s="176"/>
      <c r="AV62" s="178">
        <v>1</v>
      </c>
      <c r="AW62" s="177"/>
      <c r="AX62" s="176">
        <v>0</v>
      </c>
      <c r="AY62" s="176"/>
      <c r="AZ62" s="178">
        <v>0</v>
      </c>
      <c r="BA62" s="176"/>
      <c r="BB62" s="176">
        <v>0</v>
      </c>
      <c r="BC62" s="176">
        <v>0</v>
      </c>
      <c r="BD62" s="180" t="s">
        <v>214</v>
      </c>
      <c r="BE62" s="176"/>
      <c r="BF62" s="178">
        <v>244</v>
      </c>
      <c r="BG62" s="176">
        <v>27</v>
      </c>
      <c r="BJ62" s="176"/>
      <c r="BL62" s="176"/>
      <c r="BM62" s="176"/>
      <c r="BN62" s="176"/>
      <c r="BO62" s="176">
        <v>0</v>
      </c>
      <c r="BP62" s="176">
        <v>0</v>
      </c>
      <c r="BQ62" s="176"/>
      <c r="BR62" s="176"/>
      <c r="BS62" s="176"/>
      <c r="BT62" s="176"/>
      <c r="BU62" s="176"/>
      <c r="BV62" s="176"/>
      <c r="BW62" s="178">
        <v>0</v>
      </c>
      <c r="BX62" s="178">
        <v>0</v>
      </c>
      <c r="BY62" s="92">
        <v>12141</v>
      </c>
      <c r="BZ62" s="92">
        <v>3297</v>
      </c>
      <c r="CA62" s="92">
        <v>14541.5</v>
      </c>
      <c r="CB62" s="176"/>
      <c r="CC62" s="92">
        <v>1858.69</v>
      </c>
      <c r="CD62" s="92">
        <v>0</v>
      </c>
      <c r="CE62" s="178"/>
      <c r="CF62" s="178"/>
      <c r="CG62" s="178"/>
      <c r="CH62" s="178"/>
      <c r="CI62" s="178"/>
      <c r="CJ62" s="176">
        <v>0</v>
      </c>
      <c r="CK62" s="176">
        <v>0</v>
      </c>
      <c r="CQ62" s="232">
        <v>244</v>
      </c>
      <c r="CR62" s="232">
        <v>15</v>
      </c>
      <c r="CS62" s="176">
        <v>1.86</v>
      </c>
      <c r="CT62" s="92">
        <v>88</v>
      </c>
      <c r="CU62" s="92">
        <v>0</v>
      </c>
      <c r="CV62" s="92">
        <v>0</v>
      </c>
      <c r="CW62" s="92">
        <v>0</v>
      </c>
      <c r="DE62" s="92">
        <v>244</v>
      </c>
      <c r="DF62" s="135">
        <v>0</v>
      </c>
      <c r="DG62" s="92" t="s">
        <v>210</v>
      </c>
      <c r="DH62" s="92">
        <v>1</v>
      </c>
      <c r="DI62" s="92">
        <v>6.1475409836065573</v>
      </c>
      <c r="DJ62" s="92">
        <v>0</v>
      </c>
      <c r="DK62" s="92">
        <v>0</v>
      </c>
      <c r="DL62" s="92">
        <v>0</v>
      </c>
      <c r="DM62" s="92">
        <v>0</v>
      </c>
      <c r="DN62" s="92">
        <v>0</v>
      </c>
      <c r="DO62" s="92">
        <v>0</v>
      </c>
      <c r="DP62" s="92">
        <v>0</v>
      </c>
      <c r="DQ62" s="92">
        <v>0</v>
      </c>
      <c r="DR62" s="92">
        <v>0</v>
      </c>
      <c r="DS62" s="92">
        <v>0</v>
      </c>
      <c r="DT62" s="92">
        <v>0</v>
      </c>
      <c r="DU62" s="92">
        <v>0</v>
      </c>
      <c r="DZ62" s="139">
        <v>15</v>
      </c>
      <c r="EA62" s="139">
        <v>214</v>
      </c>
      <c r="EB62" s="139">
        <v>5</v>
      </c>
      <c r="EC62" s="139">
        <v>9</v>
      </c>
      <c r="ED62" s="139">
        <v>0</v>
      </c>
      <c r="EE62" s="139">
        <v>3</v>
      </c>
      <c r="EF62" s="143">
        <v>0</v>
      </c>
      <c r="EG62" s="143">
        <v>14</v>
      </c>
      <c r="EH62" s="143">
        <v>2</v>
      </c>
      <c r="EI62" s="143">
        <v>26</v>
      </c>
    </row>
    <row r="63" spans="1:139">
      <c r="A63" s="175">
        <v>2044</v>
      </c>
      <c r="B63" s="92" t="s">
        <v>82</v>
      </c>
      <c r="C63" s="176">
        <v>42</v>
      </c>
      <c r="D63" s="176">
        <v>429</v>
      </c>
      <c r="E63" s="177">
        <v>0</v>
      </c>
      <c r="F63" s="176">
        <v>0</v>
      </c>
      <c r="G63" s="178">
        <v>33778.429744836765</v>
      </c>
      <c r="H63" s="176">
        <v>48.60000000000008</v>
      </c>
      <c r="I63" s="176">
        <v>0</v>
      </c>
      <c r="J63" s="176">
        <v>0</v>
      </c>
      <c r="K63" s="178">
        <v>205</v>
      </c>
      <c r="L63" s="176">
        <v>0</v>
      </c>
      <c r="M63" s="137">
        <v>90</v>
      </c>
      <c r="N63" s="137">
        <v>120</v>
      </c>
      <c r="O63" s="137">
        <v>0</v>
      </c>
      <c r="P63" s="137">
        <v>0</v>
      </c>
      <c r="Q63" s="137">
        <v>0</v>
      </c>
      <c r="R63" s="137">
        <v>0</v>
      </c>
      <c r="S63" s="137"/>
      <c r="T63" s="137"/>
      <c r="U63" s="137"/>
      <c r="V63" s="137"/>
      <c r="W63" s="137"/>
      <c r="X63" s="137">
        <v>0</v>
      </c>
      <c r="Y63" s="137"/>
      <c r="Z63" s="137">
        <v>89</v>
      </c>
      <c r="AA63" s="137">
        <v>0</v>
      </c>
      <c r="AB63" s="176"/>
      <c r="AC63" s="176">
        <v>0</v>
      </c>
      <c r="AE63" s="179">
        <v>0</v>
      </c>
      <c r="AF63" s="179">
        <v>0</v>
      </c>
      <c r="AG63" s="179">
        <v>0</v>
      </c>
      <c r="AH63" s="179">
        <v>0</v>
      </c>
      <c r="AJ63" s="178">
        <v>42</v>
      </c>
      <c r="AK63" s="176"/>
      <c r="AL63" s="176"/>
      <c r="AM63" s="176"/>
      <c r="AO63" s="176"/>
      <c r="AP63" s="176"/>
      <c r="AQ63" s="176">
        <v>55</v>
      </c>
      <c r="AR63" s="176">
        <v>1</v>
      </c>
      <c r="AS63" s="176">
        <v>0</v>
      </c>
      <c r="AT63" s="178">
        <v>1</v>
      </c>
      <c r="AU63" s="176"/>
      <c r="AV63" s="178">
        <v>0</v>
      </c>
      <c r="AW63" s="177"/>
      <c r="AX63" s="176">
        <v>0</v>
      </c>
      <c r="AY63" s="176"/>
      <c r="AZ63" s="178">
        <v>0</v>
      </c>
      <c r="BA63" s="176"/>
      <c r="BB63" s="176">
        <v>0</v>
      </c>
      <c r="BC63" s="176">
        <v>0</v>
      </c>
      <c r="BD63" s="180" t="s">
        <v>214</v>
      </c>
      <c r="BE63" s="176"/>
      <c r="BF63" s="178">
        <v>299</v>
      </c>
      <c r="BG63" s="176">
        <v>30</v>
      </c>
      <c r="BJ63" s="176"/>
      <c r="BL63" s="176"/>
      <c r="BM63" s="176"/>
      <c r="BN63" s="176"/>
      <c r="BO63" s="176">
        <v>0</v>
      </c>
      <c r="BP63" s="176">
        <v>0</v>
      </c>
      <c r="BQ63" s="176"/>
      <c r="BR63" s="176"/>
      <c r="BS63" s="176"/>
      <c r="BT63" s="176"/>
      <c r="BU63" s="176"/>
      <c r="BV63" s="176"/>
      <c r="BW63" s="178">
        <v>0</v>
      </c>
      <c r="BX63" s="178">
        <v>632.46</v>
      </c>
      <c r="BY63" s="92">
        <v>9995.3359762801083</v>
      </c>
      <c r="BZ63" s="92">
        <v>3984</v>
      </c>
      <c r="CA63" s="92">
        <v>11679</v>
      </c>
      <c r="CB63" s="176"/>
      <c r="CC63" s="92">
        <v>1941</v>
      </c>
      <c r="CD63" s="92">
        <v>0</v>
      </c>
      <c r="CE63" s="178"/>
      <c r="CF63" s="178"/>
      <c r="CG63" s="178"/>
      <c r="CH63" s="178"/>
      <c r="CI63" s="178"/>
      <c r="CJ63" s="176">
        <v>0</v>
      </c>
      <c r="CK63" s="176">
        <v>0</v>
      </c>
      <c r="CQ63" s="232">
        <v>299</v>
      </c>
      <c r="CR63" s="232">
        <v>42</v>
      </c>
      <c r="CS63" s="176">
        <v>7</v>
      </c>
      <c r="CT63" s="92">
        <v>429</v>
      </c>
      <c r="CU63" s="92">
        <v>0</v>
      </c>
      <c r="CV63" s="92">
        <v>0</v>
      </c>
      <c r="CW63" s="92">
        <v>0</v>
      </c>
      <c r="DE63" s="92">
        <v>299</v>
      </c>
      <c r="DF63" s="135">
        <v>0</v>
      </c>
      <c r="DG63" s="92" t="s">
        <v>280</v>
      </c>
      <c r="DH63" s="92">
        <v>1</v>
      </c>
      <c r="DI63" s="92">
        <v>14.046822742474916</v>
      </c>
      <c r="DJ63" s="92">
        <v>0</v>
      </c>
      <c r="DK63" s="92">
        <v>0</v>
      </c>
      <c r="DL63" s="92">
        <v>0</v>
      </c>
      <c r="DM63" s="92">
        <v>0</v>
      </c>
      <c r="DN63" s="92">
        <v>0</v>
      </c>
      <c r="DO63" s="92">
        <v>0</v>
      </c>
      <c r="DP63" s="92">
        <v>0</v>
      </c>
      <c r="DQ63" s="92">
        <v>0</v>
      </c>
      <c r="DR63" s="92">
        <v>0</v>
      </c>
      <c r="DS63" s="92">
        <v>0</v>
      </c>
      <c r="DT63" s="92">
        <v>0</v>
      </c>
      <c r="DU63" s="92">
        <v>0</v>
      </c>
      <c r="DZ63" s="139">
        <v>26</v>
      </c>
      <c r="EA63" s="139">
        <v>210</v>
      </c>
      <c r="EB63" s="139">
        <v>5</v>
      </c>
      <c r="EC63" s="139">
        <v>6</v>
      </c>
      <c r="ED63" s="139">
        <v>1</v>
      </c>
      <c r="EE63" s="139">
        <v>6</v>
      </c>
      <c r="EF63" s="143">
        <v>10</v>
      </c>
      <c r="EG63" s="143">
        <v>32</v>
      </c>
      <c r="EH63" s="143">
        <v>40</v>
      </c>
      <c r="EI63" s="143">
        <v>111</v>
      </c>
    </row>
    <row r="64" spans="1:139">
      <c r="A64" s="175">
        <v>2043</v>
      </c>
      <c r="B64" s="92" t="s">
        <v>83</v>
      </c>
      <c r="C64" s="176">
        <v>45</v>
      </c>
      <c r="D64" s="176">
        <v>232</v>
      </c>
      <c r="E64" s="177">
        <v>0</v>
      </c>
      <c r="F64" s="176">
        <v>0</v>
      </c>
      <c r="G64" s="178">
        <v>38.075308641975305</v>
      </c>
      <c r="H64" s="176">
        <v>58.16</v>
      </c>
      <c r="I64" s="176">
        <v>0</v>
      </c>
      <c r="J64" s="176">
        <v>0</v>
      </c>
      <c r="K64" s="178">
        <v>265</v>
      </c>
      <c r="L64" s="176">
        <v>0</v>
      </c>
      <c r="M64" s="137">
        <v>0</v>
      </c>
      <c r="N64" s="137">
        <v>0</v>
      </c>
      <c r="O64" s="137">
        <v>89</v>
      </c>
      <c r="P64" s="137">
        <v>90</v>
      </c>
      <c r="Q64" s="137">
        <v>87</v>
      </c>
      <c r="R64" s="137">
        <v>89</v>
      </c>
      <c r="S64" s="137"/>
      <c r="T64" s="137"/>
      <c r="U64" s="137"/>
      <c r="V64" s="137"/>
      <c r="W64" s="137"/>
      <c r="X64" s="137">
        <v>0</v>
      </c>
      <c r="Y64" s="137"/>
      <c r="Z64" s="137">
        <v>0</v>
      </c>
      <c r="AA64" s="137">
        <v>0</v>
      </c>
      <c r="AB64" s="176"/>
      <c r="AC64" s="176">
        <v>0</v>
      </c>
      <c r="AE64" s="179">
        <v>0</v>
      </c>
      <c r="AF64" s="179">
        <v>0</v>
      </c>
      <c r="AG64" s="179">
        <v>0</v>
      </c>
      <c r="AH64" s="179">
        <v>0</v>
      </c>
      <c r="AI64" s="176">
        <v>-17006</v>
      </c>
      <c r="AJ64" s="178">
        <v>45</v>
      </c>
      <c r="AK64" s="176"/>
      <c r="AL64" s="176"/>
      <c r="AM64" s="176"/>
      <c r="AO64" s="176"/>
      <c r="AP64" s="176"/>
      <c r="AQ64" s="176">
        <v>71</v>
      </c>
      <c r="AR64" s="176">
        <v>0</v>
      </c>
      <c r="AS64" s="176">
        <v>0</v>
      </c>
      <c r="AT64" s="178">
        <v>1</v>
      </c>
      <c r="AU64" s="176"/>
      <c r="AV64" s="178">
        <v>2</v>
      </c>
      <c r="AW64" s="177"/>
      <c r="AX64" s="176">
        <v>0</v>
      </c>
      <c r="AY64" s="176"/>
      <c r="AZ64" s="178">
        <v>1</v>
      </c>
      <c r="BA64" s="176"/>
      <c r="BB64" s="176">
        <v>0</v>
      </c>
      <c r="BC64" s="176">
        <v>0</v>
      </c>
      <c r="BD64" s="180" t="s">
        <v>214</v>
      </c>
      <c r="BE64" s="176"/>
      <c r="BF64" s="178">
        <v>355</v>
      </c>
      <c r="BG64" s="176">
        <v>42</v>
      </c>
      <c r="BJ64" s="176"/>
      <c r="BL64" s="176"/>
      <c r="BM64" s="176"/>
      <c r="BN64" s="176"/>
      <c r="BO64" s="176">
        <v>1</v>
      </c>
      <c r="BP64" s="176">
        <v>0</v>
      </c>
      <c r="BQ64" s="176"/>
      <c r="BR64" s="176"/>
      <c r="BS64" s="176"/>
      <c r="BT64" s="176"/>
      <c r="BU64" s="176"/>
      <c r="BV64" s="176"/>
      <c r="BW64" s="178">
        <v>0</v>
      </c>
      <c r="BX64" s="178">
        <v>632.45000000000005</v>
      </c>
      <c r="BY64" s="92">
        <v>20004.664023719892</v>
      </c>
      <c r="BZ64" s="92">
        <v>6597</v>
      </c>
      <c r="CA64" s="92">
        <v>11679</v>
      </c>
      <c r="CB64" s="176"/>
      <c r="CC64" s="92">
        <v>3363</v>
      </c>
      <c r="CD64" s="92">
        <v>1</v>
      </c>
      <c r="CE64" s="178"/>
      <c r="CF64" s="178"/>
      <c r="CG64" s="178"/>
      <c r="CH64" s="178"/>
      <c r="CI64" s="178"/>
      <c r="CJ64" s="176">
        <v>0</v>
      </c>
      <c r="CK64" s="176">
        <v>0</v>
      </c>
      <c r="CN64" s="176">
        <v>-7994</v>
      </c>
      <c r="CQ64" s="232">
        <v>355</v>
      </c>
      <c r="CR64" s="232">
        <v>45</v>
      </c>
      <c r="CS64" s="176">
        <v>26.66</v>
      </c>
      <c r="CT64" s="92">
        <v>232</v>
      </c>
      <c r="CU64" s="92">
        <v>0</v>
      </c>
      <c r="CV64" s="92">
        <v>0</v>
      </c>
      <c r="CW64" s="92">
        <v>0</v>
      </c>
      <c r="DE64" s="92">
        <v>355</v>
      </c>
      <c r="DF64" s="135">
        <v>0</v>
      </c>
      <c r="DG64" s="92" t="s">
        <v>279</v>
      </c>
      <c r="DH64" s="92">
        <v>1</v>
      </c>
      <c r="DI64" s="92">
        <v>12.676056338028168</v>
      </c>
      <c r="DJ64" s="92">
        <v>0</v>
      </c>
      <c r="DK64" s="92">
        <v>0</v>
      </c>
      <c r="DL64" s="92">
        <v>0</v>
      </c>
      <c r="DM64" s="92">
        <v>0</v>
      </c>
      <c r="DN64" s="92">
        <v>0</v>
      </c>
      <c r="DO64" s="92">
        <v>0</v>
      </c>
      <c r="DP64" s="92">
        <v>0</v>
      </c>
      <c r="DQ64" s="92">
        <v>0</v>
      </c>
      <c r="DR64" s="92">
        <v>0</v>
      </c>
      <c r="DS64" s="92">
        <v>0</v>
      </c>
      <c r="DT64" s="92">
        <v>0</v>
      </c>
      <c r="DU64" s="92">
        <v>0</v>
      </c>
      <c r="DZ64" s="139">
        <v>26</v>
      </c>
      <c r="EA64" s="139">
        <v>355</v>
      </c>
      <c r="EB64" s="139">
        <v>8</v>
      </c>
      <c r="EC64" s="139">
        <v>9</v>
      </c>
      <c r="ED64" s="139">
        <v>1</v>
      </c>
      <c r="EE64" s="139">
        <v>6</v>
      </c>
      <c r="EF64" s="143">
        <v>16</v>
      </c>
      <c r="EG64" s="143">
        <v>30</v>
      </c>
      <c r="EH64" s="143">
        <v>0</v>
      </c>
      <c r="EI64" s="143">
        <v>0</v>
      </c>
    </row>
    <row r="65" spans="1:139">
      <c r="A65" s="175">
        <v>2045</v>
      </c>
      <c r="B65" s="92" t="s">
        <v>354</v>
      </c>
      <c r="C65" s="176">
        <v>46</v>
      </c>
      <c r="D65" s="176">
        <v>371</v>
      </c>
      <c r="E65" s="177">
        <v>0</v>
      </c>
      <c r="F65" s="176">
        <v>36</v>
      </c>
      <c r="G65" s="178">
        <v>48553.067650342011</v>
      </c>
      <c r="H65" s="176">
        <v>45.069847328244251</v>
      </c>
      <c r="I65" s="176">
        <v>0</v>
      </c>
      <c r="J65" s="176">
        <v>0</v>
      </c>
      <c r="K65" s="178">
        <v>75</v>
      </c>
      <c r="L65" s="176">
        <v>0</v>
      </c>
      <c r="M65" s="137">
        <v>30</v>
      </c>
      <c r="N65" s="137">
        <v>29</v>
      </c>
      <c r="O65" s="137">
        <v>31</v>
      </c>
      <c r="P65" s="137">
        <v>30</v>
      </c>
      <c r="Q65" s="137">
        <v>30</v>
      </c>
      <c r="R65" s="137">
        <v>29</v>
      </c>
      <c r="S65" s="137"/>
      <c r="T65" s="137"/>
      <c r="U65" s="137"/>
      <c r="V65" s="137"/>
      <c r="W65" s="137"/>
      <c r="X65" s="137">
        <v>52</v>
      </c>
      <c r="Y65" s="137"/>
      <c r="Z65" s="137">
        <v>31</v>
      </c>
      <c r="AA65" s="137">
        <v>0</v>
      </c>
      <c r="AB65" s="176"/>
      <c r="AC65" s="176">
        <v>0</v>
      </c>
      <c r="AE65" s="179">
        <v>30</v>
      </c>
      <c r="AF65" s="179">
        <v>95.273684210526312</v>
      </c>
      <c r="AG65" s="179">
        <v>27153</v>
      </c>
      <c r="AH65" s="179">
        <v>11.203818825910933</v>
      </c>
      <c r="AJ65" s="178">
        <v>46</v>
      </c>
      <c r="AK65" s="176"/>
      <c r="AL65" s="176"/>
      <c r="AM65" s="176"/>
      <c r="AN65" s="176">
        <v>1</v>
      </c>
      <c r="AO65" s="176"/>
      <c r="AP65" s="176"/>
      <c r="AQ65" s="176">
        <v>70</v>
      </c>
      <c r="AR65" s="176">
        <v>0</v>
      </c>
      <c r="AS65" s="176">
        <v>0</v>
      </c>
      <c r="AT65" s="178">
        <v>1</v>
      </c>
      <c r="AU65" s="176"/>
      <c r="AV65" s="178">
        <v>2</v>
      </c>
      <c r="AW65" s="177"/>
      <c r="AX65" s="176">
        <v>0</v>
      </c>
      <c r="AY65" s="176"/>
      <c r="AZ65" s="178">
        <v>0</v>
      </c>
      <c r="BA65" s="176"/>
      <c r="BB65" s="176">
        <v>0</v>
      </c>
      <c r="BC65" s="176">
        <v>0</v>
      </c>
      <c r="BD65" s="180" t="s">
        <v>214</v>
      </c>
      <c r="BE65" s="176"/>
      <c r="BF65" s="178">
        <v>241.2</v>
      </c>
      <c r="BG65" s="176">
        <v>70</v>
      </c>
      <c r="BJ65" s="176"/>
      <c r="BL65" s="176"/>
      <c r="BM65" s="176"/>
      <c r="BN65" s="176"/>
      <c r="BO65" s="176">
        <v>2</v>
      </c>
      <c r="BP65" s="176">
        <v>16042.505105067517</v>
      </c>
      <c r="BQ65" s="176"/>
      <c r="BR65" s="176"/>
      <c r="BS65" s="176"/>
      <c r="BT65" s="176"/>
      <c r="BU65" s="176"/>
      <c r="BV65" s="176"/>
      <c r="BW65" s="178">
        <v>0</v>
      </c>
      <c r="BX65" s="178">
        <v>1682.29</v>
      </c>
      <c r="BY65" s="92">
        <v>6300</v>
      </c>
      <c r="BZ65" s="92">
        <v>4976</v>
      </c>
      <c r="CA65" s="92">
        <v>16831.5</v>
      </c>
      <c r="CB65" s="176"/>
      <c r="CC65" s="92">
        <v>2362</v>
      </c>
      <c r="CD65" s="92">
        <v>0</v>
      </c>
      <c r="CE65" s="178"/>
      <c r="CF65" s="178"/>
      <c r="CG65" s="178"/>
      <c r="CH65" s="178"/>
      <c r="CI65" s="178"/>
      <c r="CJ65" s="176">
        <v>0</v>
      </c>
      <c r="CK65" s="176">
        <v>0</v>
      </c>
      <c r="CQ65" s="232">
        <v>241.2</v>
      </c>
      <c r="CR65" s="232">
        <v>46</v>
      </c>
      <c r="CS65" s="176">
        <v>3.08</v>
      </c>
      <c r="CT65" s="92">
        <v>371</v>
      </c>
      <c r="CU65" s="92">
        <v>0</v>
      </c>
      <c r="CV65" s="92">
        <v>0</v>
      </c>
      <c r="CW65" s="92">
        <v>0</v>
      </c>
      <c r="CY65" s="92">
        <v>1</v>
      </c>
      <c r="DE65" s="92">
        <v>210</v>
      </c>
      <c r="DF65" s="135">
        <v>0</v>
      </c>
      <c r="DG65" s="92" t="s">
        <v>210</v>
      </c>
      <c r="DH65" s="92">
        <v>1</v>
      </c>
      <c r="DI65" s="92">
        <v>21.904761904761905</v>
      </c>
      <c r="DJ65" s="92">
        <v>10.263157894736842</v>
      </c>
      <c r="DK65" s="92">
        <v>11.368421052631579</v>
      </c>
      <c r="DL65" s="92">
        <v>8.3684210526315788</v>
      </c>
      <c r="DM65" s="92">
        <v>9165</v>
      </c>
      <c r="DN65" s="92">
        <v>9720</v>
      </c>
      <c r="DO65" s="92">
        <v>8268</v>
      </c>
      <c r="DP65" s="92">
        <v>32.157894736842103</v>
      </c>
      <c r="DQ65" s="92">
        <v>34.10526315789474</v>
      </c>
      <c r="DR65" s="92">
        <v>29.01052631578947</v>
      </c>
      <c r="DS65" s="92">
        <v>3.781644736842106</v>
      </c>
      <c r="DT65" s="92">
        <v>4.0106477732793522</v>
      </c>
      <c r="DU65" s="92">
        <v>3.411526315789474</v>
      </c>
      <c r="DZ65" s="139">
        <v>36</v>
      </c>
      <c r="EA65" s="139">
        <v>179</v>
      </c>
      <c r="EB65" s="139">
        <v>9</v>
      </c>
      <c r="EC65" s="139">
        <v>18</v>
      </c>
      <c r="ED65" s="139">
        <v>4</v>
      </c>
      <c r="EE65" s="139">
        <v>13</v>
      </c>
      <c r="EF65" s="143">
        <v>12</v>
      </c>
      <c r="EG65" s="143">
        <v>40</v>
      </c>
      <c r="EH65" s="143">
        <v>16</v>
      </c>
      <c r="EI65" s="143">
        <v>79</v>
      </c>
    </row>
    <row r="66" spans="1:139">
      <c r="A66" s="175">
        <v>5201</v>
      </c>
      <c r="B66" s="92" t="s">
        <v>355</v>
      </c>
      <c r="C66" s="176">
        <v>44</v>
      </c>
      <c r="D66" s="176">
        <v>261</v>
      </c>
      <c r="E66" s="177">
        <v>0</v>
      </c>
      <c r="F66" s="176">
        <v>0</v>
      </c>
      <c r="G66" s="178">
        <v>27047.724902432587</v>
      </c>
      <c r="H66" s="176">
        <v>78.529999999999816</v>
      </c>
      <c r="I66" s="176">
        <v>0</v>
      </c>
      <c r="J66" s="176">
        <v>0</v>
      </c>
      <c r="K66" s="178">
        <v>200</v>
      </c>
      <c r="L66" s="176">
        <v>0</v>
      </c>
      <c r="M66" s="137">
        <v>60</v>
      </c>
      <c r="N66" s="137">
        <v>60</v>
      </c>
      <c r="O66" s="137">
        <v>60</v>
      </c>
      <c r="P66" s="137">
        <v>60</v>
      </c>
      <c r="Q66" s="137">
        <v>60</v>
      </c>
      <c r="R66" s="137">
        <v>60</v>
      </c>
      <c r="S66" s="137"/>
      <c r="T66" s="137"/>
      <c r="U66" s="137"/>
      <c r="V66" s="137"/>
      <c r="W66" s="137"/>
      <c r="X66" s="137">
        <v>0</v>
      </c>
      <c r="Y66" s="137"/>
      <c r="Z66" s="137">
        <v>59</v>
      </c>
      <c r="AA66" s="137">
        <v>0</v>
      </c>
      <c r="AB66" s="176"/>
      <c r="AC66" s="176">
        <v>0</v>
      </c>
      <c r="AE66" s="179">
        <v>0</v>
      </c>
      <c r="AF66" s="179">
        <v>0</v>
      </c>
      <c r="AG66" s="179">
        <v>0</v>
      </c>
      <c r="AH66" s="179">
        <v>0</v>
      </c>
      <c r="AJ66" s="178">
        <v>44</v>
      </c>
      <c r="AK66" s="176"/>
      <c r="AL66" s="176"/>
      <c r="AM66" s="176"/>
      <c r="AO66" s="176"/>
      <c r="AP66" s="176"/>
      <c r="AQ66" s="176">
        <v>62</v>
      </c>
      <c r="AR66" s="176">
        <v>0</v>
      </c>
      <c r="AS66" s="176">
        <v>0</v>
      </c>
      <c r="AT66" s="178">
        <v>1</v>
      </c>
      <c r="AU66" s="176"/>
      <c r="AV66" s="178">
        <v>2</v>
      </c>
      <c r="AW66" s="177"/>
      <c r="AX66" s="176">
        <v>0</v>
      </c>
      <c r="AY66" s="176"/>
      <c r="AZ66" s="178">
        <v>0</v>
      </c>
      <c r="BA66" s="176"/>
      <c r="BB66" s="176">
        <v>0</v>
      </c>
      <c r="BC66" s="176">
        <v>0</v>
      </c>
      <c r="BD66" s="180" t="s">
        <v>599</v>
      </c>
      <c r="BE66" s="176"/>
      <c r="BF66" s="178">
        <v>419</v>
      </c>
      <c r="BG66" s="176">
        <v>46</v>
      </c>
      <c r="BJ66" s="176"/>
      <c r="BL66" s="176"/>
      <c r="BM66" s="176"/>
      <c r="BN66" s="176"/>
      <c r="BO66" s="176">
        <v>0</v>
      </c>
      <c r="BP66" s="176">
        <v>0</v>
      </c>
      <c r="BQ66" s="176"/>
      <c r="BR66" s="176"/>
      <c r="BS66" s="176"/>
      <c r="BT66" s="176"/>
      <c r="BU66" s="176"/>
      <c r="BV66" s="176"/>
      <c r="BW66" s="178">
        <v>0</v>
      </c>
      <c r="BX66" s="178">
        <v>1423.02</v>
      </c>
      <c r="BY66" s="92">
        <v>15600</v>
      </c>
      <c r="BZ66" s="92">
        <v>3125</v>
      </c>
      <c r="CA66" s="92">
        <v>0</v>
      </c>
      <c r="CB66" s="176"/>
      <c r="CC66" s="92">
        <v>2521</v>
      </c>
      <c r="CD66" s="92">
        <v>0</v>
      </c>
      <c r="CE66" s="178"/>
      <c r="CF66" s="178"/>
      <c r="CG66" s="178"/>
      <c r="CH66" s="178"/>
      <c r="CI66" s="178"/>
      <c r="CJ66" s="176">
        <v>0</v>
      </c>
      <c r="CK66" s="176">
        <v>0</v>
      </c>
      <c r="CQ66" s="232">
        <v>419</v>
      </c>
      <c r="CR66" s="232">
        <v>44</v>
      </c>
      <c r="CS66" s="176">
        <v>11.8</v>
      </c>
      <c r="CT66" s="92">
        <v>261</v>
      </c>
      <c r="CU66" s="92">
        <v>0</v>
      </c>
      <c r="CV66" s="92">
        <v>0</v>
      </c>
      <c r="CW66" s="92">
        <v>0</v>
      </c>
      <c r="DE66" s="92">
        <v>419</v>
      </c>
      <c r="DF66" s="135">
        <v>0</v>
      </c>
      <c r="DG66" s="92" t="s">
        <v>210</v>
      </c>
      <c r="DH66" s="92">
        <v>1</v>
      </c>
      <c r="DI66" s="92">
        <v>10.501193317422434</v>
      </c>
      <c r="DJ66" s="92">
        <v>0</v>
      </c>
      <c r="DK66" s="92">
        <v>0</v>
      </c>
      <c r="DL66" s="92">
        <v>0</v>
      </c>
      <c r="DM66" s="92">
        <v>0</v>
      </c>
      <c r="DN66" s="92">
        <v>0</v>
      </c>
      <c r="DO66" s="92">
        <v>0</v>
      </c>
      <c r="DP66" s="92">
        <v>0</v>
      </c>
      <c r="DQ66" s="92">
        <v>0</v>
      </c>
      <c r="DR66" s="92">
        <v>0</v>
      </c>
      <c r="DS66" s="92">
        <v>0</v>
      </c>
      <c r="DT66" s="92">
        <v>0</v>
      </c>
      <c r="DU66" s="92">
        <v>0</v>
      </c>
      <c r="DZ66" s="139">
        <v>19</v>
      </c>
      <c r="EA66" s="139">
        <v>360</v>
      </c>
      <c r="EB66" s="139">
        <v>4</v>
      </c>
      <c r="EC66" s="139">
        <v>15</v>
      </c>
      <c r="ED66" s="139">
        <v>3</v>
      </c>
      <c r="EE66" s="139">
        <v>10</v>
      </c>
      <c r="EF66" s="143">
        <v>2</v>
      </c>
      <c r="EG66" s="143">
        <v>28</v>
      </c>
      <c r="EH66" s="143">
        <v>16</v>
      </c>
      <c r="EI66" s="143">
        <v>87</v>
      </c>
    </row>
    <row r="67" spans="1:139">
      <c r="A67" s="175">
        <v>3501</v>
      </c>
      <c r="B67" s="92" t="s">
        <v>87</v>
      </c>
      <c r="C67" s="176">
        <v>28</v>
      </c>
      <c r="D67" s="176">
        <v>102</v>
      </c>
      <c r="E67" s="177">
        <v>0</v>
      </c>
      <c r="F67" s="176">
        <v>0</v>
      </c>
      <c r="G67" s="178">
        <v>28224.494231095861</v>
      </c>
      <c r="H67" s="176">
        <v>54.697679999999934</v>
      </c>
      <c r="I67" s="176">
        <v>0</v>
      </c>
      <c r="J67" s="176">
        <v>0</v>
      </c>
      <c r="K67" s="178">
        <v>80</v>
      </c>
      <c r="L67" s="176">
        <v>0</v>
      </c>
      <c r="M67" s="137">
        <v>30</v>
      </c>
      <c r="N67" s="137">
        <v>30</v>
      </c>
      <c r="O67" s="137">
        <v>28</v>
      </c>
      <c r="P67" s="137">
        <v>30</v>
      </c>
      <c r="Q67" s="137">
        <v>29</v>
      </c>
      <c r="R67" s="137">
        <v>30</v>
      </c>
      <c r="S67" s="137"/>
      <c r="T67" s="137"/>
      <c r="U67" s="137"/>
      <c r="V67" s="137"/>
      <c r="W67" s="137"/>
      <c r="X67" s="137">
        <v>43</v>
      </c>
      <c r="Y67" s="137"/>
      <c r="Z67" s="137">
        <v>30</v>
      </c>
      <c r="AA67" s="137">
        <v>0</v>
      </c>
      <c r="AB67" s="176"/>
      <c r="AC67" s="176">
        <v>0</v>
      </c>
      <c r="AE67" s="179">
        <v>30</v>
      </c>
      <c r="AF67" s="179">
        <v>84.873684210526321</v>
      </c>
      <c r="AG67" s="179">
        <v>24189</v>
      </c>
      <c r="AH67" s="179">
        <v>10.480913096695231</v>
      </c>
      <c r="AJ67" s="178">
        <v>28</v>
      </c>
      <c r="AK67" s="176"/>
      <c r="AL67" s="176"/>
      <c r="AM67" s="176"/>
      <c r="AO67" s="176"/>
      <c r="AP67" s="176"/>
      <c r="AQ67" s="176">
        <v>45</v>
      </c>
      <c r="AR67" s="176">
        <v>0</v>
      </c>
      <c r="AS67" s="176">
        <v>0</v>
      </c>
      <c r="AT67" s="178">
        <v>1</v>
      </c>
      <c r="AU67" s="176"/>
      <c r="AV67" s="178">
        <v>0</v>
      </c>
      <c r="AW67" s="177"/>
      <c r="AX67" s="176">
        <v>0</v>
      </c>
      <c r="AY67" s="176"/>
      <c r="AZ67" s="178">
        <v>0</v>
      </c>
      <c r="BA67" s="176"/>
      <c r="BB67" s="176">
        <v>0</v>
      </c>
      <c r="BC67" s="176">
        <v>0</v>
      </c>
      <c r="BD67" s="180" t="s">
        <v>597</v>
      </c>
      <c r="BE67" s="176"/>
      <c r="BF67" s="178">
        <v>0</v>
      </c>
      <c r="BG67" s="176">
        <v>95</v>
      </c>
      <c r="BJ67" s="176"/>
      <c r="BL67" s="176"/>
      <c r="BM67" s="176"/>
      <c r="BN67" s="176"/>
      <c r="BO67" s="176">
        <v>0</v>
      </c>
      <c r="BP67" s="176">
        <v>0</v>
      </c>
      <c r="BQ67" s="176"/>
      <c r="BR67" s="176"/>
      <c r="BS67" s="176"/>
      <c r="BT67" s="176"/>
      <c r="BU67" s="176"/>
      <c r="BV67" s="176"/>
      <c r="BW67" s="178">
        <v>0</v>
      </c>
      <c r="BX67" s="178">
        <v>0</v>
      </c>
      <c r="BY67" s="92">
        <v>5267</v>
      </c>
      <c r="BZ67" s="92">
        <v>1104</v>
      </c>
      <c r="CA67" s="92">
        <v>0</v>
      </c>
      <c r="CB67" s="176"/>
      <c r="CC67" s="92">
        <v>1633</v>
      </c>
      <c r="CD67" s="92">
        <v>0</v>
      </c>
      <c r="CE67" s="178"/>
      <c r="CF67" s="178"/>
      <c r="CG67" s="178"/>
      <c r="CH67" s="178"/>
      <c r="CI67" s="178"/>
      <c r="CJ67" s="176">
        <v>0</v>
      </c>
      <c r="CK67" s="176">
        <v>0</v>
      </c>
      <c r="CQ67" s="232">
        <v>232.8</v>
      </c>
      <c r="CR67" s="232">
        <v>28</v>
      </c>
      <c r="CS67" s="176">
        <v>6</v>
      </c>
      <c r="CT67" s="92">
        <v>102</v>
      </c>
      <c r="CU67" s="92">
        <v>0</v>
      </c>
      <c r="CV67" s="92">
        <v>0</v>
      </c>
      <c r="CW67" s="92">
        <v>0</v>
      </c>
      <c r="DE67" s="92">
        <v>207</v>
      </c>
      <c r="DF67" s="135">
        <v>0</v>
      </c>
      <c r="DG67" s="92" t="s">
        <v>210</v>
      </c>
      <c r="DH67" s="92">
        <v>1</v>
      </c>
      <c r="DI67" s="92">
        <v>13.526570048309178</v>
      </c>
      <c r="DJ67" s="92">
        <v>10.263157894736842</v>
      </c>
      <c r="DK67" s="92">
        <v>11.368421052631579</v>
      </c>
      <c r="DL67" s="92">
        <v>8.3684210526315788</v>
      </c>
      <c r="DM67" s="92">
        <v>9360</v>
      </c>
      <c r="DN67" s="92">
        <v>7992</v>
      </c>
      <c r="DO67" s="92">
        <v>6837</v>
      </c>
      <c r="DP67" s="92">
        <v>32.842105263157897</v>
      </c>
      <c r="DQ67" s="92">
        <v>28.042105263157897</v>
      </c>
      <c r="DR67" s="92">
        <v>23.989473684210527</v>
      </c>
      <c r="DS67" s="92">
        <v>4.055618115055081</v>
      </c>
      <c r="DT67" s="92">
        <v>3.4628739290085693</v>
      </c>
      <c r="DU67" s="92">
        <v>2.96242105263158</v>
      </c>
      <c r="DZ67" s="139">
        <v>12</v>
      </c>
      <c r="EA67" s="139">
        <v>177</v>
      </c>
      <c r="EB67" s="139">
        <v>18</v>
      </c>
      <c r="EC67" s="139">
        <v>27</v>
      </c>
      <c r="ED67" s="139">
        <v>2</v>
      </c>
      <c r="EE67" s="139">
        <v>8</v>
      </c>
      <c r="EF67" s="143">
        <v>0</v>
      </c>
      <c r="EG67" s="143">
        <v>10</v>
      </c>
      <c r="EH67" s="143">
        <v>8</v>
      </c>
      <c r="EI67" s="143">
        <v>38</v>
      </c>
    </row>
    <row r="68" spans="1:139">
      <c r="A68" s="175">
        <v>2078</v>
      </c>
      <c r="B68" s="92" t="s">
        <v>356</v>
      </c>
      <c r="C68" s="176">
        <v>19</v>
      </c>
      <c r="D68" s="176">
        <v>48</v>
      </c>
      <c r="E68" s="177">
        <v>0</v>
      </c>
      <c r="F68" s="176">
        <v>0</v>
      </c>
      <c r="G68" s="178">
        <v>20804.922133647855</v>
      </c>
      <c r="H68" s="176">
        <v>22.23</v>
      </c>
      <c r="I68" s="176">
        <v>0</v>
      </c>
      <c r="J68" s="176">
        <v>0</v>
      </c>
      <c r="K68" s="178">
        <v>50</v>
      </c>
      <c r="L68" s="176">
        <v>0</v>
      </c>
      <c r="M68" s="137">
        <v>27</v>
      </c>
      <c r="N68" s="137">
        <v>30</v>
      </c>
      <c r="O68" s="137">
        <v>22</v>
      </c>
      <c r="P68" s="137">
        <v>22</v>
      </c>
      <c r="Q68" s="137">
        <v>26</v>
      </c>
      <c r="R68" s="137">
        <v>27</v>
      </c>
      <c r="S68" s="137"/>
      <c r="T68" s="137"/>
      <c r="U68" s="137"/>
      <c r="V68" s="137"/>
      <c r="W68" s="137"/>
      <c r="X68" s="137">
        <v>0</v>
      </c>
      <c r="Y68" s="137"/>
      <c r="Z68" s="137">
        <v>33</v>
      </c>
      <c r="AA68" s="137">
        <v>0</v>
      </c>
      <c r="AB68" s="176"/>
      <c r="AC68" s="176">
        <v>0</v>
      </c>
      <c r="AE68" s="179">
        <v>0</v>
      </c>
      <c r="AF68" s="179">
        <v>0</v>
      </c>
      <c r="AG68" s="179">
        <v>0</v>
      </c>
      <c r="AH68" s="179">
        <v>0</v>
      </c>
      <c r="AJ68" s="178">
        <v>19</v>
      </c>
      <c r="AK68" s="176"/>
      <c r="AL68" s="176"/>
      <c r="AM68" s="176"/>
      <c r="AN68" s="176">
        <v>0</v>
      </c>
      <c r="AO68" s="176"/>
      <c r="AP68" s="176"/>
      <c r="AQ68" s="176">
        <v>26</v>
      </c>
      <c r="AR68" s="176">
        <v>0</v>
      </c>
      <c r="AS68" s="176">
        <v>0</v>
      </c>
      <c r="AT68" s="178">
        <v>1</v>
      </c>
      <c r="AU68" s="176"/>
      <c r="AV68" s="178">
        <v>1</v>
      </c>
      <c r="AW68" s="177"/>
      <c r="AX68" s="176">
        <v>0</v>
      </c>
      <c r="AY68" s="176"/>
      <c r="AZ68" s="178">
        <v>0</v>
      </c>
      <c r="BA68" s="176"/>
      <c r="BB68" s="176">
        <v>0</v>
      </c>
      <c r="BC68" s="176">
        <v>0</v>
      </c>
      <c r="BD68" s="180" t="s">
        <v>597</v>
      </c>
      <c r="BE68" s="176"/>
      <c r="BF68" s="178">
        <v>0</v>
      </c>
      <c r="BG68" s="176">
        <v>0</v>
      </c>
      <c r="BJ68" s="176"/>
      <c r="BL68" s="176"/>
      <c r="BM68" s="176"/>
      <c r="BN68" s="176"/>
      <c r="BO68" s="176">
        <v>0</v>
      </c>
      <c r="BP68" s="176">
        <v>0</v>
      </c>
      <c r="BQ68" s="176"/>
      <c r="BR68" s="176"/>
      <c r="BS68" s="176"/>
      <c r="BT68" s="176"/>
      <c r="BU68" s="176"/>
      <c r="BV68" s="176"/>
      <c r="BW68" s="178">
        <v>0</v>
      </c>
      <c r="BX68" s="178">
        <v>711.51</v>
      </c>
      <c r="BY68" s="92">
        <v>3293</v>
      </c>
      <c r="BZ68" s="92">
        <v>4471</v>
      </c>
      <c r="CA68" s="92">
        <v>0</v>
      </c>
      <c r="CB68" s="176"/>
      <c r="CC68" s="92">
        <v>2234.8000000000002</v>
      </c>
      <c r="CD68" s="92">
        <v>0</v>
      </c>
      <c r="CE68" s="178"/>
      <c r="CF68" s="178"/>
      <c r="CG68" s="178"/>
      <c r="CH68" s="178"/>
      <c r="CI68" s="178"/>
      <c r="CJ68" s="176">
        <v>0</v>
      </c>
      <c r="CK68" s="176">
        <v>0</v>
      </c>
      <c r="CQ68" s="232">
        <v>187</v>
      </c>
      <c r="CR68" s="232">
        <v>19</v>
      </c>
      <c r="CS68" s="176">
        <v>0</v>
      </c>
      <c r="CT68" s="92">
        <v>48</v>
      </c>
      <c r="CU68" s="92">
        <v>0</v>
      </c>
      <c r="CV68" s="92">
        <v>0</v>
      </c>
      <c r="CW68" s="92">
        <v>0</v>
      </c>
      <c r="DE68" s="92">
        <v>187</v>
      </c>
      <c r="DF68" s="135">
        <v>0</v>
      </c>
      <c r="DG68" s="92" t="s">
        <v>210</v>
      </c>
      <c r="DH68" s="92">
        <v>1</v>
      </c>
      <c r="DI68" s="92">
        <v>10.160427807486631</v>
      </c>
      <c r="DJ68" s="92">
        <v>0</v>
      </c>
      <c r="DK68" s="92">
        <v>0</v>
      </c>
      <c r="DL68" s="92">
        <v>0</v>
      </c>
      <c r="DM68" s="92">
        <v>0</v>
      </c>
      <c r="DN68" s="92">
        <v>0</v>
      </c>
      <c r="DO68" s="92">
        <v>0</v>
      </c>
      <c r="DP68" s="92">
        <v>0</v>
      </c>
      <c r="DQ68" s="92">
        <v>0</v>
      </c>
      <c r="DR68" s="92">
        <v>0</v>
      </c>
      <c r="DS68" s="92">
        <v>0</v>
      </c>
      <c r="DT68" s="92">
        <v>0</v>
      </c>
      <c r="DU68" s="92">
        <v>0</v>
      </c>
      <c r="DZ68" s="139">
        <v>14</v>
      </c>
      <c r="EA68" s="139">
        <v>154</v>
      </c>
      <c r="EB68" s="139">
        <v>0</v>
      </c>
      <c r="EC68" s="139">
        <v>0</v>
      </c>
      <c r="ED68" s="139">
        <v>0</v>
      </c>
      <c r="EE68" s="139">
        <v>0</v>
      </c>
      <c r="EF68" s="143">
        <v>4</v>
      </c>
      <c r="EG68" s="143">
        <v>2</v>
      </c>
      <c r="EH68" s="143">
        <v>2</v>
      </c>
      <c r="EI68" s="143">
        <v>6</v>
      </c>
    </row>
    <row r="69" spans="1:139">
      <c r="A69" s="175">
        <v>2000</v>
      </c>
      <c r="B69" s="92" t="s">
        <v>357</v>
      </c>
      <c r="C69" s="176">
        <v>53</v>
      </c>
      <c r="D69" s="176">
        <v>737</v>
      </c>
      <c r="E69" s="177">
        <v>0</v>
      </c>
      <c r="F69" s="176">
        <v>60</v>
      </c>
      <c r="G69" s="178">
        <v>40125.435396268964</v>
      </c>
      <c r="H69" s="176">
        <v>92.427096774193913</v>
      </c>
      <c r="I69" s="176">
        <v>0</v>
      </c>
      <c r="J69" s="176">
        <v>0</v>
      </c>
      <c r="K69" s="178">
        <v>40</v>
      </c>
      <c r="L69" s="176">
        <v>0</v>
      </c>
      <c r="M69" s="137">
        <v>60</v>
      </c>
      <c r="N69" s="137">
        <v>59</v>
      </c>
      <c r="O69" s="137">
        <v>57</v>
      </c>
      <c r="P69" s="137">
        <v>39</v>
      </c>
      <c r="Q69" s="137">
        <v>42</v>
      </c>
      <c r="R69" s="137">
        <v>34</v>
      </c>
      <c r="S69" s="137"/>
      <c r="T69" s="137"/>
      <c r="U69" s="137"/>
      <c r="V69" s="137"/>
      <c r="W69" s="137"/>
      <c r="X69" s="137">
        <v>52</v>
      </c>
      <c r="Y69" s="137"/>
      <c r="Z69" s="137">
        <v>60</v>
      </c>
      <c r="AA69" s="137">
        <v>0</v>
      </c>
      <c r="AB69" s="176"/>
      <c r="AC69" s="176">
        <v>0</v>
      </c>
      <c r="AE69" s="179">
        <v>27.726315789473684</v>
      </c>
      <c r="AF69" s="179">
        <v>0</v>
      </c>
      <c r="AG69" s="179">
        <v>23592</v>
      </c>
      <c r="AH69" s="179">
        <v>11.061539731682148</v>
      </c>
      <c r="AI69" s="176">
        <v>-7700</v>
      </c>
      <c r="AJ69" s="178">
        <v>53</v>
      </c>
      <c r="AK69" s="176"/>
      <c r="AL69" s="176"/>
      <c r="AM69" s="176"/>
      <c r="AO69" s="176"/>
      <c r="AP69" s="176"/>
      <c r="AQ69" s="176">
        <v>107</v>
      </c>
      <c r="AR69" s="176">
        <v>0</v>
      </c>
      <c r="AS69" s="176">
        <v>0</v>
      </c>
      <c r="AT69" s="178">
        <v>1</v>
      </c>
      <c r="AU69" s="176"/>
      <c r="AV69" s="178">
        <v>2</v>
      </c>
      <c r="AW69" s="177"/>
      <c r="AX69" s="176">
        <v>1</v>
      </c>
      <c r="AY69" s="176"/>
      <c r="AZ69" s="178">
        <v>0</v>
      </c>
      <c r="BA69" s="176"/>
      <c r="BB69" s="176">
        <v>0</v>
      </c>
      <c r="BC69" s="176">
        <v>0</v>
      </c>
      <c r="BD69" s="180" t="s">
        <v>214</v>
      </c>
      <c r="BE69" s="176"/>
      <c r="BF69" s="178">
        <v>382.2</v>
      </c>
      <c r="BG69" s="176">
        <v>75</v>
      </c>
      <c r="BJ69" s="176"/>
      <c r="BL69" s="176"/>
      <c r="BM69" s="176"/>
      <c r="BN69" s="176"/>
      <c r="BO69" s="176">
        <v>0</v>
      </c>
      <c r="BP69" s="176">
        <v>0</v>
      </c>
      <c r="BQ69" s="176"/>
      <c r="BR69" s="176"/>
      <c r="BS69" s="176"/>
      <c r="BT69" s="176"/>
      <c r="BU69" s="176"/>
      <c r="BV69" s="176"/>
      <c r="BW69" s="178">
        <v>0</v>
      </c>
      <c r="BX69" s="178">
        <v>0</v>
      </c>
      <c r="BY69" s="92">
        <v>16000</v>
      </c>
      <c r="BZ69" s="92">
        <v>8082</v>
      </c>
      <c r="CA69" s="92">
        <v>48364.648526316916</v>
      </c>
      <c r="CB69" s="176"/>
      <c r="CC69" s="92">
        <v>2412</v>
      </c>
      <c r="CD69" s="92">
        <v>0</v>
      </c>
      <c r="CE69" s="178"/>
      <c r="CF69" s="178"/>
      <c r="CG69" s="178"/>
      <c r="CH69" s="178"/>
      <c r="CI69" s="178"/>
      <c r="CJ69" s="176">
        <v>0</v>
      </c>
      <c r="CK69" s="176">
        <v>0</v>
      </c>
      <c r="CN69" s="176">
        <v>-8300</v>
      </c>
      <c r="CQ69" s="232">
        <v>382.2</v>
      </c>
      <c r="CR69" s="232">
        <v>53.6</v>
      </c>
      <c r="CS69" s="176">
        <v>12.09</v>
      </c>
      <c r="CT69" s="92">
        <v>737</v>
      </c>
      <c r="CU69" s="92">
        <v>0</v>
      </c>
      <c r="CV69" s="92">
        <v>0</v>
      </c>
      <c r="CW69" s="92">
        <v>0</v>
      </c>
      <c r="DE69" s="92">
        <v>351</v>
      </c>
      <c r="DF69" s="135">
        <v>0</v>
      </c>
      <c r="DG69" s="92" t="s">
        <v>210</v>
      </c>
      <c r="DH69" s="92">
        <v>1</v>
      </c>
      <c r="DI69" s="92">
        <v>15.0997150997151</v>
      </c>
      <c r="DJ69" s="92">
        <v>10.263157894736842</v>
      </c>
      <c r="DK69" s="92">
        <v>9.094736842105263</v>
      </c>
      <c r="DL69" s="92">
        <v>8.3684210526315788</v>
      </c>
      <c r="DM69" s="92">
        <v>10140</v>
      </c>
      <c r="DN69" s="92">
        <v>5184</v>
      </c>
      <c r="DO69" s="92">
        <v>8268</v>
      </c>
      <c r="DP69" s="92">
        <v>0</v>
      </c>
      <c r="DQ69" s="92">
        <v>0</v>
      </c>
      <c r="DR69" s="92">
        <v>0</v>
      </c>
      <c r="DS69" s="92">
        <v>4.7543240454076372</v>
      </c>
      <c r="DT69" s="92">
        <v>2.4306130030959752</v>
      </c>
      <c r="DU69" s="92">
        <v>3.8766026831785347</v>
      </c>
      <c r="DZ69" s="139">
        <v>60</v>
      </c>
      <c r="EA69" s="139">
        <v>291</v>
      </c>
      <c r="EB69" s="139">
        <v>13</v>
      </c>
      <c r="EC69" s="139">
        <v>31</v>
      </c>
      <c r="ED69" s="139">
        <v>0</v>
      </c>
      <c r="EE69" s="139">
        <v>5</v>
      </c>
      <c r="EF69" s="143">
        <v>6</v>
      </c>
      <c r="EG69" s="143">
        <v>102</v>
      </c>
      <c r="EH69" s="143">
        <v>42</v>
      </c>
      <c r="EI69" s="143">
        <v>161</v>
      </c>
    </row>
    <row r="70" spans="1:139">
      <c r="A70" s="175">
        <v>2071</v>
      </c>
      <c r="B70" s="92" t="s">
        <v>90</v>
      </c>
      <c r="C70" s="176">
        <v>100</v>
      </c>
      <c r="D70" s="176">
        <v>690</v>
      </c>
      <c r="E70" s="177">
        <v>0</v>
      </c>
      <c r="F70" s="176">
        <v>37</v>
      </c>
      <c r="G70" s="178">
        <v>85493.494008706068</v>
      </c>
      <c r="H70" s="176">
        <v>55.987964601769839</v>
      </c>
      <c r="I70" s="176">
        <v>0</v>
      </c>
      <c r="J70" s="176">
        <v>0</v>
      </c>
      <c r="K70" s="178">
        <v>205</v>
      </c>
      <c r="L70" s="176">
        <v>0</v>
      </c>
      <c r="M70" s="137">
        <v>87</v>
      </c>
      <c r="N70" s="137">
        <v>84</v>
      </c>
      <c r="O70" s="137">
        <v>0</v>
      </c>
      <c r="P70" s="137">
        <v>0</v>
      </c>
      <c r="Q70" s="137">
        <v>0</v>
      </c>
      <c r="R70" s="137">
        <v>0</v>
      </c>
      <c r="S70" s="137"/>
      <c r="T70" s="137"/>
      <c r="U70" s="137"/>
      <c r="V70" s="137"/>
      <c r="W70" s="137"/>
      <c r="X70" s="137">
        <v>78</v>
      </c>
      <c r="Y70" s="137"/>
      <c r="Z70" s="137">
        <v>90</v>
      </c>
      <c r="AA70" s="137">
        <v>0</v>
      </c>
      <c r="AB70" s="176"/>
      <c r="AC70" s="176">
        <v>0</v>
      </c>
      <c r="AE70" s="179">
        <v>30</v>
      </c>
      <c r="AF70" s="179">
        <v>146.97894736842105</v>
      </c>
      <c r="AG70" s="179">
        <v>41889</v>
      </c>
      <c r="AH70" s="179">
        <v>15.150137651821861</v>
      </c>
      <c r="AJ70" s="178">
        <v>100</v>
      </c>
      <c r="AK70" s="176"/>
      <c r="AL70" s="176"/>
      <c r="AM70" s="176"/>
      <c r="AO70" s="176"/>
      <c r="AP70" s="176"/>
      <c r="AQ70" s="176">
        <v>105</v>
      </c>
      <c r="AR70" s="176">
        <v>0</v>
      </c>
      <c r="AS70" s="176">
        <v>2</v>
      </c>
      <c r="AT70" s="178">
        <v>1</v>
      </c>
      <c r="AU70" s="176"/>
      <c r="AV70" s="178">
        <v>2</v>
      </c>
      <c r="AW70" s="177"/>
      <c r="AX70" s="176">
        <v>0</v>
      </c>
      <c r="AY70" s="176"/>
      <c r="AZ70" s="178">
        <v>0</v>
      </c>
      <c r="BA70" s="176"/>
      <c r="BB70" s="176">
        <v>0</v>
      </c>
      <c r="BC70" s="176">
        <v>0</v>
      </c>
      <c r="BD70" s="180" t="s">
        <v>214</v>
      </c>
      <c r="BE70" s="176"/>
      <c r="BF70" s="178">
        <v>307.8</v>
      </c>
      <c r="BG70" s="176">
        <v>114</v>
      </c>
      <c r="BJ70" s="176"/>
      <c r="BL70" s="176"/>
      <c r="BM70" s="176"/>
      <c r="BN70" s="176"/>
      <c r="BO70" s="176">
        <v>0</v>
      </c>
      <c r="BP70" s="176">
        <v>0</v>
      </c>
      <c r="BQ70" s="176"/>
      <c r="BR70" s="176"/>
      <c r="BS70" s="176"/>
      <c r="BT70" s="176"/>
      <c r="BU70" s="176"/>
      <c r="BV70" s="176"/>
      <c r="BW70" s="178">
        <v>0</v>
      </c>
      <c r="BX70" s="178">
        <v>711.06</v>
      </c>
      <c r="BY70" s="92">
        <v>14864.032795997777</v>
      </c>
      <c r="BZ70" s="92">
        <v>1878</v>
      </c>
      <c r="CA70" s="92">
        <v>18091</v>
      </c>
      <c r="CB70" s="176"/>
      <c r="CC70" s="92">
        <v>1956.39</v>
      </c>
      <c r="CD70" s="92">
        <v>0</v>
      </c>
      <c r="CE70" s="178"/>
      <c r="CF70" s="178"/>
      <c r="CG70" s="178"/>
      <c r="CH70" s="178"/>
      <c r="CI70" s="178"/>
      <c r="CJ70" s="176">
        <v>0</v>
      </c>
      <c r="CK70" s="176">
        <v>0</v>
      </c>
      <c r="CQ70" s="232">
        <v>307.8</v>
      </c>
      <c r="CR70" s="232">
        <v>104.2</v>
      </c>
      <c r="CS70" s="176">
        <v>4</v>
      </c>
      <c r="CT70" s="92">
        <v>690</v>
      </c>
      <c r="CU70" s="92">
        <v>0</v>
      </c>
      <c r="CV70" s="92">
        <v>0</v>
      </c>
      <c r="CW70" s="92">
        <v>0</v>
      </c>
      <c r="DE70" s="92">
        <v>261</v>
      </c>
      <c r="DF70" s="135">
        <v>0</v>
      </c>
      <c r="DG70" s="92" t="s">
        <v>280</v>
      </c>
      <c r="DH70" s="92">
        <v>1</v>
      </c>
      <c r="DI70" s="92">
        <v>38.314176245210732</v>
      </c>
      <c r="DJ70" s="92">
        <v>10.263157894736842</v>
      </c>
      <c r="DK70" s="92">
        <v>11.368421052631579</v>
      </c>
      <c r="DL70" s="92">
        <v>8.3684210526315788</v>
      </c>
      <c r="DM70" s="92">
        <v>15015</v>
      </c>
      <c r="DN70" s="92">
        <v>14472</v>
      </c>
      <c r="DO70" s="92">
        <v>12402</v>
      </c>
      <c r="DP70" s="92">
        <v>52.684210526315788</v>
      </c>
      <c r="DQ70" s="92">
        <v>50.778947368421058</v>
      </c>
      <c r="DR70" s="92">
        <v>43.515789473684208</v>
      </c>
      <c r="DS70" s="92">
        <v>5.4305263157894732</v>
      </c>
      <c r="DT70" s="92">
        <v>5.2341376518218619</v>
      </c>
      <c r="DU70" s="92">
        <v>4.4854736842105254</v>
      </c>
      <c r="DZ70" s="139">
        <v>37</v>
      </c>
      <c r="EA70" s="139">
        <v>171</v>
      </c>
      <c r="EB70" s="139">
        <v>17</v>
      </c>
      <c r="EC70" s="139">
        <v>27</v>
      </c>
      <c r="ED70" s="139">
        <v>10</v>
      </c>
      <c r="EE70" s="139">
        <v>6</v>
      </c>
      <c r="EF70" s="143">
        <v>18</v>
      </c>
      <c r="EG70" s="143">
        <v>32</v>
      </c>
      <c r="EH70" s="143">
        <v>102</v>
      </c>
      <c r="EI70" s="143">
        <v>130</v>
      </c>
    </row>
    <row r="71" spans="1:139">
      <c r="A71" s="175">
        <v>2072</v>
      </c>
      <c r="B71" s="92" t="s">
        <v>91</v>
      </c>
      <c r="C71" s="176">
        <v>111</v>
      </c>
      <c r="D71" s="176">
        <v>282</v>
      </c>
      <c r="E71" s="177">
        <v>0</v>
      </c>
      <c r="F71" s="176">
        <v>51</v>
      </c>
      <c r="G71" s="178">
        <v>66.966296296296306</v>
      </c>
      <c r="H71" s="176">
        <v>66.16</v>
      </c>
      <c r="I71" s="176">
        <v>0</v>
      </c>
      <c r="J71" s="176">
        <v>0</v>
      </c>
      <c r="K71" s="178">
        <v>230</v>
      </c>
      <c r="L71" s="176">
        <v>0</v>
      </c>
      <c r="M71" s="137">
        <v>0</v>
      </c>
      <c r="N71" s="137">
        <v>0</v>
      </c>
      <c r="O71" s="137">
        <v>78</v>
      </c>
      <c r="P71" s="137">
        <v>76</v>
      </c>
      <c r="Q71" s="137">
        <v>76</v>
      </c>
      <c r="R71" s="137">
        <v>69</v>
      </c>
      <c r="S71" s="137"/>
      <c r="T71" s="137"/>
      <c r="U71" s="137"/>
      <c r="V71" s="137"/>
      <c r="W71" s="137"/>
      <c r="X71" s="137">
        <v>0</v>
      </c>
      <c r="Y71" s="137"/>
      <c r="Z71" s="137">
        <v>0</v>
      </c>
      <c r="AA71" s="137">
        <v>0</v>
      </c>
      <c r="AB71" s="176"/>
      <c r="AC71" s="176">
        <v>0</v>
      </c>
      <c r="AE71" s="179">
        <v>0</v>
      </c>
      <c r="AF71" s="179">
        <v>0</v>
      </c>
      <c r="AG71" s="179">
        <v>0</v>
      </c>
      <c r="AH71" s="179">
        <v>0</v>
      </c>
      <c r="AJ71" s="178">
        <v>111</v>
      </c>
      <c r="AK71" s="176"/>
      <c r="AL71" s="176"/>
      <c r="AM71" s="176"/>
      <c r="AO71" s="176"/>
      <c r="AP71" s="176"/>
      <c r="AQ71" s="176">
        <v>152</v>
      </c>
      <c r="AR71" s="176">
        <v>0</v>
      </c>
      <c r="AS71" s="176">
        <v>7</v>
      </c>
      <c r="AT71" s="178">
        <v>1</v>
      </c>
      <c r="AU71" s="176"/>
      <c r="AV71" s="178">
        <v>1</v>
      </c>
      <c r="AW71" s="177"/>
      <c r="AX71" s="176">
        <v>0</v>
      </c>
      <c r="AY71" s="176"/>
      <c r="AZ71" s="178">
        <v>0</v>
      </c>
      <c r="BA71" s="176"/>
      <c r="BB71" s="176">
        <v>0</v>
      </c>
      <c r="BC71" s="176">
        <v>0</v>
      </c>
      <c r="BD71" s="180" t="s">
        <v>214</v>
      </c>
      <c r="BE71" s="176"/>
      <c r="BF71" s="178">
        <v>299</v>
      </c>
      <c r="BG71" s="176">
        <v>140</v>
      </c>
      <c r="BJ71" s="176"/>
      <c r="BL71" s="176"/>
      <c r="BM71" s="176"/>
      <c r="BN71" s="176"/>
      <c r="BO71" s="176">
        <v>0</v>
      </c>
      <c r="BP71" s="176">
        <v>0</v>
      </c>
      <c r="BQ71" s="176"/>
      <c r="BR71" s="176"/>
      <c r="BS71" s="176"/>
      <c r="BT71" s="176"/>
      <c r="BU71" s="176"/>
      <c r="BV71" s="176"/>
      <c r="BW71" s="178">
        <v>0</v>
      </c>
      <c r="BX71" s="178">
        <v>711.06</v>
      </c>
      <c r="BY71" s="92">
        <v>21435.967204002223</v>
      </c>
      <c r="BZ71" s="92">
        <v>3253</v>
      </c>
      <c r="CA71" s="92">
        <v>10190.5</v>
      </c>
      <c r="CB71" s="176"/>
      <c r="CC71" s="92">
        <v>1521.44</v>
      </c>
      <c r="CD71" s="92">
        <v>0</v>
      </c>
      <c r="CE71" s="178"/>
      <c r="CF71" s="178"/>
      <c r="CG71" s="178"/>
      <c r="CH71" s="178"/>
      <c r="CI71" s="178"/>
      <c r="CJ71" s="176">
        <v>0</v>
      </c>
      <c r="CK71" s="176">
        <v>0</v>
      </c>
      <c r="CQ71" s="232">
        <v>299</v>
      </c>
      <c r="CR71" s="232">
        <v>111</v>
      </c>
      <c r="CS71" s="176">
        <v>23.87</v>
      </c>
      <c r="CT71" s="92">
        <v>282</v>
      </c>
      <c r="CU71" s="92">
        <v>0</v>
      </c>
      <c r="CV71" s="92">
        <v>0</v>
      </c>
      <c r="CW71" s="92">
        <v>0</v>
      </c>
      <c r="DE71" s="92">
        <v>299</v>
      </c>
      <c r="DF71" s="135">
        <v>0</v>
      </c>
      <c r="DG71" s="92" t="s">
        <v>279</v>
      </c>
      <c r="DH71" s="92">
        <v>1</v>
      </c>
      <c r="DI71" s="92">
        <v>37.123745819397989</v>
      </c>
      <c r="DJ71" s="92">
        <v>0</v>
      </c>
      <c r="DK71" s="92">
        <v>0</v>
      </c>
      <c r="DL71" s="92">
        <v>0</v>
      </c>
      <c r="DM71" s="92">
        <v>0</v>
      </c>
      <c r="DN71" s="92">
        <v>0</v>
      </c>
      <c r="DO71" s="92">
        <v>0</v>
      </c>
      <c r="DP71" s="92">
        <v>0</v>
      </c>
      <c r="DQ71" s="92">
        <v>0</v>
      </c>
      <c r="DR71" s="92">
        <v>0</v>
      </c>
      <c r="DS71" s="92">
        <v>0</v>
      </c>
      <c r="DT71" s="92">
        <v>0</v>
      </c>
      <c r="DU71" s="92">
        <v>0</v>
      </c>
      <c r="DZ71" s="139">
        <v>51</v>
      </c>
      <c r="EA71" s="139">
        <v>299</v>
      </c>
      <c r="EB71" s="139">
        <v>22</v>
      </c>
      <c r="EC71" s="139">
        <v>26</v>
      </c>
      <c r="ED71" s="139">
        <v>13</v>
      </c>
      <c r="EE71" s="139">
        <v>9</v>
      </c>
      <c r="EF71" s="143">
        <v>14</v>
      </c>
      <c r="EG71" s="143">
        <v>46</v>
      </c>
      <c r="EH71" s="143">
        <v>0</v>
      </c>
      <c r="EI71" s="143">
        <v>0</v>
      </c>
    </row>
    <row r="72" spans="1:139">
      <c r="A72" s="175">
        <v>3512</v>
      </c>
      <c r="B72" s="92" t="s">
        <v>358</v>
      </c>
      <c r="C72" s="176">
        <v>11</v>
      </c>
      <c r="D72" s="176">
        <v>36</v>
      </c>
      <c r="E72" s="177">
        <v>0</v>
      </c>
      <c r="F72" s="176">
        <v>0</v>
      </c>
      <c r="G72" s="178">
        <v>25334.262308272213</v>
      </c>
      <c r="H72" s="176">
        <v>63.234761904761953</v>
      </c>
      <c r="I72" s="176">
        <v>0</v>
      </c>
      <c r="J72" s="176">
        <v>0</v>
      </c>
      <c r="K72" s="178">
        <v>193.33333333333331</v>
      </c>
      <c r="L72" s="176">
        <v>0</v>
      </c>
      <c r="M72" s="137">
        <v>61</v>
      </c>
      <c r="N72" s="137">
        <v>60</v>
      </c>
      <c r="O72" s="137">
        <v>60</v>
      </c>
      <c r="P72" s="137">
        <v>60</v>
      </c>
      <c r="Q72" s="137">
        <v>56</v>
      </c>
      <c r="R72" s="137">
        <v>60</v>
      </c>
      <c r="S72" s="137"/>
      <c r="T72" s="137"/>
      <c r="U72" s="137"/>
      <c r="V72" s="137"/>
      <c r="W72" s="137"/>
      <c r="X72" s="137">
        <v>60</v>
      </c>
      <c r="Y72" s="137"/>
      <c r="Z72" s="137">
        <v>87</v>
      </c>
      <c r="AA72" s="137">
        <v>0</v>
      </c>
      <c r="AB72" s="176"/>
      <c r="AC72" s="176">
        <v>0</v>
      </c>
      <c r="AE72" s="179">
        <v>30</v>
      </c>
      <c r="AF72" s="179">
        <v>0</v>
      </c>
      <c r="AG72" s="179">
        <v>34785</v>
      </c>
      <c r="AH72" s="179">
        <v>9.2149736842105288</v>
      </c>
      <c r="AJ72" s="178">
        <v>11</v>
      </c>
      <c r="AK72" s="176"/>
      <c r="AL72" s="176"/>
      <c r="AM72" s="176"/>
      <c r="AN72" s="176">
        <v>1</v>
      </c>
      <c r="AO72" s="176"/>
      <c r="AP72" s="176"/>
      <c r="AQ72" s="176">
        <v>15</v>
      </c>
      <c r="AR72" s="176">
        <v>0</v>
      </c>
      <c r="AS72" s="176">
        <v>0</v>
      </c>
      <c r="AT72" s="178">
        <v>1</v>
      </c>
      <c r="AU72" s="176"/>
      <c r="AV72" s="178">
        <v>0</v>
      </c>
      <c r="AW72" s="177"/>
      <c r="AX72" s="176">
        <v>0</v>
      </c>
      <c r="AY72" s="176"/>
      <c r="AZ72" s="178">
        <v>0</v>
      </c>
      <c r="BA72" s="176"/>
      <c r="BB72" s="176">
        <v>1</v>
      </c>
      <c r="BC72" s="176">
        <v>0</v>
      </c>
      <c r="BD72" s="180" t="s">
        <v>597</v>
      </c>
      <c r="BE72" s="176"/>
      <c r="BF72" s="178">
        <v>0</v>
      </c>
      <c r="BG72" s="176">
        <v>0</v>
      </c>
      <c r="BJ72" s="176"/>
      <c r="BL72" s="176"/>
      <c r="BM72" s="176"/>
      <c r="BN72" s="176"/>
      <c r="BO72" s="176">
        <v>0</v>
      </c>
      <c r="BP72" s="176">
        <v>0</v>
      </c>
      <c r="BQ72" s="176"/>
      <c r="BR72" s="176"/>
      <c r="BS72" s="176"/>
      <c r="BT72" s="176"/>
      <c r="BU72" s="176"/>
      <c r="BV72" s="176"/>
      <c r="BW72" s="178">
        <v>0</v>
      </c>
      <c r="BX72" s="178">
        <v>1739.25</v>
      </c>
      <c r="BY72" s="92">
        <v>8215</v>
      </c>
      <c r="BZ72" s="92">
        <v>2692</v>
      </c>
      <c r="CA72" s="92">
        <v>0</v>
      </c>
      <c r="CB72" s="176"/>
      <c r="CC72" s="92">
        <v>2018.99</v>
      </c>
      <c r="CD72" s="92">
        <v>0</v>
      </c>
      <c r="CE72" s="178"/>
      <c r="CF72" s="178"/>
      <c r="CG72" s="178"/>
      <c r="CH72" s="178"/>
      <c r="CI72" s="178"/>
      <c r="CJ72" s="176">
        <v>0</v>
      </c>
      <c r="CK72" s="176">
        <v>0</v>
      </c>
      <c r="CQ72" s="232">
        <v>480</v>
      </c>
      <c r="CR72" s="232">
        <v>11</v>
      </c>
      <c r="CS72" s="176">
        <v>1.74</v>
      </c>
      <c r="CT72" s="92">
        <v>0</v>
      </c>
      <c r="CU72" s="92">
        <v>0</v>
      </c>
      <c r="CV72" s="92">
        <v>0</v>
      </c>
      <c r="CW72" s="92">
        <v>0</v>
      </c>
      <c r="DE72" s="92">
        <v>444</v>
      </c>
      <c r="DF72" s="135">
        <v>0</v>
      </c>
      <c r="DG72" s="92" t="s">
        <v>210</v>
      </c>
      <c r="DH72" s="92">
        <v>1</v>
      </c>
      <c r="DI72" s="92">
        <v>2.4774774774774775</v>
      </c>
      <c r="DJ72" s="92">
        <v>10.263157894736842</v>
      </c>
      <c r="DK72" s="92">
        <v>11.368421052631579</v>
      </c>
      <c r="DL72" s="92">
        <v>8.3684210526315788</v>
      </c>
      <c r="DM72" s="92">
        <v>12285</v>
      </c>
      <c r="DN72" s="92">
        <v>12960</v>
      </c>
      <c r="DO72" s="92">
        <v>9540</v>
      </c>
      <c r="DP72" s="92">
        <v>0</v>
      </c>
      <c r="DQ72" s="92">
        <v>0</v>
      </c>
      <c r="DR72" s="92">
        <v>0</v>
      </c>
      <c r="DS72" s="92">
        <v>3.254447368421054</v>
      </c>
      <c r="DT72" s="92">
        <v>3.4332631578947375</v>
      </c>
      <c r="DU72" s="92">
        <v>2.5272631578947373</v>
      </c>
      <c r="DZ72" s="139">
        <v>17</v>
      </c>
      <c r="EA72" s="139">
        <v>357</v>
      </c>
      <c r="EB72" s="139">
        <v>0</v>
      </c>
      <c r="EC72" s="139">
        <v>0</v>
      </c>
      <c r="ED72" s="139">
        <v>0</v>
      </c>
      <c r="EE72" s="139">
        <v>0</v>
      </c>
      <c r="EF72" s="143">
        <v>0</v>
      </c>
      <c r="EG72" s="143">
        <v>6</v>
      </c>
      <c r="EH72" s="143">
        <v>0</v>
      </c>
      <c r="EI72" s="143">
        <v>12</v>
      </c>
    </row>
    <row r="73" spans="1:139">
      <c r="A73" s="175">
        <v>3510</v>
      </c>
      <c r="B73" s="92" t="s">
        <v>359</v>
      </c>
      <c r="C73" s="176">
        <v>32</v>
      </c>
      <c r="D73" s="176">
        <v>122</v>
      </c>
      <c r="E73" s="177">
        <v>0</v>
      </c>
      <c r="F73" s="176">
        <v>0</v>
      </c>
      <c r="G73" s="178">
        <v>25181.196185999292</v>
      </c>
      <c r="H73" s="176">
        <v>75.62999999999991</v>
      </c>
      <c r="I73" s="176">
        <v>0</v>
      </c>
      <c r="J73" s="176">
        <v>0</v>
      </c>
      <c r="K73" s="178">
        <v>95</v>
      </c>
      <c r="L73" s="176">
        <v>0</v>
      </c>
      <c r="M73" s="137">
        <v>60</v>
      </c>
      <c r="N73" s="137">
        <v>60</v>
      </c>
      <c r="O73" s="137">
        <v>60</v>
      </c>
      <c r="P73" s="137">
        <v>60</v>
      </c>
      <c r="Q73" s="137">
        <v>60</v>
      </c>
      <c r="R73" s="137">
        <v>60</v>
      </c>
      <c r="S73" s="137"/>
      <c r="T73" s="137"/>
      <c r="U73" s="137"/>
      <c r="V73" s="137"/>
      <c r="W73" s="137"/>
      <c r="X73" s="137">
        <v>0</v>
      </c>
      <c r="Y73" s="137"/>
      <c r="Z73" s="137">
        <v>60</v>
      </c>
      <c r="AA73" s="137">
        <v>0</v>
      </c>
      <c r="AB73" s="176"/>
      <c r="AC73" s="176">
        <v>0</v>
      </c>
      <c r="AE73" s="179">
        <v>0</v>
      </c>
      <c r="AF73" s="179">
        <v>0</v>
      </c>
      <c r="AG73" s="179">
        <v>0</v>
      </c>
      <c r="AH73" s="179">
        <v>0</v>
      </c>
      <c r="AJ73" s="178">
        <v>32</v>
      </c>
      <c r="AK73" s="176"/>
      <c r="AL73" s="176"/>
      <c r="AM73" s="176"/>
      <c r="AO73" s="176"/>
      <c r="AP73" s="176"/>
      <c r="AQ73" s="176">
        <v>38</v>
      </c>
      <c r="AR73" s="176">
        <v>0</v>
      </c>
      <c r="AS73" s="176">
        <v>0</v>
      </c>
      <c r="AT73" s="178">
        <v>1</v>
      </c>
      <c r="AU73" s="176"/>
      <c r="AV73" s="178">
        <v>1</v>
      </c>
      <c r="AW73" s="177"/>
      <c r="AX73" s="176">
        <v>0</v>
      </c>
      <c r="AY73" s="176"/>
      <c r="AZ73" s="178">
        <v>0</v>
      </c>
      <c r="BA73" s="176"/>
      <c r="BB73" s="176">
        <v>0</v>
      </c>
      <c r="BC73" s="176">
        <v>0</v>
      </c>
      <c r="BD73" s="180" t="s">
        <v>597</v>
      </c>
      <c r="BE73" s="176"/>
      <c r="BF73" s="178">
        <v>0</v>
      </c>
      <c r="BG73" s="176">
        <v>47</v>
      </c>
      <c r="BJ73" s="176"/>
      <c r="BL73" s="176"/>
      <c r="BM73" s="176"/>
      <c r="BN73" s="176"/>
      <c r="BO73" s="176">
        <v>0</v>
      </c>
      <c r="BP73" s="176">
        <v>0</v>
      </c>
      <c r="BQ73" s="176"/>
      <c r="BR73" s="176"/>
      <c r="BS73" s="176"/>
      <c r="BT73" s="176"/>
      <c r="BU73" s="176"/>
      <c r="BV73" s="176"/>
      <c r="BW73" s="178">
        <v>5904.96</v>
      </c>
      <c r="BX73" s="178">
        <v>1423.02</v>
      </c>
      <c r="BY73" s="92">
        <v>6597</v>
      </c>
      <c r="BZ73" s="92">
        <v>2086</v>
      </c>
      <c r="CA73" s="92">
        <v>0</v>
      </c>
      <c r="CB73" s="176"/>
      <c r="CC73" s="92">
        <v>2364</v>
      </c>
      <c r="CD73" s="92">
        <v>0</v>
      </c>
      <c r="CE73" s="178"/>
      <c r="CF73" s="178"/>
      <c r="CG73" s="178"/>
      <c r="CH73" s="178"/>
      <c r="CI73" s="178"/>
      <c r="CJ73" s="176">
        <v>0</v>
      </c>
      <c r="CK73" s="176">
        <v>0</v>
      </c>
      <c r="CQ73" s="232">
        <v>420</v>
      </c>
      <c r="CR73" s="232">
        <v>32</v>
      </c>
      <c r="CS73" s="176">
        <v>6.71</v>
      </c>
      <c r="CT73" s="92">
        <v>122</v>
      </c>
      <c r="CU73" s="92">
        <v>0</v>
      </c>
      <c r="CV73" s="92">
        <v>0</v>
      </c>
      <c r="CW73" s="92">
        <v>0</v>
      </c>
      <c r="DE73" s="92">
        <v>420</v>
      </c>
      <c r="DF73" s="135">
        <v>0</v>
      </c>
      <c r="DG73" s="92" t="s">
        <v>210</v>
      </c>
      <c r="DH73" s="92">
        <v>1</v>
      </c>
      <c r="DI73" s="92">
        <v>7.6190476190476195</v>
      </c>
      <c r="DJ73" s="92">
        <v>0</v>
      </c>
      <c r="DK73" s="92">
        <v>0</v>
      </c>
      <c r="DL73" s="92">
        <v>0</v>
      </c>
      <c r="DM73" s="92">
        <v>0</v>
      </c>
      <c r="DN73" s="92">
        <v>0</v>
      </c>
      <c r="DO73" s="92">
        <v>0</v>
      </c>
      <c r="DP73" s="92">
        <v>0</v>
      </c>
      <c r="DQ73" s="92">
        <v>0</v>
      </c>
      <c r="DR73" s="92">
        <v>0</v>
      </c>
      <c r="DS73" s="92">
        <v>0</v>
      </c>
      <c r="DT73" s="92">
        <v>0</v>
      </c>
      <c r="DU73" s="92">
        <v>0</v>
      </c>
      <c r="DZ73" s="139">
        <v>15</v>
      </c>
      <c r="EA73" s="139">
        <v>360</v>
      </c>
      <c r="EB73" s="139">
        <v>8</v>
      </c>
      <c r="EC73" s="139">
        <v>15</v>
      </c>
      <c r="ED73" s="139">
        <v>1</v>
      </c>
      <c r="EE73" s="139">
        <v>5</v>
      </c>
      <c r="EF73" s="143">
        <v>6</v>
      </c>
      <c r="EG73" s="143">
        <v>10</v>
      </c>
      <c r="EH73" s="143">
        <v>8</v>
      </c>
      <c r="EI73" s="143">
        <v>16</v>
      </c>
    </row>
    <row r="74" spans="1:139">
      <c r="A74" s="175">
        <v>3502</v>
      </c>
      <c r="B74" s="92" t="s">
        <v>360</v>
      </c>
      <c r="C74" s="176">
        <v>47</v>
      </c>
      <c r="D74" s="176">
        <v>217</v>
      </c>
      <c r="E74" s="177">
        <v>0</v>
      </c>
      <c r="F74" s="176">
        <v>0</v>
      </c>
      <c r="G74" s="178">
        <v>34477.021275172599</v>
      </c>
      <c r="H74" s="176">
        <v>116.62057803468196</v>
      </c>
      <c r="I74" s="176">
        <v>0</v>
      </c>
      <c r="J74" s="176">
        <v>0</v>
      </c>
      <c r="K74" s="178">
        <v>90</v>
      </c>
      <c r="L74" s="176">
        <v>0</v>
      </c>
      <c r="M74" s="137">
        <v>47</v>
      </c>
      <c r="N74" s="137">
        <v>44</v>
      </c>
      <c r="O74" s="137">
        <v>44</v>
      </c>
      <c r="P74" s="137">
        <v>40</v>
      </c>
      <c r="Q74" s="137">
        <v>34</v>
      </c>
      <c r="R74" s="137">
        <v>41</v>
      </c>
      <c r="S74" s="137"/>
      <c r="T74" s="137"/>
      <c r="U74" s="137"/>
      <c r="V74" s="137"/>
      <c r="W74" s="137"/>
      <c r="X74" s="137">
        <v>50</v>
      </c>
      <c r="Y74" s="137"/>
      <c r="Z74" s="137">
        <v>46</v>
      </c>
      <c r="AA74" s="137">
        <v>0</v>
      </c>
      <c r="AB74" s="176"/>
      <c r="AC74" s="176">
        <v>0</v>
      </c>
      <c r="AE74" s="179">
        <v>30</v>
      </c>
      <c r="AF74" s="179">
        <v>101.36842105263158</v>
      </c>
      <c r="AG74" s="179">
        <v>28890</v>
      </c>
      <c r="AH74" s="179">
        <v>19.341094736842109</v>
      </c>
      <c r="AJ74" s="178">
        <v>47</v>
      </c>
      <c r="AK74" s="176"/>
      <c r="AL74" s="176"/>
      <c r="AM74" s="176"/>
      <c r="AO74" s="176"/>
      <c r="AP74" s="176"/>
      <c r="AQ74" s="176">
        <v>71</v>
      </c>
      <c r="AR74" s="176">
        <v>0</v>
      </c>
      <c r="AS74" s="176">
        <v>0</v>
      </c>
      <c r="AT74" s="178">
        <v>1</v>
      </c>
      <c r="AU74" s="176"/>
      <c r="AV74" s="178">
        <v>2</v>
      </c>
      <c r="AW74" s="177"/>
      <c r="AX74" s="176">
        <v>1</v>
      </c>
      <c r="AY74" s="176"/>
      <c r="AZ74" s="178">
        <v>0</v>
      </c>
      <c r="BA74" s="176"/>
      <c r="BB74" s="176">
        <v>0</v>
      </c>
      <c r="BC74" s="176">
        <v>0</v>
      </c>
      <c r="BD74" s="180" t="s">
        <v>597</v>
      </c>
      <c r="BE74" s="176"/>
      <c r="BF74" s="178">
        <v>0</v>
      </c>
      <c r="BG74" s="176">
        <v>98</v>
      </c>
      <c r="BJ74" s="176"/>
      <c r="BL74" s="176"/>
      <c r="BM74" s="176"/>
      <c r="BN74" s="176"/>
      <c r="BO74" s="176">
        <v>0</v>
      </c>
      <c r="BP74" s="176">
        <v>0</v>
      </c>
      <c r="BQ74" s="176"/>
      <c r="BR74" s="176"/>
      <c r="BS74" s="176"/>
      <c r="BT74" s="176"/>
      <c r="BU74" s="176"/>
      <c r="BV74" s="176"/>
      <c r="BW74" s="178">
        <v>0</v>
      </c>
      <c r="BX74" s="178">
        <v>0</v>
      </c>
      <c r="BY74" s="92">
        <v>4577</v>
      </c>
      <c r="BZ74" s="92">
        <v>1989</v>
      </c>
      <c r="CA74" s="92">
        <v>0</v>
      </c>
      <c r="CB74" s="176"/>
      <c r="CC74" s="92">
        <v>1684</v>
      </c>
      <c r="CD74" s="92">
        <v>0</v>
      </c>
      <c r="CE74" s="178"/>
      <c r="CF74" s="178"/>
      <c r="CG74" s="178"/>
      <c r="CH74" s="178"/>
      <c r="CI74" s="178"/>
      <c r="CJ74" s="176">
        <v>0</v>
      </c>
      <c r="CK74" s="176">
        <v>0</v>
      </c>
      <c r="CQ74" s="232">
        <v>326</v>
      </c>
      <c r="CR74" s="232">
        <v>47</v>
      </c>
      <c r="CS74" s="176">
        <v>2.1</v>
      </c>
      <c r="CT74" s="92">
        <v>217</v>
      </c>
      <c r="CU74" s="92">
        <v>0</v>
      </c>
      <c r="CV74" s="92">
        <v>0</v>
      </c>
      <c r="CW74" s="92">
        <v>0</v>
      </c>
      <c r="DE74" s="92">
        <v>296</v>
      </c>
      <c r="DF74" s="135">
        <v>0</v>
      </c>
      <c r="DG74" s="92" t="s">
        <v>210</v>
      </c>
      <c r="DH74" s="92">
        <v>1</v>
      </c>
      <c r="DI74" s="92">
        <v>15.878378378378377</v>
      </c>
      <c r="DJ74" s="92">
        <v>10.263157894736842</v>
      </c>
      <c r="DK74" s="92">
        <v>11.368421052631579</v>
      </c>
      <c r="DL74" s="92">
        <v>8.3684210526315788</v>
      </c>
      <c r="DM74" s="92">
        <v>10140</v>
      </c>
      <c r="DN74" s="92">
        <v>10800</v>
      </c>
      <c r="DO74" s="92">
        <v>7950</v>
      </c>
      <c r="DP74" s="92">
        <v>35.578947368421055</v>
      </c>
      <c r="DQ74" s="92">
        <v>37.89473684210526</v>
      </c>
      <c r="DR74" s="92">
        <v>27.894736842105264</v>
      </c>
      <c r="DS74" s="92">
        <v>6.7884631578947383</v>
      </c>
      <c r="DT74" s="92">
        <v>7.2303157894736847</v>
      </c>
      <c r="DU74" s="92">
        <v>5.3223157894736843</v>
      </c>
      <c r="DZ74" s="139">
        <v>17</v>
      </c>
      <c r="EA74" s="139">
        <v>250</v>
      </c>
      <c r="EB74" s="139">
        <v>20</v>
      </c>
      <c r="EC74" s="139">
        <v>23</v>
      </c>
      <c r="ED74" s="139">
        <v>2</v>
      </c>
      <c r="EE74" s="139">
        <v>9</v>
      </c>
      <c r="EF74" s="143">
        <v>0</v>
      </c>
      <c r="EG74" s="143">
        <v>26</v>
      </c>
      <c r="EH74" s="143">
        <v>10</v>
      </c>
      <c r="EI74" s="143">
        <v>83</v>
      </c>
    </row>
    <row r="75" spans="1:139">
      <c r="A75" s="175">
        <v>3315</v>
      </c>
      <c r="B75" s="92" t="s">
        <v>605</v>
      </c>
      <c r="C75" s="176">
        <v>9</v>
      </c>
      <c r="D75" s="176">
        <v>101</v>
      </c>
      <c r="E75" s="177">
        <v>0</v>
      </c>
      <c r="F75" s="176">
        <v>0</v>
      </c>
      <c r="G75" s="178">
        <v>13031.950367291487</v>
      </c>
      <c r="H75" s="176">
        <v>26.77</v>
      </c>
      <c r="I75" s="176">
        <v>0</v>
      </c>
      <c r="J75" s="176">
        <v>0</v>
      </c>
      <c r="K75" s="178">
        <v>90</v>
      </c>
      <c r="L75" s="176">
        <v>0</v>
      </c>
      <c r="M75" s="137">
        <v>30</v>
      </c>
      <c r="N75" s="137">
        <v>30</v>
      </c>
      <c r="O75" s="137">
        <v>30</v>
      </c>
      <c r="P75" s="137">
        <v>30</v>
      </c>
      <c r="Q75" s="137">
        <v>30</v>
      </c>
      <c r="R75" s="137">
        <v>28</v>
      </c>
      <c r="S75" s="137"/>
      <c r="T75" s="137"/>
      <c r="U75" s="137"/>
      <c r="V75" s="137"/>
      <c r="W75" s="137"/>
      <c r="X75" s="137">
        <v>0</v>
      </c>
      <c r="Y75" s="137"/>
      <c r="Z75" s="137">
        <v>30</v>
      </c>
      <c r="AA75" s="137">
        <v>0</v>
      </c>
      <c r="AB75" s="176"/>
      <c r="AC75" s="176">
        <v>0</v>
      </c>
      <c r="AE75" s="179">
        <v>0</v>
      </c>
      <c r="AF75" s="179">
        <v>0</v>
      </c>
      <c r="AG75" s="179">
        <v>0</v>
      </c>
      <c r="AH75" s="179">
        <v>0</v>
      </c>
      <c r="AJ75" s="178">
        <v>9</v>
      </c>
      <c r="AK75" s="176"/>
      <c r="AL75" s="176"/>
      <c r="AM75" s="176"/>
      <c r="AO75" s="176"/>
      <c r="AP75" s="176"/>
      <c r="AQ75" s="176">
        <v>11</v>
      </c>
      <c r="AR75" s="176">
        <v>0</v>
      </c>
      <c r="AS75" s="176">
        <v>0</v>
      </c>
      <c r="AT75" s="178">
        <v>1</v>
      </c>
      <c r="AU75" s="176"/>
      <c r="AV75" s="178">
        <v>0</v>
      </c>
      <c r="AW75" s="177"/>
      <c r="AX75" s="176">
        <v>0</v>
      </c>
      <c r="AY75" s="176"/>
      <c r="AZ75" s="178">
        <v>0</v>
      </c>
      <c r="BA75" s="176"/>
      <c r="BB75" s="176">
        <v>0</v>
      </c>
      <c r="BC75" s="176">
        <v>0</v>
      </c>
      <c r="BD75" s="180" t="s">
        <v>597</v>
      </c>
      <c r="BE75" s="176"/>
      <c r="BF75" s="178">
        <v>0</v>
      </c>
      <c r="BG75" s="176">
        <v>22</v>
      </c>
      <c r="BJ75" s="176"/>
      <c r="BL75" s="176"/>
      <c r="BM75" s="176"/>
      <c r="BN75" s="176"/>
      <c r="BO75" s="176">
        <v>1</v>
      </c>
      <c r="BP75" s="176">
        <v>0</v>
      </c>
      <c r="BQ75" s="176"/>
      <c r="BR75" s="176"/>
      <c r="BS75" s="176"/>
      <c r="BT75" s="176"/>
      <c r="BU75" s="176"/>
      <c r="BV75" s="176"/>
      <c r="BW75" s="178">
        <v>0</v>
      </c>
      <c r="BX75" s="178">
        <v>0</v>
      </c>
      <c r="BY75" s="92">
        <v>4047</v>
      </c>
      <c r="BZ75" s="92">
        <v>2228</v>
      </c>
      <c r="CA75" s="92">
        <v>0</v>
      </c>
      <c r="CB75" s="176"/>
      <c r="CC75" s="92">
        <v>1176</v>
      </c>
      <c r="CD75" s="92">
        <v>0</v>
      </c>
      <c r="CE75" s="178"/>
      <c r="CF75" s="178"/>
      <c r="CG75" s="178"/>
      <c r="CH75" s="178"/>
      <c r="CI75" s="178"/>
      <c r="CJ75" s="176">
        <v>0</v>
      </c>
      <c r="CK75" s="176">
        <v>0</v>
      </c>
      <c r="CQ75" s="232">
        <v>208</v>
      </c>
      <c r="CR75" s="232">
        <v>9</v>
      </c>
      <c r="CS75" s="176">
        <v>3</v>
      </c>
      <c r="CT75" s="92">
        <v>101</v>
      </c>
      <c r="CU75" s="92">
        <v>0</v>
      </c>
      <c r="CV75" s="92">
        <v>0</v>
      </c>
      <c r="CW75" s="92">
        <v>0</v>
      </c>
      <c r="DE75" s="92">
        <v>208</v>
      </c>
      <c r="DF75" s="135">
        <v>0</v>
      </c>
      <c r="DG75" s="92" t="s">
        <v>210</v>
      </c>
      <c r="DH75" s="92">
        <v>1</v>
      </c>
      <c r="DI75" s="92">
        <v>4.3269230769230766</v>
      </c>
      <c r="DJ75" s="92">
        <v>0</v>
      </c>
      <c r="DK75" s="92">
        <v>0</v>
      </c>
      <c r="DL75" s="92">
        <v>0</v>
      </c>
      <c r="DM75" s="92">
        <v>0</v>
      </c>
      <c r="DN75" s="92">
        <v>0</v>
      </c>
      <c r="DO75" s="92">
        <v>0</v>
      </c>
      <c r="DP75" s="92">
        <v>0</v>
      </c>
      <c r="DQ75" s="92">
        <v>0</v>
      </c>
      <c r="DR75" s="92">
        <v>0</v>
      </c>
      <c r="DS75" s="92">
        <v>0</v>
      </c>
      <c r="DT75" s="92">
        <v>0</v>
      </c>
      <c r="DU75" s="92">
        <v>0</v>
      </c>
      <c r="DZ75" s="139">
        <v>21</v>
      </c>
      <c r="EA75" s="139">
        <v>178</v>
      </c>
      <c r="EB75" s="139">
        <v>1</v>
      </c>
      <c r="EC75" s="139">
        <v>13</v>
      </c>
      <c r="ED75" s="139">
        <v>2</v>
      </c>
      <c r="EE75" s="139">
        <v>0</v>
      </c>
      <c r="EF75" s="143">
        <v>4</v>
      </c>
      <c r="EG75" s="143">
        <v>14</v>
      </c>
      <c r="EH75" s="143">
        <v>0</v>
      </c>
      <c r="EI75" s="143">
        <v>17</v>
      </c>
    </row>
    <row r="76" spans="1:139">
      <c r="A76" s="175">
        <v>3504</v>
      </c>
      <c r="B76" s="92" t="s">
        <v>361</v>
      </c>
      <c r="C76" s="176">
        <v>38</v>
      </c>
      <c r="D76" s="176">
        <v>105</v>
      </c>
      <c r="E76" s="177">
        <v>0</v>
      </c>
      <c r="F76" s="176">
        <v>0</v>
      </c>
      <c r="G76" s="178">
        <v>22089.900289581055</v>
      </c>
      <c r="H76" s="176">
        <v>67.485611510791344</v>
      </c>
      <c r="I76" s="176">
        <v>0</v>
      </c>
      <c r="J76" s="176">
        <v>0</v>
      </c>
      <c r="K76" s="178">
        <v>160</v>
      </c>
      <c r="L76" s="176">
        <v>0</v>
      </c>
      <c r="M76" s="137">
        <v>60</v>
      </c>
      <c r="N76" s="137">
        <v>58</v>
      </c>
      <c r="O76" s="137">
        <v>49</v>
      </c>
      <c r="P76" s="137">
        <v>48</v>
      </c>
      <c r="Q76" s="137">
        <v>45</v>
      </c>
      <c r="R76" s="137">
        <v>45</v>
      </c>
      <c r="S76" s="137"/>
      <c r="T76" s="137"/>
      <c r="U76" s="137"/>
      <c r="V76" s="137"/>
      <c r="W76" s="137"/>
      <c r="X76" s="137">
        <v>52</v>
      </c>
      <c r="Y76" s="137"/>
      <c r="Z76" s="137">
        <v>60</v>
      </c>
      <c r="AA76" s="137">
        <v>0</v>
      </c>
      <c r="AB76" s="176"/>
      <c r="AC76" s="176">
        <v>0</v>
      </c>
      <c r="AE76" s="179">
        <v>30</v>
      </c>
      <c r="AF76" s="179">
        <v>96.494736842105254</v>
      </c>
      <c r="AG76" s="179">
        <v>27501</v>
      </c>
      <c r="AH76" s="179">
        <v>9.3940464396284789</v>
      </c>
      <c r="AJ76" s="178">
        <v>38</v>
      </c>
      <c r="AK76" s="176"/>
      <c r="AL76" s="176"/>
      <c r="AM76" s="176"/>
      <c r="AO76" s="176"/>
      <c r="AP76" s="176"/>
      <c r="AQ76" s="176">
        <v>52</v>
      </c>
      <c r="AR76" s="176">
        <v>0</v>
      </c>
      <c r="AS76" s="176">
        <v>0</v>
      </c>
      <c r="AT76" s="178">
        <v>1</v>
      </c>
      <c r="AU76" s="176"/>
      <c r="AV76" s="178">
        <v>1</v>
      </c>
      <c r="AW76" s="177"/>
      <c r="AX76" s="176">
        <v>1</v>
      </c>
      <c r="AY76" s="176"/>
      <c r="AZ76" s="178">
        <v>0</v>
      </c>
      <c r="BA76" s="176"/>
      <c r="BB76" s="176">
        <v>0</v>
      </c>
      <c r="BC76" s="176">
        <v>0</v>
      </c>
      <c r="BD76" s="180" t="s">
        <v>597</v>
      </c>
      <c r="BE76" s="176"/>
      <c r="BF76" s="178">
        <v>0</v>
      </c>
      <c r="BG76" s="176">
        <v>73</v>
      </c>
      <c r="BJ76" s="176"/>
      <c r="BL76" s="176"/>
      <c r="BM76" s="176"/>
      <c r="BN76" s="176"/>
      <c r="BO76" s="176">
        <v>0</v>
      </c>
      <c r="BP76" s="176">
        <v>0</v>
      </c>
      <c r="BQ76" s="176"/>
      <c r="BR76" s="176"/>
      <c r="BS76" s="176"/>
      <c r="BT76" s="176"/>
      <c r="BU76" s="176"/>
      <c r="BV76" s="176"/>
      <c r="BW76" s="178">
        <v>0</v>
      </c>
      <c r="BX76" s="178">
        <v>1423.02</v>
      </c>
      <c r="BY76" s="92">
        <v>10401</v>
      </c>
      <c r="BZ76" s="92">
        <v>1739</v>
      </c>
      <c r="CA76" s="92">
        <v>0</v>
      </c>
      <c r="CB76" s="176"/>
      <c r="CC76" s="92">
        <v>1679</v>
      </c>
      <c r="CD76" s="92">
        <v>0</v>
      </c>
      <c r="CE76" s="178"/>
      <c r="CF76" s="178"/>
      <c r="CG76" s="178"/>
      <c r="CH76" s="178"/>
      <c r="CI76" s="178"/>
      <c r="CJ76" s="176">
        <v>0</v>
      </c>
      <c r="CK76" s="176">
        <v>0</v>
      </c>
      <c r="CQ76" s="232">
        <v>396.2</v>
      </c>
      <c r="CR76" s="232">
        <v>38</v>
      </c>
      <c r="CS76" s="176">
        <v>4.05</v>
      </c>
      <c r="CT76" s="92">
        <v>105</v>
      </c>
      <c r="CU76" s="92">
        <v>0</v>
      </c>
      <c r="CV76" s="92">
        <v>0</v>
      </c>
      <c r="CW76" s="92">
        <v>0</v>
      </c>
      <c r="DE76" s="92">
        <v>365</v>
      </c>
      <c r="DF76" s="135">
        <v>0</v>
      </c>
      <c r="DG76" s="92" t="s">
        <v>210</v>
      </c>
      <c r="DH76" s="92">
        <v>1</v>
      </c>
      <c r="DI76" s="92">
        <v>10.41095890410959</v>
      </c>
      <c r="DJ76" s="92">
        <v>10.263157894736842</v>
      </c>
      <c r="DK76" s="92">
        <v>11.368421052631579</v>
      </c>
      <c r="DL76" s="92">
        <v>8.3684210526315788</v>
      </c>
      <c r="DM76" s="92">
        <v>9945</v>
      </c>
      <c r="DN76" s="92">
        <v>9288</v>
      </c>
      <c r="DO76" s="92">
        <v>8268</v>
      </c>
      <c r="DP76" s="92">
        <v>34.89473684210526</v>
      </c>
      <c r="DQ76" s="92">
        <v>32.589473684210532</v>
      </c>
      <c r="DR76" s="92">
        <v>29.01052631578947</v>
      </c>
      <c r="DS76" s="92">
        <v>3.3971052631578935</v>
      </c>
      <c r="DT76" s="92">
        <v>3.1726811145510827</v>
      </c>
      <c r="DU76" s="92">
        <v>2.8242600619195031</v>
      </c>
      <c r="DZ76" s="139">
        <v>14</v>
      </c>
      <c r="EA76" s="139">
        <v>305</v>
      </c>
      <c r="EB76" s="139">
        <v>12</v>
      </c>
      <c r="EC76" s="139">
        <v>29</v>
      </c>
      <c r="ED76" s="139">
        <v>0</v>
      </c>
      <c r="EE76" s="139">
        <v>8</v>
      </c>
      <c r="EF76" s="143">
        <v>4</v>
      </c>
      <c r="EG76" s="143">
        <v>2</v>
      </c>
      <c r="EH76" s="143">
        <v>6</v>
      </c>
      <c r="EI76" s="143">
        <v>51</v>
      </c>
    </row>
    <row r="77" spans="1:139">
      <c r="A77" s="175">
        <v>3307</v>
      </c>
      <c r="B77" s="92" t="s">
        <v>606</v>
      </c>
      <c r="C77" s="176">
        <v>25</v>
      </c>
      <c r="D77" s="176">
        <v>78</v>
      </c>
      <c r="E77" s="177">
        <v>0</v>
      </c>
      <c r="F77" s="176">
        <v>0</v>
      </c>
      <c r="G77" s="178">
        <v>24790.555208905043</v>
      </c>
      <c r="H77" s="176">
        <v>47.905228215767572</v>
      </c>
      <c r="I77" s="176">
        <v>0</v>
      </c>
      <c r="J77" s="176">
        <v>0</v>
      </c>
      <c r="K77" s="178">
        <v>0</v>
      </c>
      <c r="L77" s="176">
        <v>0</v>
      </c>
      <c r="M77" s="137">
        <v>30</v>
      </c>
      <c r="N77" s="137">
        <v>30</v>
      </c>
      <c r="O77" s="137">
        <v>30</v>
      </c>
      <c r="P77" s="137">
        <v>30</v>
      </c>
      <c r="Q77" s="137">
        <v>30</v>
      </c>
      <c r="R77" s="137">
        <v>29</v>
      </c>
      <c r="S77" s="137"/>
      <c r="T77" s="137"/>
      <c r="U77" s="137"/>
      <c r="V77" s="137"/>
      <c r="W77" s="137"/>
      <c r="X77" s="137">
        <v>32</v>
      </c>
      <c r="Y77" s="137"/>
      <c r="Z77" s="137">
        <v>30</v>
      </c>
      <c r="AA77" s="137">
        <v>0</v>
      </c>
      <c r="AB77" s="176"/>
      <c r="AC77" s="176">
        <v>0</v>
      </c>
      <c r="AE77" s="179">
        <v>28.105263157894736</v>
      </c>
      <c r="AF77" s="179">
        <v>0</v>
      </c>
      <c r="AG77" s="179">
        <v>18714</v>
      </c>
      <c r="AH77" s="179">
        <v>6.5769066213921903</v>
      </c>
      <c r="AJ77" s="178">
        <v>25</v>
      </c>
      <c r="AK77" s="176"/>
      <c r="AL77" s="176"/>
      <c r="AM77" s="176"/>
      <c r="AO77" s="176"/>
      <c r="AP77" s="176"/>
      <c r="AQ77" s="176">
        <v>29</v>
      </c>
      <c r="AR77" s="176">
        <v>0</v>
      </c>
      <c r="AS77" s="176">
        <v>0</v>
      </c>
      <c r="AT77" s="178">
        <v>1</v>
      </c>
      <c r="AU77" s="176"/>
      <c r="AV77" s="178">
        <v>1</v>
      </c>
      <c r="AW77" s="177"/>
      <c r="AX77" s="176">
        <v>0</v>
      </c>
      <c r="AY77" s="176"/>
      <c r="AZ77" s="178">
        <v>0</v>
      </c>
      <c r="BA77" s="176"/>
      <c r="BB77" s="176">
        <v>0</v>
      </c>
      <c r="BC77" s="176">
        <v>0</v>
      </c>
      <c r="BD77" s="180" t="s">
        <v>597</v>
      </c>
      <c r="BE77" s="176"/>
      <c r="BF77" s="178">
        <v>0</v>
      </c>
      <c r="BG77" s="176">
        <v>49</v>
      </c>
      <c r="BJ77" s="176"/>
      <c r="BL77" s="176"/>
      <c r="BM77" s="176"/>
      <c r="BN77" s="176"/>
      <c r="BO77" s="176">
        <v>0</v>
      </c>
      <c r="BP77" s="176">
        <v>0</v>
      </c>
      <c r="BQ77" s="176"/>
      <c r="BR77" s="176"/>
      <c r="BS77" s="176"/>
      <c r="BT77" s="176"/>
      <c r="BU77" s="176"/>
      <c r="BV77" s="176"/>
      <c r="BW77" s="178">
        <v>0</v>
      </c>
      <c r="BX77" s="178">
        <v>1264.9100000000001</v>
      </c>
      <c r="BY77" s="92">
        <v>7205</v>
      </c>
      <c r="BZ77" s="92">
        <v>2017</v>
      </c>
      <c r="CA77" s="92">
        <v>0</v>
      </c>
      <c r="CB77" s="176"/>
      <c r="CC77" s="92">
        <v>1602</v>
      </c>
      <c r="CD77" s="92">
        <v>1</v>
      </c>
      <c r="CE77" s="178"/>
      <c r="CF77" s="178"/>
      <c r="CG77" s="178"/>
      <c r="CH77" s="178"/>
      <c r="CI77" s="178"/>
      <c r="CJ77" s="176">
        <v>0</v>
      </c>
      <c r="CK77" s="176">
        <v>0</v>
      </c>
      <c r="CQ77" s="232">
        <v>228.2</v>
      </c>
      <c r="CR77" s="232">
        <v>25</v>
      </c>
      <c r="CS77" s="176">
        <v>0.90000000000000213</v>
      </c>
      <c r="CT77" s="92">
        <v>78</v>
      </c>
      <c r="CU77" s="92">
        <v>0</v>
      </c>
      <c r="CV77" s="92">
        <v>0</v>
      </c>
      <c r="CW77" s="92">
        <v>0</v>
      </c>
      <c r="DE77" s="92">
        <v>209</v>
      </c>
      <c r="DF77" s="135">
        <v>0</v>
      </c>
      <c r="DG77" s="92" t="s">
        <v>210</v>
      </c>
      <c r="DH77" s="92">
        <v>1</v>
      </c>
      <c r="DI77" s="92">
        <v>11.961722488038278</v>
      </c>
      <c r="DJ77" s="92">
        <v>10.263157894736842</v>
      </c>
      <c r="DK77" s="92">
        <v>9.473684210526315</v>
      </c>
      <c r="DL77" s="92">
        <v>8.3684210526315788</v>
      </c>
      <c r="DM77" s="92">
        <v>8385</v>
      </c>
      <c r="DN77" s="92">
        <v>5400</v>
      </c>
      <c r="DO77" s="92">
        <v>4929</v>
      </c>
      <c r="DP77" s="92">
        <v>0</v>
      </c>
      <c r="DQ77" s="92">
        <v>0</v>
      </c>
      <c r="DR77" s="92">
        <v>0</v>
      </c>
      <c r="DS77" s="92">
        <v>2.9468505942275041</v>
      </c>
      <c r="DT77" s="92">
        <v>1.8977928692699488</v>
      </c>
      <c r="DU77" s="92">
        <v>1.7322631578947367</v>
      </c>
      <c r="DZ77" s="139">
        <v>7</v>
      </c>
      <c r="EA77" s="139">
        <v>179</v>
      </c>
      <c r="EB77" s="139">
        <v>2</v>
      </c>
      <c r="EC77" s="139">
        <v>24</v>
      </c>
      <c r="ED77" s="139">
        <v>3</v>
      </c>
      <c r="EE77" s="139">
        <v>10</v>
      </c>
      <c r="EF77" s="143">
        <v>2</v>
      </c>
      <c r="EG77" s="143">
        <v>1</v>
      </c>
      <c r="EH77" s="143">
        <v>12</v>
      </c>
      <c r="EI77" s="143">
        <v>24</v>
      </c>
    </row>
    <row r="78" spans="1:139">
      <c r="A78" s="175">
        <v>3309</v>
      </c>
      <c r="B78" s="92" t="s">
        <v>607</v>
      </c>
      <c r="C78" s="176">
        <v>21</v>
      </c>
      <c r="D78" s="176">
        <v>116</v>
      </c>
      <c r="E78" s="177">
        <v>0</v>
      </c>
      <c r="F78" s="176">
        <v>0</v>
      </c>
      <c r="G78" s="178">
        <v>21522.239805752728</v>
      </c>
      <c r="H78" s="176">
        <v>37.79344398340244</v>
      </c>
      <c r="I78" s="176">
        <v>0</v>
      </c>
      <c r="J78" s="176">
        <v>0</v>
      </c>
      <c r="K78" s="178">
        <v>170</v>
      </c>
      <c r="L78" s="176">
        <v>0</v>
      </c>
      <c r="M78" s="137">
        <v>30</v>
      </c>
      <c r="N78" s="137">
        <v>30</v>
      </c>
      <c r="O78" s="137">
        <v>29</v>
      </c>
      <c r="P78" s="137">
        <v>30</v>
      </c>
      <c r="Q78" s="137">
        <v>30</v>
      </c>
      <c r="R78" s="137">
        <v>30</v>
      </c>
      <c r="S78" s="137"/>
      <c r="T78" s="137"/>
      <c r="U78" s="137"/>
      <c r="V78" s="137"/>
      <c r="W78" s="137"/>
      <c r="X78" s="137">
        <v>32</v>
      </c>
      <c r="Y78" s="137"/>
      <c r="Z78" s="137">
        <v>30</v>
      </c>
      <c r="AA78" s="137">
        <v>0</v>
      </c>
      <c r="AB78" s="176"/>
      <c r="AC78" s="176">
        <v>0</v>
      </c>
      <c r="AE78" s="179">
        <v>28.105263157894736</v>
      </c>
      <c r="AF78" s="179">
        <v>66.221052631578942</v>
      </c>
      <c r="AG78" s="179">
        <v>18873</v>
      </c>
      <c r="AH78" s="179">
        <v>5.8046891447368418</v>
      </c>
      <c r="AJ78" s="178">
        <v>21</v>
      </c>
      <c r="AK78" s="176"/>
      <c r="AL78" s="176"/>
      <c r="AM78" s="176"/>
      <c r="AO78" s="176"/>
      <c r="AP78" s="176"/>
      <c r="AQ78" s="176">
        <v>39</v>
      </c>
      <c r="AR78" s="176">
        <v>0</v>
      </c>
      <c r="AS78" s="176">
        <v>4</v>
      </c>
      <c r="AT78" s="178">
        <v>1</v>
      </c>
      <c r="AU78" s="176"/>
      <c r="AV78" s="178">
        <v>2</v>
      </c>
      <c r="AW78" s="177"/>
      <c r="AX78" s="176">
        <v>0</v>
      </c>
      <c r="AY78" s="176"/>
      <c r="AZ78" s="178">
        <v>0</v>
      </c>
      <c r="BA78" s="176"/>
      <c r="BB78" s="176">
        <v>0</v>
      </c>
      <c r="BC78" s="176">
        <v>0</v>
      </c>
      <c r="BD78" s="180" t="s">
        <v>597</v>
      </c>
      <c r="BE78" s="176"/>
      <c r="BF78" s="178">
        <v>0</v>
      </c>
      <c r="BG78" s="176">
        <v>22</v>
      </c>
      <c r="BJ78" s="176"/>
      <c r="BL78" s="176"/>
      <c r="BM78" s="176"/>
      <c r="BN78" s="176"/>
      <c r="BO78" s="176">
        <v>0</v>
      </c>
      <c r="BP78" s="176">
        <v>0</v>
      </c>
      <c r="BQ78" s="176"/>
      <c r="BR78" s="176"/>
      <c r="BS78" s="176"/>
      <c r="BT78" s="176"/>
      <c r="BU78" s="176"/>
      <c r="BV78" s="176"/>
      <c r="BW78" s="178">
        <v>0</v>
      </c>
      <c r="BX78" s="178">
        <v>1423.02</v>
      </c>
      <c r="BY78" s="92">
        <v>9329</v>
      </c>
      <c r="BZ78" s="92">
        <v>2062</v>
      </c>
      <c r="CA78" s="92">
        <v>0</v>
      </c>
      <c r="CB78" s="176"/>
      <c r="CC78" s="92">
        <v>1246</v>
      </c>
      <c r="CD78" s="92">
        <v>0</v>
      </c>
      <c r="CE78" s="178"/>
      <c r="CF78" s="178"/>
      <c r="CG78" s="178"/>
      <c r="CH78" s="178"/>
      <c r="CI78" s="178"/>
      <c r="CJ78" s="176">
        <v>0</v>
      </c>
      <c r="CK78" s="176">
        <v>0</v>
      </c>
      <c r="CQ78" s="232">
        <v>228.2</v>
      </c>
      <c r="CR78" s="232">
        <v>21</v>
      </c>
      <c r="CS78" s="176">
        <v>3.9</v>
      </c>
      <c r="CT78" s="92">
        <v>116</v>
      </c>
      <c r="CU78" s="92">
        <v>0</v>
      </c>
      <c r="CV78" s="92">
        <v>0</v>
      </c>
      <c r="CW78" s="92">
        <v>0</v>
      </c>
      <c r="DE78" s="92">
        <v>209</v>
      </c>
      <c r="DF78" s="135">
        <v>0</v>
      </c>
      <c r="DG78" s="92" t="s">
        <v>210</v>
      </c>
      <c r="DH78" s="92">
        <v>1</v>
      </c>
      <c r="DI78" s="92">
        <v>10.047846889952153</v>
      </c>
      <c r="DJ78" s="92">
        <v>10.263157894736842</v>
      </c>
      <c r="DK78" s="92">
        <v>9.473684210526315</v>
      </c>
      <c r="DL78" s="92">
        <v>8.3684210526315788</v>
      </c>
      <c r="DM78" s="92">
        <v>8385</v>
      </c>
      <c r="DN78" s="92">
        <v>5400</v>
      </c>
      <c r="DO78" s="92">
        <v>5088</v>
      </c>
      <c r="DP78" s="92">
        <v>29.421052631578949</v>
      </c>
      <c r="DQ78" s="92">
        <v>18.94736842105263</v>
      </c>
      <c r="DR78" s="92">
        <v>17.852631578947367</v>
      </c>
      <c r="DS78" s="92">
        <v>2.5789391447368422</v>
      </c>
      <c r="DT78" s="92">
        <v>1.6608552631578948</v>
      </c>
      <c r="DU78" s="92">
        <v>1.5648947368421053</v>
      </c>
      <c r="DZ78" s="139">
        <v>14</v>
      </c>
      <c r="EA78" s="139">
        <v>179</v>
      </c>
      <c r="EB78" s="139">
        <v>1</v>
      </c>
      <c r="EC78" s="139">
        <v>10</v>
      </c>
      <c r="ED78" s="139">
        <v>1</v>
      </c>
      <c r="EE78" s="139">
        <v>6</v>
      </c>
      <c r="EF78" s="143">
        <v>6</v>
      </c>
      <c r="EG78" s="143">
        <v>10</v>
      </c>
      <c r="EH78" s="143">
        <v>2</v>
      </c>
      <c r="EI78" s="143">
        <v>28</v>
      </c>
    </row>
    <row r="79" spans="1:139">
      <c r="A79" s="175">
        <v>3508</v>
      </c>
      <c r="B79" s="92" t="s">
        <v>362</v>
      </c>
      <c r="C79" s="176">
        <v>22</v>
      </c>
      <c r="D79" s="176">
        <v>162</v>
      </c>
      <c r="E79" s="177">
        <v>0</v>
      </c>
      <c r="F79" s="176">
        <v>0</v>
      </c>
      <c r="G79" s="178">
        <v>26604.075760055097</v>
      </c>
      <c r="H79" s="176">
        <v>44.220782608695686</v>
      </c>
      <c r="I79" s="176">
        <v>0</v>
      </c>
      <c r="J79" s="176">
        <v>0</v>
      </c>
      <c r="K79" s="178">
        <v>40</v>
      </c>
      <c r="L79" s="176">
        <v>0</v>
      </c>
      <c r="M79" s="137">
        <v>60</v>
      </c>
      <c r="N79" s="137">
        <v>60</v>
      </c>
      <c r="O79" s="137">
        <v>0</v>
      </c>
      <c r="P79" s="137">
        <v>0</v>
      </c>
      <c r="Q79" s="137">
        <v>0</v>
      </c>
      <c r="R79" s="137">
        <v>0</v>
      </c>
      <c r="S79" s="137"/>
      <c r="T79" s="137"/>
      <c r="U79" s="137"/>
      <c r="V79" s="137"/>
      <c r="W79" s="137"/>
      <c r="X79" s="137">
        <v>51</v>
      </c>
      <c r="Y79" s="137"/>
      <c r="Z79" s="137">
        <v>59</v>
      </c>
      <c r="AA79" s="137">
        <v>0</v>
      </c>
      <c r="AB79" s="176"/>
      <c r="AC79" s="176">
        <v>0</v>
      </c>
      <c r="AE79" s="179">
        <v>30</v>
      </c>
      <c r="AF79" s="179">
        <v>100.48421052631579</v>
      </c>
      <c r="AG79" s="179">
        <v>28638</v>
      </c>
      <c r="AH79" s="179">
        <v>11.585238390092885</v>
      </c>
      <c r="AJ79" s="178">
        <v>22</v>
      </c>
      <c r="AK79" s="176"/>
      <c r="AL79" s="176"/>
      <c r="AM79" s="176"/>
      <c r="AO79" s="176"/>
      <c r="AP79" s="176"/>
      <c r="AQ79" s="176">
        <v>31</v>
      </c>
      <c r="AR79" s="176">
        <v>0</v>
      </c>
      <c r="AS79" s="176">
        <v>0</v>
      </c>
      <c r="AT79" s="178">
        <v>1</v>
      </c>
      <c r="AU79" s="176"/>
      <c r="AV79" s="178">
        <v>1</v>
      </c>
      <c r="AW79" s="177"/>
      <c r="AX79" s="176">
        <v>0</v>
      </c>
      <c r="AY79" s="176"/>
      <c r="AZ79" s="178">
        <v>0</v>
      </c>
      <c r="BA79" s="176"/>
      <c r="BB79" s="176">
        <v>0</v>
      </c>
      <c r="BC79" s="176">
        <v>0</v>
      </c>
      <c r="BD79" s="180" t="s">
        <v>597</v>
      </c>
      <c r="BE79" s="176"/>
      <c r="BF79" s="178">
        <v>0</v>
      </c>
      <c r="BG79" s="176">
        <v>71</v>
      </c>
      <c r="BJ79" s="176"/>
      <c r="BL79" s="176"/>
      <c r="BM79" s="176"/>
      <c r="BN79" s="176"/>
      <c r="BO79" s="176">
        <v>0</v>
      </c>
      <c r="BP79" s="176">
        <v>0</v>
      </c>
      <c r="BQ79" s="176"/>
      <c r="BR79" s="176"/>
      <c r="BS79" s="176"/>
      <c r="BT79" s="176"/>
      <c r="BU79" s="176"/>
      <c r="BV79" s="176"/>
      <c r="BW79" s="178">
        <v>0</v>
      </c>
      <c r="BX79" s="178">
        <v>0</v>
      </c>
      <c r="BY79" s="92">
        <v>10023</v>
      </c>
      <c r="BZ79" s="92">
        <v>4225</v>
      </c>
      <c r="CA79" s="92">
        <v>0</v>
      </c>
      <c r="CB79" s="176"/>
      <c r="CC79" s="92">
        <v>1731.5</v>
      </c>
      <c r="CD79" s="92">
        <v>0</v>
      </c>
      <c r="CE79" s="178"/>
      <c r="CF79" s="178"/>
      <c r="CG79" s="178"/>
      <c r="CH79" s="178"/>
      <c r="CI79" s="178"/>
      <c r="CJ79" s="176">
        <v>0</v>
      </c>
      <c r="CK79" s="176">
        <v>0</v>
      </c>
      <c r="CQ79" s="232">
        <v>209.6</v>
      </c>
      <c r="CR79" s="232">
        <v>22</v>
      </c>
      <c r="CS79" s="176">
        <v>13</v>
      </c>
      <c r="CT79" s="92">
        <v>162</v>
      </c>
      <c r="CU79" s="92">
        <v>0</v>
      </c>
      <c r="CV79" s="92">
        <v>0</v>
      </c>
      <c r="CW79" s="92">
        <v>0</v>
      </c>
      <c r="DE79" s="92">
        <v>179</v>
      </c>
      <c r="DF79" s="135">
        <v>0</v>
      </c>
      <c r="DG79" s="92" t="s">
        <v>280</v>
      </c>
      <c r="DH79" s="92">
        <v>1</v>
      </c>
      <c r="DI79" s="92">
        <v>12.290502793296088</v>
      </c>
      <c r="DJ79" s="92">
        <v>10.263157894736842</v>
      </c>
      <c r="DK79" s="92">
        <v>11.368421052631579</v>
      </c>
      <c r="DL79" s="92">
        <v>8.3684210526315788</v>
      </c>
      <c r="DM79" s="92">
        <v>9945</v>
      </c>
      <c r="DN79" s="92">
        <v>10584</v>
      </c>
      <c r="DO79" s="92">
        <v>8109</v>
      </c>
      <c r="DP79" s="92">
        <v>34.89473684210526</v>
      </c>
      <c r="DQ79" s="92">
        <v>37.136842105263156</v>
      </c>
      <c r="DR79" s="92">
        <v>28.452631578947368</v>
      </c>
      <c r="DS79" s="92">
        <v>4.023157894736844</v>
      </c>
      <c r="DT79" s="92">
        <v>4.2816594427244601</v>
      </c>
      <c r="DU79" s="92">
        <v>3.28042105263158</v>
      </c>
      <c r="DZ79" s="139">
        <v>6</v>
      </c>
      <c r="EA79" s="139">
        <v>120</v>
      </c>
      <c r="EB79" s="139">
        <v>10</v>
      </c>
      <c r="EC79" s="139">
        <v>27</v>
      </c>
      <c r="ED79" s="139">
        <v>1</v>
      </c>
      <c r="EE79" s="139">
        <v>11</v>
      </c>
      <c r="EF79" s="143">
        <v>0</v>
      </c>
      <c r="EG79" s="143">
        <v>10</v>
      </c>
      <c r="EH79" s="143">
        <v>8</v>
      </c>
      <c r="EI79" s="143">
        <v>98</v>
      </c>
    </row>
    <row r="80" spans="1:139">
      <c r="A80" s="175">
        <v>3509</v>
      </c>
      <c r="B80" s="92" t="s">
        <v>363</v>
      </c>
      <c r="C80" s="176">
        <v>27</v>
      </c>
      <c r="D80" s="176">
        <v>56</v>
      </c>
      <c r="E80" s="177">
        <v>0</v>
      </c>
      <c r="F80" s="176">
        <v>0</v>
      </c>
      <c r="G80" s="178">
        <v>46.813703703703702</v>
      </c>
      <c r="H80" s="176">
        <v>66.650000000000091</v>
      </c>
      <c r="I80" s="176">
        <v>0</v>
      </c>
      <c r="J80" s="176">
        <v>0</v>
      </c>
      <c r="K80" s="178">
        <v>145</v>
      </c>
      <c r="L80" s="176">
        <v>0</v>
      </c>
      <c r="M80" s="137">
        <v>0</v>
      </c>
      <c r="N80" s="137">
        <v>0</v>
      </c>
      <c r="O80" s="137">
        <v>62</v>
      </c>
      <c r="P80" s="137">
        <v>62</v>
      </c>
      <c r="Q80" s="137">
        <v>62</v>
      </c>
      <c r="R80" s="137">
        <v>61</v>
      </c>
      <c r="S80" s="137"/>
      <c r="T80" s="137"/>
      <c r="U80" s="137"/>
      <c r="V80" s="137"/>
      <c r="W80" s="137"/>
      <c r="X80" s="137">
        <v>0</v>
      </c>
      <c r="Y80" s="137"/>
      <c r="Z80" s="137">
        <v>0</v>
      </c>
      <c r="AA80" s="137">
        <v>0</v>
      </c>
      <c r="AB80" s="176"/>
      <c r="AC80" s="176">
        <v>0</v>
      </c>
      <c r="AE80" s="179">
        <v>0</v>
      </c>
      <c r="AF80" s="179">
        <v>0</v>
      </c>
      <c r="AG80" s="179">
        <v>0</v>
      </c>
      <c r="AH80" s="179">
        <v>0</v>
      </c>
      <c r="AJ80" s="178">
        <v>27</v>
      </c>
      <c r="AK80" s="176"/>
      <c r="AL80" s="176"/>
      <c r="AM80" s="176"/>
      <c r="AO80" s="176"/>
      <c r="AP80" s="176"/>
      <c r="AQ80" s="176">
        <v>46</v>
      </c>
      <c r="AR80" s="176">
        <v>0</v>
      </c>
      <c r="AS80" s="176">
        <v>0</v>
      </c>
      <c r="AT80" s="178">
        <v>1</v>
      </c>
      <c r="AU80" s="176"/>
      <c r="AV80" s="178">
        <v>2</v>
      </c>
      <c r="AW80" s="177"/>
      <c r="AX80" s="176">
        <v>0</v>
      </c>
      <c r="AY80" s="176"/>
      <c r="AZ80" s="178">
        <v>0</v>
      </c>
      <c r="BA80" s="176"/>
      <c r="BB80" s="176">
        <v>0</v>
      </c>
      <c r="BC80" s="176">
        <v>0</v>
      </c>
      <c r="BD80" s="180" t="s">
        <v>597</v>
      </c>
      <c r="BE80" s="176"/>
      <c r="BF80" s="178">
        <v>0</v>
      </c>
      <c r="BG80" s="176">
        <v>105</v>
      </c>
      <c r="BJ80" s="176"/>
      <c r="BL80" s="176"/>
      <c r="BM80" s="176"/>
      <c r="BN80" s="176"/>
      <c r="BO80" s="176">
        <v>0</v>
      </c>
      <c r="BP80" s="176">
        <v>0</v>
      </c>
      <c r="BQ80" s="176"/>
      <c r="BR80" s="176"/>
      <c r="BS80" s="176"/>
      <c r="BT80" s="176"/>
      <c r="BU80" s="176"/>
      <c r="BV80" s="176"/>
      <c r="BW80" s="178">
        <v>0</v>
      </c>
      <c r="BX80" s="178">
        <v>0</v>
      </c>
      <c r="BY80" s="92">
        <v>13369</v>
      </c>
      <c r="BZ80" s="92">
        <v>4136</v>
      </c>
      <c r="CA80" s="92">
        <v>0</v>
      </c>
      <c r="CB80" s="176"/>
      <c r="CC80" s="92">
        <v>1787</v>
      </c>
      <c r="CD80" s="92">
        <v>0</v>
      </c>
      <c r="CE80" s="178"/>
      <c r="CF80" s="178"/>
      <c r="CG80" s="178"/>
      <c r="CH80" s="178"/>
      <c r="CI80" s="178"/>
      <c r="CJ80" s="176">
        <v>0</v>
      </c>
      <c r="CK80" s="176">
        <v>0</v>
      </c>
      <c r="CQ80" s="232">
        <v>247</v>
      </c>
      <c r="CR80" s="232">
        <v>27</v>
      </c>
      <c r="CS80" s="176">
        <v>1.24</v>
      </c>
      <c r="CT80" s="92">
        <v>56</v>
      </c>
      <c r="CU80" s="92">
        <v>0</v>
      </c>
      <c r="CV80" s="92">
        <v>0</v>
      </c>
      <c r="CW80" s="92">
        <v>0</v>
      </c>
      <c r="DE80" s="92">
        <v>247</v>
      </c>
      <c r="DF80" s="135">
        <v>0</v>
      </c>
      <c r="DG80" s="92" t="s">
        <v>279</v>
      </c>
      <c r="DH80" s="92">
        <v>1</v>
      </c>
      <c r="DI80" s="92">
        <v>10.931174089068826</v>
      </c>
      <c r="DJ80" s="92">
        <v>0</v>
      </c>
      <c r="DK80" s="92">
        <v>0</v>
      </c>
      <c r="DL80" s="92">
        <v>0</v>
      </c>
      <c r="DM80" s="92">
        <v>0</v>
      </c>
      <c r="DN80" s="92">
        <v>0</v>
      </c>
      <c r="DO80" s="92">
        <v>0</v>
      </c>
      <c r="DP80" s="92">
        <v>0</v>
      </c>
      <c r="DQ80" s="92">
        <v>0</v>
      </c>
      <c r="DR80" s="92">
        <v>0</v>
      </c>
      <c r="DS80" s="92">
        <v>0</v>
      </c>
      <c r="DT80" s="92">
        <v>0</v>
      </c>
      <c r="DU80" s="92">
        <v>0</v>
      </c>
      <c r="DZ80" s="139">
        <v>11</v>
      </c>
      <c r="EA80" s="139">
        <v>247</v>
      </c>
      <c r="EB80" s="139">
        <v>14</v>
      </c>
      <c r="EC80" s="139">
        <v>46</v>
      </c>
      <c r="ED80" s="139">
        <v>1</v>
      </c>
      <c r="EE80" s="139">
        <v>14</v>
      </c>
      <c r="EF80" s="143">
        <v>0</v>
      </c>
      <c r="EG80" s="143">
        <v>14</v>
      </c>
      <c r="EH80" s="143">
        <v>0</v>
      </c>
      <c r="EI80" s="143">
        <v>0</v>
      </c>
    </row>
    <row r="81" spans="1:139">
      <c r="A81" s="175">
        <v>3521</v>
      </c>
      <c r="B81" s="92" t="s">
        <v>364</v>
      </c>
      <c r="C81" s="176">
        <v>68</v>
      </c>
      <c r="D81" s="176">
        <v>305</v>
      </c>
      <c r="E81" s="177">
        <v>0</v>
      </c>
      <c r="F81" s="176">
        <v>0</v>
      </c>
      <c r="G81" s="178">
        <v>36543.690044882227</v>
      </c>
      <c r="H81" s="176">
        <v>111.34806521739134</v>
      </c>
      <c r="I81" s="176">
        <v>0</v>
      </c>
      <c r="J81" s="176">
        <v>0</v>
      </c>
      <c r="K81" s="178">
        <v>196.66666666666663</v>
      </c>
      <c r="L81" s="176">
        <v>0</v>
      </c>
      <c r="M81" s="137">
        <v>60</v>
      </c>
      <c r="N81" s="137">
        <v>60</v>
      </c>
      <c r="O81" s="137">
        <v>60</v>
      </c>
      <c r="P81" s="137">
        <v>59</v>
      </c>
      <c r="Q81" s="137">
        <v>60</v>
      </c>
      <c r="R81" s="137">
        <v>58</v>
      </c>
      <c r="S81" s="137"/>
      <c r="T81" s="137"/>
      <c r="U81" s="137"/>
      <c r="V81" s="137"/>
      <c r="W81" s="137"/>
      <c r="X81" s="137">
        <v>43</v>
      </c>
      <c r="Y81" s="137"/>
      <c r="Z81" s="137">
        <v>60</v>
      </c>
      <c r="AA81" s="137">
        <v>0</v>
      </c>
      <c r="AB81" s="176"/>
      <c r="AC81" s="176">
        <v>0</v>
      </c>
      <c r="AE81" s="179">
        <v>30</v>
      </c>
      <c r="AF81" s="179">
        <v>89.126315789473679</v>
      </c>
      <c r="AG81" s="179">
        <v>25401</v>
      </c>
      <c r="AH81" s="179">
        <v>11.389514075887398</v>
      </c>
      <c r="AJ81" s="178">
        <v>68</v>
      </c>
      <c r="AK81" s="176"/>
      <c r="AL81" s="176"/>
      <c r="AM81" s="176"/>
      <c r="AO81" s="176"/>
      <c r="AP81" s="176"/>
      <c r="AQ81" s="176">
        <v>100</v>
      </c>
      <c r="AR81" s="176">
        <v>0</v>
      </c>
      <c r="AS81" s="176">
        <v>0</v>
      </c>
      <c r="AT81" s="178">
        <v>1</v>
      </c>
      <c r="AU81" s="176"/>
      <c r="AV81" s="178">
        <v>0</v>
      </c>
      <c r="AW81" s="177"/>
      <c r="AX81" s="176">
        <v>0</v>
      </c>
      <c r="AY81" s="176"/>
      <c r="AZ81" s="178">
        <v>1</v>
      </c>
      <c r="BA81" s="176"/>
      <c r="BB81" s="176">
        <v>0</v>
      </c>
      <c r="BC81" s="176">
        <v>0</v>
      </c>
      <c r="BD81" s="180" t="s">
        <v>597</v>
      </c>
      <c r="BE81" s="176"/>
      <c r="BF81" s="178">
        <v>0</v>
      </c>
      <c r="BG81" s="176">
        <v>165</v>
      </c>
      <c r="BJ81" s="176"/>
      <c r="BL81" s="176"/>
      <c r="BM81" s="176"/>
      <c r="BN81" s="176"/>
      <c r="BO81" s="176">
        <v>0</v>
      </c>
      <c r="BP81" s="176">
        <v>0</v>
      </c>
      <c r="BQ81" s="176"/>
      <c r="BR81" s="176"/>
      <c r="BS81" s="176"/>
      <c r="BT81" s="176"/>
      <c r="BU81" s="176"/>
      <c r="BV81" s="176"/>
      <c r="BW81" s="178">
        <v>0</v>
      </c>
      <c r="BX81" s="178">
        <v>1423.02</v>
      </c>
      <c r="BY81" s="92">
        <v>21233</v>
      </c>
      <c r="BZ81" s="92">
        <v>2131</v>
      </c>
      <c r="CA81" s="92">
        <v>0</v>
      </c>
      <c r="CB81" s="176"/>
      <c r="CC81" s="92">
        <v>2190</v>
      </c>
      <c r="CD81" s="92">
        <v>0</v>
      </c>
      <c r="CE81" s="178"/>
      <c r="CF81" s="178"/>
      <c r="CG81" s="178"/>
      <c r="CH81" s="178"/>
      <c r="CI81" s="178"/>
      <c r="CJ81" s="176">
        <v>0</v>
      </c>
      <c r="CK81" s="176">
        <v>0</v>
      </c>
      <c r="CQ81" s="232">
        <v>442.8</v>
      </c>
      <c r="CR81" s="232">
        <v>68</v>
      </c>
      <c r="CS81" s="176">
        <v>12.18</v>
      </c>
      <c r="CT81" s="92">
        <v>305</v>
      </c>
      <c r="CU81" s="92">
        <v>0</v>
      </c>
      <c r="CV81" s="92">
        <v>0</v>
      </c>
      <c r="CW81" s="92">
        <v>0</v>
      </c>
      <c r="DE81" s="92">
        <v>417</v>
      </c>
      <c r="DF81" s="135">
        <v>0</v>
      </c>
      <c r="DG81" s="92" t="s">
        <v>210</v>
      </c>
      <c r="DH81" s="92">
        <v>1</v>
      </c>
      <c r="DI81" s="92">
        <v>16.306954436450841</v>
      </c>
      <c r="DJ81" s="92">
        <v>10.263157894736842</v>
      </c>
      <c r="DK81" s="92">
        <v>11.368421052631579</v>
      </c>
      <c r="DL81" s="92">
        <v>8.3684210526315788</v>
      </c>
      <c r="DM81" s="92">
        <v>10140</v>
      </c>
      <c r="DN81" s="92">
        <v>8424</v>
      </c>
      <c r="DO81" s="92">
        <v>6837</v>
      </c>
      <c r="DP81" s="92">
        <v>35.578947368421055</v>
      </c>
      <c r="DQ81" s="92">
        <v>29.557894736842105</v>
      </c>
      <c r="DR81" s="92">
        <v>23.989473684210527</v>
      </c>
      <c r="DS81" s="92">
        <v>4.5466585067319478</v>
      </c>
      <c r="DT81" s="92">
        <v>3.7772239902080798</v>
      </c>
      <c r="DU81" s="92">
        <v>3.0656315789473694</v>
      </c>
      <c r="DZ81" s="139">
        <v>28</v>
      </c>
      <c r="EA81" s="139">
        <v>357</v>
      </c>
      <c r="EB81" s="139">
        <v>20</v>
      </c>
      <c r="EC81" s="139">
        <v>87</v>
      </c>
      <c r="ED81" s="139">
        <v>2</v>
      </c>
      <c r="EE81" s="139">
        <v>12</v>
      </c>
      <c r="EF81" s="143">
        <v>2</v>
      </c>
      <c r="EG81" s="143">
        <v>36</v>
      </c>
      <c r="EH81" s="143">
        <v>16</v>
      </c>
      <c r="EI81" s="143">
        <v>99</v>
      </c>
    </row>
    <row r="82" spans="1:139">
      <c r="A82" s="175">
        <v>3311</v>
      </c>
      <c r="B82" s="92" t="s">
        <v>608</v>
      </c>
      <c r="C82" s="176">
        <v>20</v>
      </c>
      <c r="D82" s="176">
        <v>286</v>
      </c>
      <c r="E82" s="177">
        <v>0</v>
      </c>
      <c r="F82" s="176">
        <v>0</v>
      </c>
      <c r="G82" s="178">
        <v>27449.429992748279</v>
      </c>
      <c r="H82" s="176">
        <v>72.782822085889492</v>
      </c>
      <c r="I82" s="176">
        <v>0</v>
      </c>
      <c r="J82" s="176">
        <v>0</v>
      </c>
      <c r="K82" s="178">
        <v>75</v>
      </c>
      <c r="L82" s="176">
        <v>0</v>
      </c>
      <c r="M82" s="137">
        <v>60</v>
      </c>
      <c r="N82" s="137">
        <v>60</v>
      </c>
      <c r="O82" s="137">
        <v>60</v>
      </c>
      <c r="P82" s="137">
        <v>60</v>
      </c>
      <c r="Q82" s="137">
        <v>60</v>
      </c>
      <c r="R82" s="137">
        <v>60</v>
      </c>
      <c r="S82" s="137"/>
      <c r="T82" s="137"/>
      <c r="U82" s="137"/>
      <c r="V82" s="137"/>
      <c r="W82" s="137"/>
      <c r="X82" s="137">
        <v>69</v>
      </c>
      <c r="Y82" s="137"/>
      <c r="Z82" s="137">
        <v>60</v>
      </c>
      <c r="AA82" s="137">
        <v>0</v>
      </c>
      <c r="AB82" s="176"/>
      <c r="AC82" s="176">
        <v>0</v>
      </c>
      <c r="AE82" s="179">
        <v>30</v>
      </c>
      <c r="AF82" s="179">
        <v>135.82105263157894</v>
      </c>
      <c r="AG82" s="179">
        <v>38709</v>
      </c>
      <c r="AH82" s="179">
        <v>11.844394736842105</v>
      </c>
      <c r="AJ82" s="178">
        <v>20</v>
      </c>
      <c r="AK82" s="176"/>
      <c r="AL82" s="176"/>
      <c r="AM82" s="176"/>
      <c r="AO82" s="176"/>
      <c r="AP82" s="176"/>
      <c r="AQ82" s="176">
        <v>33</v>
      </c>
      <c r="AR82" s="176">
        <v>0</v>
      </c>
      <c r="AS82" s="176">
        <v>0</v>
      </c>
      <c r="AT82" s="178">
        <v>1</v>
      </c>
      <c r="AU82" s="176"/>
      <c r="AV82" s="178">
        <v>1</v>
      </c>
      <c r="AW82" s="177"/>
      <c r="AX82" s="176">
        <v>0</v>
      </c>
      <c r="AY82" s="176"/>
      <c r="AZ82" s="178">
        <v>0</v>
      </c>
      <c r="BA82" s="176"/>
      <c r="BB82" s="176">
        <v>0</v>
      </c>
      <c r="BC82" s="176">
        <v>0</v>
      </c>
      <c r="BD82" s="180" t="s">
        <v>597</v>
      </c>
      <c r="BE82" s="176"/>
      <c r="BF82" s="178">
        <v>0</v>
      </c>
      <c r="BG82" s="176">
        <v>40</v>
      </c>
      <c r="BJ82" s="176"/>
      <c r="BL82" s="176"/>
      <c r="BM82" s="176"/>
      <c r="BN82" s="176"/>
      <c r="BO82" s="176">
        <v>0</v>
      </c>
      <c r="BP82" s="176">
        <v>0</v>
      </c>
      <c r="BQ82" s="176"/>
      <c r="BR82" s="176"/>
      <c r="BS82" s="176"/>
      <c r="BT82" s="176"/>
      <c r="BU82" s="176"/>
      <c r="BV82" s="176"/>
      <c r="BW82" s="178">
        <v>0</v>
      </c>
      <c r="BX82" s="178">
        <v>1739.25</v>
      </c>
      <c r="BY82" s="92">
        <v>8992</v>
      </c>
      <c r="BZ82" s="92">
        <v>1554</v>
      </c>
      <c r="CA82" s="92">
        <v>0</v>
      </c>
      <c r="CB82" s="176"/>
      <c r="CC82" s="92">
        <v>2233.86</v>
      </c>
      <c r="CD82" s="92">
        <v>0</v>
      </c>
      <c r="CE82" s="178"/>
      <c r="CF82" s="178"/>
      <c r="CG82" s="178"/>
      <c r="CH82" s="178"/>
      <c r="CI82" s="178"/>
      <c r="CJ82" s="176">
        <v>0</v>
      </c>
      <c r="CK82" s="176">
        <v>0</v>
      </c>
      <c r="CQ82" s="232">
        <v>461.4</v>
      </c>
      <c r="CR82" s="232">
        <v>20</v>
      </c>
      <c r="CS82" s="176">
        <v>7.84</v>
      </c>
      <c r="CT82" s="92">
        <v>286</v>
      </c>
      <c r="CU82" s="92">
        <v>0</v>
      </c>
      <c r="CV82" s="92">
        <v>0</v>
      </c>
      <c r="CW82" s="92">
        <v>0</v>
      </c>
      <c r="DE82" s="92">
        <v>420</v>
      </c>
      <c r="DF82" s="135">
        <v>0</v>
      </c>
      <c r="DG82" s="92" t="s">
        <v>210</v>
      </c>
      <c r="DH82" s="92">
        <v>1</v>
      </c>
      <c r="DI82" s="92">
        <v>4.7619047619047619</v>
      </c>
      <c r="DJ82" s="92">
        <v>10.263157894736842</v>
      </c>
      <c r="DK82" s="92">
        <v>11.368421052631579</v>
      </c>
      <c r="DL82" s="92">
        <v>8.3684210526315788</v>
      </c>
      <c r="DM82" s="92">
        <v>15210</v>
      </c>
      <c r="DN82" s="92">
        <v>12528</v>
      </c>
      <c r="DO82" s="92">
        <v>10971</v>
      </c>
      <c r="DP82" s="92">
        <v>53.368421052631582</v>
      </c>
      <c r="DQ82" s="92">
        <v>43.957894736842107</v>
      </c>
      <c r="DR82" s="92">
        <v>38.494736842105262</v>
      </c>
      <c r="DS82" s="92">
        <v>4.6540402476780187</v>
      </c>
      <c r="DT82" s="92">
        <v>3.8333869969040242</v>
      </c>
      <c r="DU82" s="92">
        <v>3.3569674922600616</v>
      </c>
      <c r="DZ82" s="139">
        <v>35</v>
      </c>
      <c r="EA82" s="139">
        <v>360</v>
      </c>
      <c r="EB82" s="139">
        <v>3</v>
      </c>
      <c r="EC82" s="139">
        <v>17</v>
      </c>
      <c r="ED82" s="139">
        <v>1</v>
      </c>
      <c r="EE82" s="139">
        <v>11</v>
      </c>
      <c r="EF82" s="143">
        <v>4</v>
      </c>
      <c r="EG82" s="143">
        <v>46</v>
      </c>
      <c r="EH82" s="143">
        <v>4</v>
      </c>
      <c r="EI82" s="143">
        <v>62</v>
      </c>
    </row>
    <row r="83" spans="1:139">
      <c r="A83" s="175">
        <v>3312</v>
      </c>
      <c r="B83" s="92" t="s">
        <v>365</v>
      </c>
      <c r="C83" s="176">
        <v>19</v>
      </c>
      <c r="D83" s="176">
        <v>58</v>
      </c>
      <c r="E83" s="177">
        <v>0</v>
      </c>
      <c r="F83" s="176">
        <v>0</v>
      </c>
      <c r="G83" s="178">
        <v>18909.757797547878</v>
      </c>
      <c r="H83" s="176">
        <v>35.56</v>
      </c>
      <c r="I83" s="176">
        <v>0</v>
      </c>
      <c r="J83" s="176">
        <v>0</v>
      </c>
      <c r="K83" s="178">
        <v>175</v>
      </c>
      <c r="L83" s="176">
        <v>0</v>
      </c>
      <c r="M83" s="137">
        <v>28</v>
      </c>
      <c r="N83" s="137">
        <v>30</v>
      </c>
      <c r="O83" s="137">
        <v>31</v>
      </c>
      <c r="P83" s="137">
        <v>30</v>
      </c>
      <c r="Q83" s="137">
        <v>30</v>
      </c>
      <c r="R83" s="137">
        <v>29</v>
      </c>
      <c r="S83" s="137"/>
      <c r="T83" s="137"/>
      <c r="U83" s="137"/>
      <c r="V83" s="137"/>
      <c r="W83" s="137"/>
      <c r="X83" s="137">
        <v>0</v>
      </c>
      <c r="Y83" s="137"/>
      <c r="Z83" s="137">
        <v>30</v>
      </c>
      <c r="AA83" s="137">
        <v>0</v>
      </c>
      <c r="AB83" s="176"/>
      <c r="AC83" s="176">
        <v>0</v>
      </c>
      <c r="AE83" s="179">
        <v>0</v>
      </c>
      <c r="AF83" s="179">
        <v>0</v>
      </c>
      <c r="AG83" s="179">
        <v>0</v>
      </c>
      <c r="AH83" s="179">
        <v>0</v>
      </c>
      <c r="AJ83" s="178">
        <v>19</v>
      </c>
      <c r="AK83" s="176"/>
      <c r="AL83" s="176"/>
      <c r="AM83" s="176"/>
      <c r="AO83" s="176"/>
      <c r="AP83" s="176"/>
      <c r="AQ83" s="176">
        <v>30</v>
      </c>
      <c r="AR83" s="176">
        <v>0</v>
      </c>
      <c r="AS83" s="176">
        <v>1</v>
      </c>
      <c r="AT83" s="178">
        <v>1</v>
      </c>
      <c r="AU83" s="176"/>
      <c r="AV83" s="178">
        <v>1</v>
      </c>
      <c r="AW83" s="177"/>
      <c r="AX83" s="176">
        <v>0</v>
      </c>
      <c r="AY83" s="176"/>
      <c r="AZ83" s="178">
        <v>0</v>
      </c>
      <c r="BA83" s="176"/>
      <c r="BB83" s="176">
        <v>0</v>
      </c>
      <c r="BC83" s="176">
        <v>0</v>
      </c>
      <c r="BD83" s="180" t="s">
        <v>597</v>
      </c>
      <c r="BE83" s="176"/>
      <c r="BF83" s="178">
        <v>0</v>
      </c>
      <c r="BG83" s="176">
        <v>18</v>
      </c>
      <c r="BJ83" s="176"/>
      <c r="BL83" s="176"/>
      <c r="BM83" s="176"/>
      <c r="BN83" s="176"/>
      <c r="BO83" s="176">
        <v>0</v>
      </c>
      <c r="BP83" s="176">
        <v>0</v>
      </c>
      <c r="BQ83" s="176"/>
      <c r="BR83" s="176"/>
      <c r="BS83" s="176"/>
      <c r="BT83" s="176"/>
      <c r="BU83" s="176"/>
      <c r="BV83" s="176"/>
      <c r="BW83" s="178">
        <v>0</v>
      </c>
      <c r="BX83" s="178">
        <v>0</v>
      </c>
      <c r="BY83" s="92">
        <v>4655</v>
      </c>
      <c r="BZ83" s="92">
        <v>1961</v>
      </c>
      <c r="CA83" s="92">
        <v>0</v>
      </c>
      <c r="CB83" s="176"/>
      <c r="CC83" s="92">
        <v>1355</v>
      </c>
      <c r="CD83" s="92">
        <v>0</v>
      </c>
      <c r="CE83" s="178"/>
      <c r="CF83" s="178"/>
      <c r="CG83" s="178"/>
      <c r="CH83" s="178"/>
      <c r="CI83" s="178"/>
      <c r="CJ83" s="176">
        <v>0</v>
      </c>
      <c r="CK83" s="176">
        <v>0</v>
      </c>
      <c r="CQ83" s="232">
        <v>208</v>
      </c>
      <c r="CR83" s="232">
        <v>19</v>
      </c>
      <c r="CS83" s="176">
        <v>0</v>
      </c>
      <c r="CT83" s="92">
        <v>58</v>
      </c>
      <c r="CU83" s="92">
        <v>0</v>
      </c>
      <c r="CV83" s="92">
        <v>0</v>
      </c>
      <c r="CW83" s="92">
        <v>0</v>
      </c>
      <c r="DE83" s="92">
        <v>208</v>
      </c>
      <c r="DF83" s="135">
        <v>0</v>
      </c>
      <c r="DG83" s="92" t="s">
        <v>210</v>
      </c>
      <c r="DH83" s="92">
        <v>1</v>
      </c>
      <c r="DI83" s="92">
        <v>9.1346153846153832</v>
      </c>
      <c r="DJ83" s="92">
        <v>0</v>
      </c>
      <c r="DK83" s="92">
        <v>0</v>
      </c>
      <c r="DL83" s="92">
        <v>0</v>
      </c>
      <c r="DM83" s="92">
        <v>0</v>
      </c>
      <c r="DN83" s="92">
        <v>0</v>
      </c>
      <c r="DO83" s="92">
        <v>0</v>
      </c>
      <c r="DP83" s="92">
        <v>0</v>
      </c>
      <c r="DQ83" s="92">
        <v>0</v>
      </c>
      <c r="DR83" s="92">
        <v>0</v>
      </c>
      <c r="DS83" s="92">
        <v>0</v>
      </c>
      <c r="DT83" s="92">
        <v>0</v>
      </c>
      <c r="DU83" s="92">
        <v>0</v>
      </c>
      <c r="DZ83" s="139">
        <v>9</v>
      </c>
      <c r="EA83" s="139">
        <v>178</v>
      </c>
      <c r="EB83" s="139">
        <v>0</v>
      </c>
      <c r="EC83" s="139">
        <v>6</v>
      </c>
      <c r="ED83" s="139">
        <v>1</v>
      </c>
      <c r="EE83" s="139">
        <v>9</v>
      </c>
      <c r="EF83" s="143">
        <v>6</v>
      </c>
      <c r="EG83" s="143">
        <v>2</v>
      </c>
      <c r="EH83" s="143">
        <v>0</v>
      </c>
      <c r="EI83" s="143">
        <v>8</v>
      </c>
    </row>
    <row r="84" spans="1:139">
      <c r="A84" s="175">
        <v>3313</v>
      </c>
      <c r="B84" s="92" t="s">
        <v>366</v>
      </c>
      <c r="C84" s="176">
        <v>43</v>
      </c>
      <c r="D84" s="176">
        <v>156</v>
      </c>
      <c r="E84" s="177">
        <v>0</v>
      </c>
      <c r="F84" s="176">
        <v>0</v>
      </c>
      <c r="G84" s="178">
        <v>44147.262508931737</v>
      </c>
      <c r="H84" s="176">
        <v>61.360588235294031</v>
      </c>
      <c r="I84" s="176">
        <v>0</v>
      </c>
      <c r="J84" s="176">
        <v>0</v>
      </c>
      <c r="K84" s="178">
        <v>55</v>
      </c>
      <c r="L84" s="176">
        <v>0</v>
      </c>
      <c r="M84" s="137">
        <v>30</v>
      </c>
      <c r="N84" s="137">
        <v>26</v>
      </c>
      <c r="O84" s="137">
        <v>30</v>
      </c>
      <c r="P84" s="137">
        <v>30</v>
      </c>
      <c r="Q84" s="137">
        <v>27</v>
      </c>
      <c r="R84" s="137">
        <v>30</v>
      </c>
      <c r="S84" s="137"/>
      <c r="T84" s="137"/>
      <c r="U84" s="137"/>
      <c r="V84" s="137"/>
      <c r="W84" s="137"/>
      <c r="X84" s="137">
        <v>35</v>
      </c>
      <c r="Y84" s="137"/>
      <c r="Z84" s="137">
        <v>30</v>
      </c>
      <c r="AA84" s="137">
        <v>0</v>
      </c>
      <c r="AB84" s="176"/>
      <c r="AC84" s="176">
        <v>0</v>
      </c>
      <c r="AE84" s="179">
        <v>28.86315789473684</v>
      </c>
      <c r="AF84" s="179">
        <v>0</v>
      </c>
      <c r="AG84" s="179">
        <v>18807</v>
      </c>
      <c r="AH84" s="179">
        <v>10.75240247678019</v>
      </c>
      <c r="AJ84" s="178">
        <v>43</v>
      </c>
      <c r="AK84" s="176"/>
      <c r="AL84" s="176"/>
      <c r="AM84" s="176"/>
      <c r="AO84" s="176"/>
      <c r="AP84" s="176"/>
      <c r="AQ84" s="176">
        <v>57</v>
      </c>
      <c r="AR84" s="176">
        <v>0</v>
      </c>
      <c r="AS84" s="176">
        <v>0</v>
      </c>
      <c r="AT84" s="178">
        <v>1</v>
      </c>
      <c r="AU84" s="176"/>
      <c r="AV84" s="178">
        <v>1</v>
      </c>
      <c r="AW84" s="177"/>
      <c r="AX84" s="176">
        <v>0</v>
      </c>
      <c r="AY84" s="176"/>
      <c r="AZ84" s="178">
        <v>0</v>
      </c>
      <c r="BA84" s="176"/>
      <c r="BB84" s="176">
        <v>0</v>
      </c>
      <c r="BC84" s="176">
        <v>0</v>
      </c>
      <c r="BD84" s="180" t="s">
        <v>597</v>
      </c>
      <c r="BE84" s="176"/>
      <c r="BF84" s="178">
        <v>0</v>
      </c>
      <c r="BG84" s="176">
        <v>94</v>
      </c>
      <c r="BJ84" s="176"/>
      <c r="BL84" s="176"/>
      <c r="BM84" s="176"/>
      <c r="BN84" s="176"/>
      <c r="BO84" s="176">
        <v>0</v>
      </c>
      <c r="BP84" s="176">
        <v>0</v>
      </c>
      <c r="BQ84" s="176"/>
      <c r="BR84" s="176"/>
      <c r="BS84" s="176"/>
      <c r="BT84" s="176"/>
      <c r="BU84" s="176"/>
      <c r="BV84" s="176"/>
      <c r="BW84" s="178">
        <v>5733.6</v>
      </c>
      <c r="BX84" s="178">
        <v>1423.02</v>
      </c>
      <c r="BY84" s="92">
        <v>4856</v>
      </c>
      <c r="BZ84" s="92">
        <v>1589</v>
      </c>
      <c r="CA84" s="92">
        <v>0</v>
      </c>
      <c r="CB84" s="176"/>
      <c r="CC84" s="92">
        <v>1152</v>
      </c>
      <c r="CD84" s="92">
        <v>0</v>
      </c>
      <c r="CE84" s="178"/>
      <c r="CF84" s="178"/>
      <c r="CG84" s="178"/>
      <c r="CH84" s="178"/>
      <c r="CI84" s="178"/>
      <c r="CJ84" s="176">
        <v>0</v>
      </c>
      <c r="CK84" s="176">
        <v>0</v>
      </c>
      <c r="CQ84" s="232">
        <v>224</v>
      </c>
      <c r="CR84" s="232">
        <v>43</v>
      </c>
      <c r="CS84" s="176">
        <v>6.9</v>
      </c>
      <c r="CT84" s="92">
        <v>156</v>
      </c>
      <c r="CU84" s="92">
        <v>0</v>
      </c>
      <c r="CV84" s="92">
        <v>0</v>
      </c>
      <c r="CW84" s="92">
        <v>0</v>
      </c>
      <c r="DE84" s="92">
        <v>203</v>
      </c>
      <c r="DF84" s="135">
        <v>0</v>
      </c>
      <c r="DG84" s="92" t="s">
        <v>210</v>
      </c>
      <c r="DH84" s="92">
        <v>1</v>
      </c>
      <c r="DI84" s="92">
        <v>21.182266009852217</v>
      </c>
      <c r="DJ84" s="92">
        <v>10.263157894736842</v>
      </c>
      <c r="DK84" s="92">
        <v>10.231578947368421</v>
      </c>
      <c r="DL84" s="92">
        <v>8.3684210526315788</v>
      </c>
      <c r="DM84" s="92">
        <v>7410</v>
      </c>
      <c r="DN84" s="92">
        <v>5832</v>
      </c>
      <c r="DO84" s="92">
        <v>5565</v>
      </c>
      <c r="DP84" s="92">
        <v>0</v>
      </c>
      <c r="DQ84" s="92">
        <v>0</v>
      </c>
      <c r="DR84" s="92">
        <v>0</v>
      </c>
      <c r="DS84" s="92">
        <v>4.2364705882352967</v>
      </c>
      <c r="DT84" s="92">
        <v>3.3342910216718278</v>
      </c>
      <c r="DU84" s="92">
        <v>3.1816408668730665</v>
      </c>
      <c r="DZ84" s="139">
        <v>16</v>
      </c>
      <c r="EA84" s="139">
        <v>173</v>
      </c>
      <c r="EB84" s="139">
        <v>17</v>
      </c>
      <c r="EC84" s="139">
        <v>26</v>
      </c>
      <c r="ED84" s="139">
        <v>4</v>
      </c>
      <c r="EE84" s="139">
        <v>5</v>
      </c>
      <c r="EF84" s="143">
        <v>0</v>
      </c>
      <c r="EG84" s="143">
        <v>12</v>
      </c>
      <c r="EH84" s="143">
        <v>20</v>
      </c>
      <c r="EI84" s="143">
        <v>48</v>
      </c>
    </row>
    <row r="85" spans="1:139">
      <c r="A85" s="175">
        <v>3314</v>
      </c>
      <c r="B85" s="92" t="s">
        <v>609</v>
      </c>
      <c r="C85" s="176">
        <v>13</v>
      </c>
      <c r="D85" s="176">
        <v>59</v>
      </c>
      <c r="E85" s="177">
        <v>0</v>
      </c>
      <c r="F85" s="176">
        <v>0</v>
      </c>
      <c r="G85" s="178">
        <v>13386.714329580273</v>
      </c>
      <c r="H85" s="176">
        <v>39.869999999999997</v>
      </c>
      <c r="I85" s="176">
        <v>0</v>
      </c>
      <c r="J85" s="176">
        <v>0</v>
      </c>
      <c r="K85" s="178">
        <v>120</v>
      </c>
      <c r="L85" s="176">
        <v>0</v>
      </c>
      <c r="M85" s="137">
        <v>31</v>
      </c>
      <c r="N85" s="137">
        <v>30</v>
      </c>
      <c r="O85" s="137">
        <v>30</v>
      </c>
      <c r="P85" s="137">
        <v>30</v>
      </c>
      <c r="Q85" s="137">
        <v>25</v>
      </c>
      <c r="R85" s="137">
        <v>30</v>
      </c>
      <c r="S85" s="137"/>
      <c r="T85" s="137"/>
      <c r="U85" s="137"/>
      <c r="V85" s="137"/>
      <c r="W85" s="137"/>
      <c r="X85" s="137">
        <v>0</v>
      </c>
      <c r="Y85" s="137"/>
      <c r="Z85" s="137">
        <v>29</v>
      </c>
      <c r="AA85" s="137">
        <v>0</v>
      </c>
      <c r="AB85" s="176"/>
      <c r="AC85" s="176">
        <v>0</v>
      </c>
      <c r="AE85" s="179">
        <v>0</v>
      </c>
      <c r="AF85" s="179">
        <v>0</v>
      </c>
      <c r="AG85" s="179">
        <v>0</v>
      </c>
      <c r="AH85" s="179">
        <v>0</v>
      </c>
      <c r="AJ85" s="178">
        <v>13</v>
      </c>
      <c r="AK85" s="176"/>
      <c r="AL85" s="176"/>
      <c r="AM85" s="176"/>
      <c r="AN85" s="176">
        <v>1</v>
      </c>
      <c r="AO85" s="176"/>
      <c r="AP85" s="176"/>
      <c r="AQ85" s="176">
        <v>17</v>
      </c>
      <c r="AR85" s="176">
        <v>0</v>
      </c>
      <c r="AS85" s="176">
        <v>0</v>
      </c>
      <c r="AT85" s="178">
        <v>1</v>
      </c>
      <c r="AU85" s="176"/>
      <c r="AV85" s="178">
        <v>0</v>
      </c>
      <c r="AW85" s="177"/>
      <c r="AX85" s="176">
        <v>0</v>
      </c>
      <c r="AY85" s="176"/>
      <c r="AZ85" s="178">
        <v>0</v>
      </c>
      <c r="BA85" s="176"/>
      <c r="BB85" s="176">
        <v>0</v>
      </c>
      <c r="BC85" s="176">
        <v>0</v>
      </c>
      <c r="BD85" s="180" t="s">
        <v>597</v>
      </c>
      <c r="BE85" s="176"/>
      <c r="BF85" s="178">
        <v>0</v>
      </c>
      <c r="BG85" s="176">
        <v>59</v>
      </c>
      <c r="BJ85" s="176"/>
      <c r="BL85" s="176"/>
      <c r="BM85" s="176"/>
      <c r="BN85" s="176"/>
      <c r="BO85" s="176">
        <v>0</v>
      </c>
      <c r="BP85" s="176">
        <v>0</v>
      </c>
      <c r="BQ85" s="176"/>
      <c r="BR85" s="176"/>
      <c r="BS85" s="176"/>
      <c r="BT85" s="176"/>
      <c r="BU85" s="176"/>
      <c r="BV85" s="176"/>
      <c r="BW85" s="178">
        <v>0</v>
      </c>
      <c r="BX85" s="178">
        <v>1264.9100000000001</v>
      </c>
      <c r="BY85" s="92">
        <v>3482</v>
      </c>
      <c r="BZ85" s="92">
        <v>5046</v>
      </c>
      <c r="CA85" s="92">
        <v>0</v>
      </c>
      <c r="CB85" s="176"/>
      <c r="CC85" s="92">
        <v>1113.2</v>
      </c>
      <c r="CD85" s="92">
        <v>0</v>
      </c>
      <c r="CE85" s="178"/>
      <c r="CF85" s="178"/>
      <c r="CG85" s="178"/>
      <c r="CH85" s="178"/>
      <c r="CI85" s="178"/>
      <c r="CJ85" s="176">
        <v>0</v>
      </c>
      <c r="CK85" s="176">
        <v>0</v>
      </c>
      <c r="CQ85" s="232">
        <v>205</v>
      </c>
      <c r="CR85" s="232">
        <v>13</v>
      </c>
      <c r="CS85" s="176">
        <v>3.08</v>
      </c>
      <c r="CT85" s="92">
        <v>59</v>
      </c>
      <c r="CU85" s="92">
        <v>0</v>
      </c>
      <c r="CV85" s="92">
        <v>0</v>
      </c>
      <c r="CW85" s="92">
        <v>0</v>
      </c>
      <c r="DE85" s="92">
        <v>205</v>
      </c>
      <c r="DF85" s="135">
        <v>0</v>
      </c>
      <c r="DG85" s="92" t="s">
        <v>210</v>
      </c>
      <c r="DH85" s="92">
        <v>1</v>
      </c>
      <c r="DI85" s="92">
        <v>6.3414634146341466</v>
      </c>
      <c r="DJ85" s="92">
        <v>0</v>
      </c>
      <c r="DK85" s="92">
        <v>0</v>
      </c>
      <c r="DL85" s="92">
        <v>0</v>
      </c>
      <c r="DM85" s="92">
        <v>0</v>
      </c>
      <c r="DN85" s="92">
        <v>0</v>
      </c>
      <c r="DO85" s="92">
        <v>0</v>
      </c>
      <c r="DP85" s="92">
        <v>0</v>
      </c>
      <c r="DQ85" s="92">
        <v>0</v>
      </c>
      <c r="DR85" s="92">
        <v>0</v>
      </c>
      <c r="DS85" s="92">
        <v>0</v>
      </c>
      <c r="DT85" s="92">
        <v>0</v>
      </c>
      <c r="DU85" s="92">
        <v>0</v>
      </c>
      <c r="DZ85" s="139">
        <v>15</v>
      </c>
      <c r="EA85" s="139">
        <v>176</v>
      </c>
      <c r="EB85" s="139">
        <v>3</v>
      </c>
      <c r="EC85" s="139">
        <v>41</v>
      </c>
      <c r="ED85" s="139">
        <v>0</v>
      </c>
      <c r="EE85" s="139">
        <v>9</v>
      </c>
      <c r="EF85" s="143">
        <v>2</v>
      </c>
      <c r="EG85" s="143">
        <v>2</v>
      </c>
      <c r="EH85" s="143">
        <v>4</v>
      </c>
      <c r="EI85" s="143">
        <v>25</v>
      </c>
    </row>
    <row r="86" spans="1:139">
      <c r="A86" s="175">
        <v>3507</v>
      </c>
      <c r="B86" s="92" t="s">
        <v>367</v>
      </c>
      <c r="C86" s="176">
        <v>24</v>
      </c>
      <c r="D86" s="176">
        <v>117</v>
      </c>
      <c r="E86" s="177">
        <v>0</v>
      </c>
      <c r="F86" s="176">
        <v>0</v>
      </c>
      <c r="G86" s="178">
        <v>25525.365781113851</v>
      </c>
      <c r="H86" s="176">
        <v>33.11</v>
      </c>
      <c r="I86" s="176">
        <v>0</v>
      </c>
      <c r="J86" s="176">
        <v>0</v>
      </c>
      <c r="K86" s="178">
        <v>0</v>
      </c>
      <c r="L86" s="176">
        <v>0</v>
      </c>
      <c r="M86" s="137">
        <v>27</v>
      </c>
      <c r="N86" s="137">
        <v>30</v>
      </c>
      <c r="O86" s="137">
        <v>28</v>
      </c>
      <c r="P86" s="137">
        <v>29</v>
      </c>
      <c r="Q86" s="137">
        <v>28</v>
      </c>
      <c r="R86" s="137">
        <v>29</v>
      </c>
      <c r="S86" s="137"/>
      <c r="T86" s="137"/>
      <c r="U86" s="137"/>
      <c r="V86" s="137"/>
      <c r="W86" s="137"/>
      <c r="X86" s="137">
        <v>0</v>
      </c>
      <c r="Y86" s="137"/>
      <c r="Z86" s="137">
        <v>28</v>
      </c>
      <c r="AA86" s="137">
        <v>0</v>
      </c>
      <c r="AB86" s="176"/>
      <c r="AC86" s="176">
        <v>0</v>
      </c>
      <c r="AE86" s="179">
        <v>0</v>
      </c>
      <c r="AF86" s="179">
        <v>0</v>
      </c>
      <c r="AG86" s="179">
        <v>0</v>
      </c>
      <c r="AH86" s="179">
        <v>0</v>
      </c>
      <c r="AJ86" s="178">
        <v>24</v>
      </c>
      <c r="AK86" s="176"/>
      <c r="AL86" s="176"/>
      <c r="AM86" s="176"/>
      <c r="AO86" s="176"/>
      <c r="AP86" s="176"/>
      <c r="AQ86" s="176">
        <v>29</v>
      </c>
      <c r="AR86" s="176">
        <v>0</v>
      </c>
      <c r="AS86" s="176">
        <v>0</v>
      </c>
      <c r="AT86" s="178">
        <v>1</v>
      </c>
      <c r="AU86" s="176"/>
      <c r="AV86" s="178">
        <v>0</v>
      </c>
      <c r="AW86" s="177"/>
      <c r="AX86" s="176">
        <v>0</v>
      </c>
      <c r="AY86" s="176"/>
      <c r="AZ86" s="178">
        <v>1</v>
      </c>
      <c r="BA86" s="176"/>
      <c r="BB86" s="176">
        <v>0</v>
      </c>
      <c r="BC86" s="176">
        <v>0</v>
      </c>
      <c r="BD86" s="180" t="s">
        <v>597</v>
      </c>
      <c r="BE86" s="176"/>
      <c r="BF86" s="178">
        <v>0</v>
      </c>
      <c r="BG86" s="176">
        <v>48</v>
      </c>
      <c r="BJ86" s="176"/>
      <c r="BL86" s="176"/>
      <c r="BM86" s="176"/>
      <c r="BN86" s="176"/>
      <c r="BO86" s="176">
        <v>0</v>
      </c>
      <c r="BP86" s="176">
        <v>0</v>
      </c>
      <c r="BQ86" s="176"/>
      <c r="BR86" s="176"/>
      <c r="BS86" s="176"/>
      <c r="BT86" s="176"/>
      <c r="BU86" s="176"/>
      <c r="BV86" s="176"/>
      <c r="BW86" s="178">
        <v>0</v>
      </c>
      <c r="BX86" s="178">
        <v>0</v>
      </c>
      <c r="BY86" s="92">
        <v>5345</v>
      </c>
      <c r="BZ86" s="92">
        <v>1757</v>
      </c>
      <c r="CA86" s="92">
        <v>0</v>
      </c>
      <c r="CB86" s="176"/>
      <c r="CC86" s="92">
        <v>1287</v>
      </c>
      <c r="CD86" s="92">
        <v>0</v>
      </c>
      <c r="CE86" s="178"/>
      <c r="CF86" s="178"/>
      <c r="CG86" s="178"/>
      <c r="CH86" s="178"/>
      <c r="CI86" s="178"/>
      <c r="CJ86" s="176">
        <v>0</v>
      </c>
      <c r="CK86" s="176">
        <v>0</v>
      </c>
      <c r="CQ86" s="232">
        <v>199</v>
      </c>
      <c r="CR86" s="232">
        <v>24</v>
      </c>
      <c r="CS86" s="176">
        <v>1.96</v>
      </c>
      <c r="CT86" s="92">
        <v>117</v>
      </c>
      <c r="CU86" s="92">
        <v>0</v>
      </c>
      <c r="CV86" s="92">
        <v>0</v>
      </c>
      <c r="CW86" s="92">
        <v>0</v>
      </c>
      <c r="DE86" s="92">
        <v>199</v>
      </c>
      <c r="DF86" s="135">
        <v>0</v>
      </c>
      <c r="DG86" s="92" t="s">
        <v>210</v>
      </c>
      <c r="DH86" s="92">
        <v>1</v>
      </c>
      <c r="DI86" s="92">
        <v>12.060301507537687</v>
      </c>
      <c r="DJ86" s="92">
        <v>0</v>
      </c>
      <c r="DK86" s="92">
        <v>0</v>
      </c>
      <c r="DL86" s="92">
        <v>0</v>
      </c>
      <c r="DM86" s="92">
        <v>0</v>
      </c>
      <c r="DN86" s="92">
        <v>0</v>
      </c>
      <c r="DO86" s="92">
        <v>0</v>
      </c>
      <c r="DP86" s="92">
        <v>0</v>
      </c>
      <c r="DQ86" s="92">
        <v>0</v>
      </c>
      <c r="DR86" s="92">
        <v>0</v>
      </c>
      <c r="DS86" s="92">
        <v>0</v>
      </c>
      <c r="DT86" s="92">
        <v>0</v>
      </c>
      <c r="DU86" s="92">
        <v>0</v>
      </c>
      <c r="DZ86" s="139">
        <v>13</v>
      </c>
      <c r="EA86" s="139">
        <v>171</v>
      </c>
      <c r="EB86" s="139">
        <v>11</v>
      </c>
      <c r="EC86" s="139">
        <v>14</v>
      </c>
      <c r="ED86" s="139">
        <v>0</v>
      </c>
      <c r="EE86" s="139">
        <v>1</v>
      </c>
      <c r="EF86" s="143">
        <v>6</v>
      </c>
      <c r="EG86" s="143">
        <v>8</v>
      </c>
      <c r="EH86" s="143">
        <v>6</v>
      </c>
      <c r="EI86" s="143">
        <v>25</v>
      </c>
    </row>
    <row r="87" spans="1:139">
      <c r="A87" s="175">
        <v>3506</v>
      </c>
      <c r="B87" s="92" t="s">
        <v>368</v>
      </c>
      <c r="C87" s="176">
        <v>34</v>
      </c>
      <c r="D87" s="176">
        <v>115</v>
      </c>
      <c r="E87" s="177">
        <v>0</v>
      </c>
      <c r="F87" s="176">
        <v>0</v>
      </c>
      <c r="G87" s="178">
        <v>22986.8185963705</v>
      </c>
      <c r="H87" s="176">
        <v>76.819999999999993</v>
      </c>
      <c r="I87" s="176">
        <v>0</v>
      </c>
      <c r="J87" s="176">
        <v>0</v>
      </c>
      <c r="K87" s="178">
        <v>158.74910522548316</v>
      </c>
      <c r="L87" s="176">
        <v>0</v>
      </c>
      <c r="M87" s="137">
        <v>45</v>
      </c>
      <c r="N87" s="137">
        <v>45</v>
      </c>
      <c r="O87" s="137">
        <v>45</v>
      </c>
      <c r="P87" s="137">
        <v>45</v>
      </c>
      <c r="Q87" s="137">
        <v>45</v>
      </c>
      <c r="R87" s="137">
        <v>45</v>
      </c>
      <c r="S87" s="137"/>
      <c r="T87" s="137"/>
      <c r="U87" s="137"/>
      <c r="V87" s="137"/>
      <c r="W87" s="137"/>
      <c r="X87" s="137">
        <v>0</v>
      </c>
      <c r="Y87" s="137"/>
      <c r="Z87" s="137">
        <v>45</v>
      </c>
      <c r="AA87" s="137">
        <v>0</v>
      </c>
      <c r="AB87" s="176"/>
      <c r="AC87" s="176">
        <v>0</v>
      </c>
      <c r="AE87" s="179">
        <v>0</v>
      </c>
      <c r="AF87" s="179">
        <v>0</v>
      </c>
      <c r="AG87" s="179">
        <v>0</v>
      </c>
      <c r="AH87" s="179">
        <v>0</v>
      </c>
      <c r="AJ87" s="178">
        <v>34</v>
      </c>
      <c r="AK87" s="176"/>
      <c r="AL87" s="176"/>
      <c r="AM87" s="176"/>
      <c r="AO87" s="176"/>
      <c r="AP87" s="176"/>
      <c r="AQ87" s="176">
        <v>41</v>
      </c>
      <c r="AR87" s="176">
        <v>0</v>
      </c>
      <c r="AS87" s="176">
        <v>0</v>
      </c>
      <c r="AT87" s="178">
        <v>1</v>
      </c>
      <c r="AU87" s="176"/>
      <c r="AV87" s="178">
        <v>1</v>
      </c>
      <c r="AW87" s="177"/>
      <c r="AX87" s="176">
        <v>1</v>
      </c>
      <c r="AY87" s="176"/>
      <c r="AZ87" s="178">
        <v>0</v>
      </c>
      <c r="BA87" s="176"/>
      <c r="BB87" s="176">
        <v>0</v>
      </c>
      <c r="BC87" s="176">
        <v>0</v>
      </c>
      <c r="BD87" s="180" t="s">
        <v>597</v>
      </c>
      <c r="BE87" s="176"/>
      <c r="BF87" s="178">
        <v>0</v>
      </c>
      <c r="BG87" s="176">
        <v>105</v>
      </c>
      <c r="BJ87" s="176"/>
      <c r="BL87" s="176"/>
      <c r="BM87" s="176"/>
      <c r="BN87" s="176"/>
      <c r="BO87" s="176">
        <v>0</v>
      </c>
      <c r="BP87" s="176">
        <v>0</v>
      </c>
      <c r="BQ87" s="176"/>
      <c r="BR87" s="176"/>
      <c r="BS87" s="176"/>
      <c r="BT87" s="176"/>
      <c r="BU87" s="176"/>
      <c r="BV87" s="176"/>
      <c r="BW87" s="178">
        <v>0</v>
      </c>
      <c r="BX87" s="178">
        <v>0</v>
      </c>
      <c r="BY87" s="92">
        <v>18547</v>
      </c>
      <c r="BZ87" s="92">
        <v>1473</v>
      </c>
      <c r="CA87" s="92">
        <v>0</v>
      </c>
      <c r="CB87" s="176"/>
      <c r="CC87" s="92">
        <v>1631</v>
      </c>
      <c r="CD87" s="92">
        <v>0</v>
      </c>
      <c r="CE87" s="178"/>
      <c r="CF87" s="178"/>
      <c r="CG87" s="178"/>
      <c r="CH87" s="178"/>
      <c r="CI87" s="178"/>
      <c r="CJ87" s="176">
        <v>0</v>
      </c>
      <c r="CK87" s="176">
        <v>0</v>
      </c>
      <c r="CQ87" s="232">
        <v>315</v>
      </c>
      <c r="CR87" s="232">
        <v>34</v>
      </c>
      <c r="CS87" s="176">
        <v>8.1</v>
      </c>
      <c r="CT87" s="92">
        <v>115</v>
      </c>
      <c r="CU87" s="92">
        <v>0</v>
      </c>
      <c r="CV87" s="92">
        <v>0</v>
      </c>
      <c r="CW87" s="92">
        <v>0</v>
      </c>
      <c r="DE87" s="92">
        <v>315</v>
      </c>
      <c r="DF87" s="135">
        <v>0</v>
      </c>
      <c r="DG87" s="92" t="s">
        <v>210</v>
      </c>
      <c r="DH87" s="92">
        <v>1</v>
      </c>
      <c r="DI87" s="92">
        <v>10.793650793650794</v>
      </c>
      <c r="DJ87" s="92">
        <v>0</v>
      </c>
      <c r="DK87" s="92">
        <v>0</v>
      </c>
      <c r="DL87" s="92">
        <v>0</v>
      </c>
      <c r="DM87" s="92">
        <v>0</v>
      </c>
      <c r="DN87" s="92">
        <v>0</v>
      </c>
      <c r="DO87" s="92">
        <v>0</v>
      </c>
      <c r="DP87" s="92">
        <v>0</v>
      </c>
      <c r="DQ87" s="92">
        <v>0</v>
      </c>
      <c r="DR87" s="92">
        <v>0</v>
      </c>
      <c r="DS87" s="92">
        <v>0</v>
      </c>
      <c r="DT87" s="92">
        <v>0</v>
      </c>
      <c r="DU87" s="92">
        <v>0</v>
      </c>
      <c r="DZ87" s="139">
        <v>21</v>
      </c>
      <c r="EA87" s="139">
        <v>270</v>
      </c>
      <c r="EB87" s="139">
        <v>18</v>
      </c>
      <c r="EC87" s="139">
        <v>30</v>
      </c>
      <c r="ED87" s="139">
        <v>2</v>
      </c>
      <c r="EE87" s="139">
        <v>15</v>
      </c>
      <c r="EF87" s="143">
        <v>4</v>
      </c>
      <c r="EG87" s="143">
        <v>10</v>
      </c>
      <c r="EH87" s="143">
        <v>8</v>
      </c>
      <c r="EI87" s="143">
        <v>23</v>
      </c>
    </row>
    <row r="88" spans="1:139">
      <c r="A88" s="175">
        <v>2052</v>
      </c>
      <c r="B88" s="92" t="s">
        <v>369</v>
      </c>
      <c r="C88" s="176">
        <v>99</v>
      </c>
      <c r="D88" s="176">
        <v>769</v>
      </c>
      <c r="E88" s="177">
        <v>0</v>
      </c>
      <c r="F88" s="176">
        <v>72</v>
      </c>
      <c r="G88" s="178">
        <v>63675.808889462853</v>
      </c>
      <c r="H88" s="176">
        <v>108.6808612440189</v>
      </c>
      <c r="I88" s="176">
        <v>204652.82310000001</v>
      </c>
      <c r="J88" s="176">
        <v>0</v>
      </c>
      <c r="K88" s="178">
        <v>85</v>
      </c>
      <c r="L88" s="176">
        <v>0</v>
      </c>
      <c r="M88" s="137">
        <v>53</v>
      </c>
      <c r="N88" s="137">
        <v>57</v>
      </c>
      <c r="O88" s="137">
        <v>53</v>
      </c>
      <c r="P88" s="137">
        <v>52</v>
      </c>
      <c r="Q88" s="137">
        <v>46</v>
      </c>
      <c r="R88" s="137">
        <v>49</v>
      </c>
      <c r="S88" s="137"/>
      <c r="T88" s="137"/>
      <c r="U88" s="137"/>
      <c r="V88" s="137"/>
      <c r="W88" s="137"/>
      <c r="X88" s="137">
        <v>48</v>
      </c>
      <c r="Y88" s="137"/>
      <c r="Z88" s="137">
        <v>60</v>
      </c>
      <c r="AA88" s="137">
        <v>0</v>
      </c>
      <c r="AB88" s="176"/>
      <c r="AC88" s="176">
        <v>0</v>
      </c>
      <c r="AE88" s="179">
        <v>30</v>
      </c>
      <c r="AF88" s="179">
        <v>94.94736842105263</v>
      </c>
      <c r="AG88" s="179">
        <v>27060</v>
      </c>
      <c r="AH88" s="179">
        <v>14.575431131019036</v>
      </c>
      <c r="AJ88" s="178">
        <v>99</v>
      </c>
      <c r="AK88" s="176"/>
      <c r="AL88" s="176"/>
      <c r="AM88" s="176"/>
      <c r="AO88" s="176"/>
      <c r="AP88" s="176"/>
      <c r="AQ88" s="176">
        <v>141</v>
      </c>
      <c r="AR88" s="176">
        <v>0</v>
      </c>
      <c r="AS88" s="176">
        <v>0</v>
      </c>
      <c r="AT88" s="178">
        <v>1</v>
      </c>
      <c r="AU88" s="176"/>
      <c r="AV88" s="178">
        <v>2</v>
      </c>
      <c r="AW88" s="177"/>
      <c r="AX88" s="176">
        <v>0</v>
      </c>
      <c r="AY88" s="176"/>
      <c r="AZ88" s="178">
        <v>0</v>
      </c>
      <c r="BA88" s="176"/>
      <c r="BB88" s="176">
        <v>0</v>
      </c>
      <c r="BC88" s="176">
        <v>0</v>
      </c>
      <c r="BD88" s="180" t="s">
        <v>214</v>
      </c>
      <c r="BE88" s="176"/>
      <c r="BF88" s="178">
        <v>398.8</v>
      </c>
      <c r="BG88" s="176">
        <v>147</v>
      </c>
      <c r="BJ88" s="176"/>
      <c r="BL88" s="176"/>
      <c r="BM88" s="176"/>
      <c r="BN88" s="176"/>
      <c r="BO88" s="176">
        <v>1</v>
      </c>
      <c r="BP88" s="176">
        <v>54528.972831231542</v>
      </c>
      <c r="BQ88" s="176"/>
      <c r="BR88" s="176"/>
      <c r="BS88" s="176"/>
      <c r="BT88" s="176"/>
      <c r="BU88" s="176"/>
      <c r="BV88" s="176"/>
      <c r="BW88" s="178">
        <v>0</v>
      </c>
      <c r="BX88" s="178">
        <v>0</v>
      </c>
      <c r="BY88" s="92">
        <v>25900</v>
      </c>
      <c r="BZ88" s="92">
        <v>4718</v>
      </c>
      <c r="CA88" s="92">
        <v>22442</v>
      </c>
      <c r="CB88" s="176"/>
      <c r="CC88" s="92">
        <v>2815</v>
      </c>
      <c r="CD88" s="92">
        <v>0</v>
      </c>
      <c r="CE88" s="178"/>
      <c r="CF88" s="178"/>
      <c r="CG88" s="178"/>
      <c r="CH88" s="178"/>
      <c r="CI88" s="178"/>
      <c r="CJ88" s="176">
        <v>0</v>
      </c>
      <c r="CK88" s="176">
        <v>0</v>
      </c>
      <c r="CQ88" s="232">
        <v>398.8</v>
      </c>
      <c r="CR88" s="232">
        <v>99</v>
      </c>
      <c r="CS88" s="176">
        <v>31.2</v>
      </c>
      <c r="CT88" s="92">
        <v>769</v>
      </c>
      <c r="CU88" s="92">
        <v>0</v>
      </c>
      <c r="CV88" s="92">
        <v>0</v>
      </c>
      <c r="CW88" s="92">
        <v>0</v>
      </c>
      <c r="DE88" s="92">
        <v>370</v>
      </c>
      <c r="DF88" s="135">
        <v>0</v>
      </c>
      <c r="DG88" s="92" t="s">
        <v>210</v>
      </c>
      <c r="DH88" s="92">
        <v>1</v>
      </c>
      <c r="DI88" s="92">
        <v>26.756756756756754</v>
      </c>
      <c r="DJ88" s="92">
        <v>10.263157894736842</v>
      </c>
      <c r="DK88" s="92">
        <v>11.368421052631579</v>
      </c>
      <c r="DL88" s="92">
        <v>8.3684210526315788</v>
      </c>
      <c r="DM88" s="92">
        <v>10140</v>
      </c>
      <c r="DN88" s="92">
        <v>9288</v>
      </c>
      <c r="DO88" s="92">
        <v>7632</v>
      </c>
      <c r="DP88" s="92">
        <v>35.578947368421055</v>
      </c>
      <c r="DQ88" s="92">
        <v>32.589473684210532</v>
      </c>
      <c r="DR88" s="92">
        <v>26.778947368421051</v>
      </c>
      <c r="DS88" s="92">
        <v>5.4617469204927209</v>
      </c>
      <c r="DT88" s="92">
        <v>5.0028309070548707</v>
      </c>
      <c r="DU88" s="92">
        <v>4.1108533034714441</v>
      </c>
      <c r="DZ88" s="139">
        <v>72</v>
      </c>
      <c r="EA88" s="139">
        <v>310</v>
      </c>
      <c r="EB88" s="139">
        <v>26</v>
      </c>
      <c r="EC88" s="139">
        <v>34</v>
      </c>
      <c r="ED88" s="139">
        <v>6</v>
      </c>
      <c r="EE88" s="139">
        <v>17</v>
      </c>
      <c r="EF88" s="143">
        <v>34</v>
      </c>
      <c r="EG88" s="143">
        <v>80</v>
      </c>
      <c r="EH88" s="143">
        <v>32</v>
      </c>
      <c r="EI88" s="143">
        <v>115</v>
      </c>
    </row>
    <row r="89" spans="1:139">
      <c r="A89" s="175">
        <v>2070</v>
      </c>
      <c r="B89" s="92" t="s">
        <v>370</v>
      </c>
      <c r="C89" s="176">
        <v>71</v>
      </c>
      <c r="D89" s="176">
        <v>485</v>
      </c>
      <c r="E89" s="177">
        <v>0</v>
      </c>
      <c r="F89" s="176">
        <v>0</v>
      </c>
      <c r="G89" s="178">
        <v>75363.266598833754</v>
      </c>
      <c r="H89" s="176">
        <v>49.16011673151759</v>
      </c>
      <c r="I89" s="176">
        <v>0</v>
      </c>
      <c r="J89" s="176">
        <v>0</v>
      </c>
      <c r="K89" s="178">
        <v>125</v>
      </c>
      <c r="L89" s="176">
        <v>0</v>
      </c>
      <c r="M89" s="137">
        <v>30</v>
      </c>
      <c r="N89" s="137">
        <v>30</v>
      </c>
      <c r="O89" s="137">
        <v>31</v>
      </c>
      <c r="P89" s="137">
        <v>27</v>
      </c>
      <c r="Q89" s="137">
        <v>27</v>
      </c>
      <c r="R89" s="137">
        <v>30</v>
      </c>
      <c r="S89" s="137"/>
      <c r="T89" s="137"/>
      <c r="U89" s="137"/>
      <c r="V89" s="137"/>
      <c r="W89" s="137"/>
      <c r="X89" s="137">
        <v>52</v>
      </c>
      <c r="Y89" s="137"/>
      <c r="Z89" s="137">
        <v>30</v>
      </c>
      <c r="AA89" s="137">
        <v>0</v>
      </c>
      <c r="AB89" s="176"/>
      <c r="AC89" s="176">
        <v>0</v>
      </c>
      <c r="AE89" s="179">
        <v>30</v>
      </c>
      <c r="AF89" s="179">
        <v>91.26315789473685</v>
      </c>
      <c r="AG89" s="179">
        <v>26010</v>
      </c>
      <c r="AH89" s="179">
        <v>10.923641245972075</v>
      </c>
      <c r="AJ89" s="178">
        <v>71</v>
      </c>
      <c r="AK89" s="176"/>
      <c r="AL89" s="176"/>
      <c r="AM89" s="176"/>
      <c r="AO89" s="176"/>
      <c r="AP89" s="176"/>
      <c r="AQ89" s="176">
        <v>83</v>
      </c>
      <c r="AR89" s="176">
        <v>0</v>
      </c>
      <c r="AS89" s="176">
        <v>0</v>
      </c>
      <c r="AT89" s="178">
        <v>1</v>
      </c>
      <c r="AU89" s="176"/>
      <c r="AV89" s="178">
        <v>3</v>
      </c>
      <c r="AW89" s="177"/>
      <c r="AX89" s="176">
        <v>0</v>
      </c>
      <c r="AY89" s="176"/>
      <c r="AZ89" s="178">
        <v>0</v>
      </c>
      <c r="BA89" s="176"/>
      <c r="BB89" s="176">
        <v>0</v>
      </c>
      <c r="BC89" s="176">
        <v>0</v>
      </c>
      <c r="BD89" s="180" t="s">
        <v>214</v>
      </c>
      <c r="BE89" s="176"/>
      <c r="BF89" s="178">
        <v>236.2</v>
      </c>
      <c r="BG89" s="176">
        <v>97</v>
      </c>
      <c r="BJ89" s="176"/>
      <c r="BL89" s="176"/>
      <c r="BM89" s="176"/>
      <c r="BN89" s="176"/>
      <c r="BO89" s="176">
        <v>0</v>
      </c>
      <c r="BP89" s="176">
        <v>0</v>
      </c>
      <c r="BQ89" s="176"/>
      <c r="BR89" s="176"/>
      <c r="BS89" s="176"/>
      <c r="BT89" s="176"/>
      <c r="BU89" s="176"/>
      <c r="BV89" s="176"/>
      <c r="BW89" s="178">
        <v>0</v>
      </c>
      <c r="BX89" s="178">
        <v>1264.9100000000001</v>
      </c>
      <c r="BY89" s="92">
        <v>12700</v>
      </c>
      <c r="BZ89" s="92">
        <v>2253</v>
      </c>
      <c r="CA89" s="92">
        <v>12137</v>
      </c>
      <c r="CB89" s="176"/>
      <c r="CC89" s="92">
        <v>1132</v>
      </c>
      <c r="CD89" s="92">
        <v>0</v>
      </c>
      <c r="CE89" s="178"/>
      <c r="CF89" s="178"/>
      <c r="CG89" s="178"/>
      <c r="CH89" s="178"/>
      <c r="CI89" s="178"/>
      <c r="CJ89" s="176">
        <v>0</v>
      </c>
      <c r="CK89" s="176">
        <v>0</v>
      </c>
      <c r="CQ89" s="232">
        <v>236.2</v>
      </c>
      <c r="CR89" s="232">
        <v>72.8</v>
      </c>
      <c r="CS89" s="176">
        <v>9.1</v>
      </c>
      <c r="CT89" s="92">
        <v>485</v>
      </c>
      <c r="CU89" s="92">
        <v>0</v>
      </c>
      <c r="CV89" s="92">
        <v>0</v>
      </c>
      <c r="CW89" s="92">
        <v>0</v>
      </c>
      <c r="DE89" s="92">
        <v>205</v>
      </c>
      <c r="DF89" s="135">
        <v>0</v>
      </c>
      <c r="DG89" s="92" t="s">
        <v>210</v>
      </c>
      <c r="DH89" s="92">
        <v>1</v>
      </c>
      <c r="DI89" s="92">
        <v>34.634146341463413</v>
      </c>
      <c r="DJ89" s="92">
        <v>10.263157894736842</v>
      </c>
      <c r="DK89" s="92">
        <v>11.368421052631579</v>
      </c>
      <c r="DL89" s="92">
        <v>8.3684210526315788</v>
      </c>
      <c r="DM89" s="92">
        <v>9750</v>
      </c>
      <c r="DN89" s="92">
        <v>7992</v>
      </c>
      <c r="DO89" s="92">
        <v>8268</v>
      </c>
      <c r="DP89" s="92">
        <v>34.210526315789473</v>
      </c>
      <c r="DQ89" s="92">
        <v>28.042105263157897</v>
      </c>
      <c r="DR89" s="92">
        <v>29.01052631578947</v>
      </c>
      <c r="DS89" s="92">
        <v>4.0947905477980671</v>
      </c>
      <c r="DT89" s="92">
        <v>3.3564683136412468</v>
      </c>
      <c r="DU89" s="92">
        <v>3.4723823845327608</v>
      </c>
      <c r="DZ89" s="139">
        <v>32</v>
      </c>
      <c r="EA89" s="139">
        <v>175</v>
      </c>
      <c r="EB89" s="139">
        <v>18</v>
      </c>
      <c r="EC89" s="139">
        <v>25</v>
      </c>
      <c r="ED89" s="139">
        <v>5</v>
      </c>
      <c r="EE89" s="139">
        <v>3</v>
      </c>
      <c r="EF89" s="143">
        <v>22</v>
      </c>
      <c r="EG89" s="143">
        <v>36</v>
      </c>
      <c r="EH89" s="143">
        <v>34</v>
      </c>
      <c r="EI89" s="143">
        <v>85</v>
      </c>
    </row>
    <row r="90" spans="1:139">
      <c r="A90" s="175">
        <v>3500</v>
      </c>
      <c r="B90" s="92" t="s">
        <v>371</v>
      </c>
      <c r="C90" s="176">
        <v>19</v>
      </c>
      <c r="D90" s="176">
        <v>158</v>
      </c>
      <c r="E90" s="177">
        <v>0</v>
      </c>
      <c r="F90" s="176">
        <v>0</v>
      </c>
      <c r="G90" s="178">
        <v>23344.666104629418</v>
      </c>
      <c r="H90" s="176">
        <v>67.624521739130444</v>
      </c>
      <c r="I90" s="176">
        <v>0</v>
      </c>
      <c r="J90" s="176">
        <v>0</v>
      </c>
      <c r="K90" s="178">
        <v>80</v>
      </c>
      <c r="L90" s="176">
        <v>0</v>
      </c>
      <c r="M90" s="137">
        <v>60</v>
      </c>
      <c r="N90" s="137">
        <v>58</v>
      </c>
      <c r="O90" s="137">
        <v>0</v>
      </c>
      <c r="P90" s="137">
        <v>0</v>
      </c>
      <c r="Q90" s="137">
        <v>0</v>
      </c>
      <c r="R90" s="137">
        <v>0</v>
      </c>
      <c r="S90" s="137"/>
      <c r="T90" s="137"/>
      <c r="U90" s="137"/>
      <c r="V90" s="137"/>
      <c r="W90" s="137"/>
      <c r="X90" s="137">
        <v>52</v>
      </c>
      <c r="Y90" s="137"/>
      <c r="Z90" s="137">
        <v>60</v>
      </c>
      <c r="AA90" s="137">
        <v>0</v>
      </c>
      <c r="AB90" s="176"/>
      <c r="AC90" s="176">
        <v>0</v>
      </c>
      <c r="AE90" s="179">
        <v>30</v>
      </c>
      <c r="AF90" s="179">
        <v>0</v>
      </c>
      <c r="AG90" s="179">
        <v>29445</v>
      </c>
      <c r="AH90" s="179">
        <v>20.832039473684208</v>
      </c>
      <c r="AJ90" s="178">
        <v>19</v>
      </c>
      <c r="AK90" s="176"/>
      <c r="AL90" s="176"/>
      <c r="AM90" s="176"/>
      <c r="AO90" s="176"/>
      <c r="AP90" s="176"/>
      <c r="AQ90" s="176">
        <v>23</v>
      </c>
      <c r="AR90" s="176">
        <v>0</v>
      </c>
      <c r="AS90" s="176">
        <v>0</v>
      </c>
      <c r="AT90" s="178">
        <v>1</v>
      </c>
      <c r="AU90" s="176"/>
      <c r="AV90" s="178">
        <v>0</v>
      </c>
      <c r="AW90" s="177"/>
      <c r="AX90" s="176">
        <v>0</v>
      </c>
      <c r="AY90" s="176"/>
      <c r="AZ90" s="178">
        <v>0</v>
      </c>
      <c r="BA90" s="176"/>
      <c r="BB90" s="176">
        <v>0</v>
      </c>
      <c r="BC90" s="176">
        <v>0</v>
      </c>
      <c r="BD90" s="180" t="s">
        <v>597</v>
      </c>
      <c r="BE90" s="176"/>
      <c r="BF90" s="178">
        <v>0</v>
      </c>
      <c r="BG90" s="176">
        <v>97</v>
      </c>
      <c r="BJ90" s="176"/>
      <c r="BL90" s="176"/>
      <c r="BM90" s="176"/>
      <c r="BN90" s="176"/>
      <c r="BO90" s="176">
        <v>0</v>
      </c>
      <c r="BP90" s="176">
        <v>0</v>
      </c>
      <c r="BQ90" s="176"/>
      <c r="BR90" s="176"/>
      <c r="BS90" s="176"/>
      <c r="BT90" s="176"/>
      <c r="BU90" s="176"/>
      <c r="BV90" s="176"/>
      <c r="BW90" s="178">
        <v>5185.4399999999996</v>
      </c>
      <c r="BX90" s="178">
        <v>1423.02</v>
      </c>
      <c r="BY90" s="92">
        <v>2465</v>
      </c>
      <c r="BZ90" s="92">
        <v>1960</v>
      </c>
      <c r="CA90" s="92">
        <v>0</v>
      </c>
      <c r="CB90" s="176"/>
      <c r="CC90" s="92">
        <v>1132</v>
      </c>
      <c r="CD90" s="92">
        <v>0</v>
      </c>
      <c r="CE90" s="178"/>
      <c r="CF90" s="178"/>
      <c r="CG90" s="178"/>
      <c r="CH90" s="178"/>
      <c r="CI90" s="178"/>
      <c r="CJ90" s="176">
        <v>0</v>
      </c>
      <c r="CK90" s="176">
        <v>0</v>
      </c>
      <c r="CQ90" s="232">
        <v>209.2</v>
      </c>
      <c r="CR90" s="232">
        <v>19</v>
      </c>
      <c r="CS90" s="176">
        <v>1</v>
      </c>
      <c r="CT90" s="92">
        <v>158</v>
      </c>
      <c r="CU90" s="92">
        <v>0</v>
      </c>
      <c r="CV90" s="92">
        <v>0</v>
      </c>
      <c r="CW90" s="92">
        <v>0</v>
      </c>
      <c r="DE90" s="92">
        <v>178</v>
      </c>
      <c r="DF90" s="135">
        <v>0</v>
      </c>
      <c r="DG90" s="92" t="s">
        <v>280</v>
      </c>
      <c r="DH90" s="92">
        <v>1</v>
      </c>
      <c r="DI90" s="92">
        <v>10.674157303370785</v>
      </c>
      <c r="DJ90" s="92">
        <v>10.263157894736842</v>
      </c>
      <c r="DK90" s="92">
        <v>11.368421052631579</v>
      </c>
      <c r="DL90" s="92">
        <v>8.3684210526315788</v>
      </c>
      <c r="DM90" s="92">
        <v>9945</v>
      </c>
      <c r="DN90" s="92">
        <v>11232</v>
      </c>
      <c r="DO90" s="92">
        <v>8268</v>
      </c>
      <c r="DP90" s="92">
        <v>0</v>
      </c>
      <c r="DQ90" s="92">
        <v>0</v>
      </c>
      <c r="DR90" s="92">
        <v>0</v>
      </c>
      <c r="DS90" s="92">
        <v>7.0359868421052632</v>
      </c>
      <c r="DT90" s="92">
        <v>7.9465263157894741</v>
      </c>
      <c r="DU90" s="92">
        <v>5.8495263157894728</v>
      </c>
      <c r="DZ90" s="139">
        <v>6</v>
      </c>
      <c r="EA90" s="139">
        <v>118</v>
      </c>
      <c r="EB90" s="139">
        <v>4</v>
      </c>
      <c r="EC90" s="139">
        <v>62</v>
      </c>
      <c r="ED90" s="139">
        <v>5</v>
      </c>
      <c r="EE90" s="139">
        <v>8</v>
      </c>
      <c r="EF90" s="143">
        <v>0</v>
      </c>
      <c r="EG90" s="143">
        <v>8</v>
      </c>
      <c r="EH90" s="143">
        <v>12</v>
      </c>
      <c r="EI90" s="143">
        <v>90</v>
      </c>
    </row>
    <row r="91" spans="1:139">
      <c r="A91" s="175">
        <v>3514</v>
      </c>
      <c r="B91" s="92" t="s">
        <v>372</v>
      </c>
      <c r="C91" s="176">
        <v>26</v>
      </c>
      <c r="D91" s="176">
        <v>24</v>
      </c>
      <c r="E91" s="177">
        <v>0</v>
      </c>
      <c r="F91" s="176">
        <v>0</v>
      </c>
      <c r="G91" s="178">
        <v>8.6924691358024688</v>
      </c>
      <c r="H91" s="176">
        <v>81.86</v>
      </c>
      <c r="I91" s="176">
        <v>0</v>
      </c>
      <c r="J91" s="176">
        <v>0</v>
      </c>
      <c r="K91" s="178">
        <v>80</v>
      </c>
      <c r="L91" s="176">
        <v>0</v>
      </c>
      <c r="M91" s="137">
        <v>0</v>
      </c>
      <c r="N91" s="137">
        <v>0</v>
      </c>
      <c r="O91" s="137">
        <v>55</v>
      </c>
      <c r="P91" s="137">
        <v>55</v>
      </c>
      <c r="Q91" s="137">
        <v>53</v>
      </c>
      <c r="R91" s="137">
        <v>52</v>
      </c>
      <c r="S91" s="137"/>
      <c r="T91" s="137"/>
      <c r="U91" s="137"/>
      <c r="V91" s="137"/>
      <c r="W91" s="137"/>
      <c r="X91" s="137">
        <v>0</v>
      </c>
      <c r="Y91" s="137"/>
      <c r="Z91" s="137">
        <v>0</v>
      </c>
      <c r="AA91" s="137">
        <v>0</v>
      </c>
      <c r="AB91" s="176"/>
      <c r="AC91" s="176">
        <v>0</v>
      </c>
      <c r="AE91" s="179">
        <v>0</v>
      </c>
      <c r="AF91" s="179">
        <v>0</v>
      </c>
      <c r="AG91" s="179">
        <v>0</v>
      </c>
      <c r="AH91" s="179">
        <v>0</v>
      </c>
      <c r="AJ91" s="178">
        <v>26</v>
      </c>
      <c r="AK91" s="176"/>
      <c r="AL91" s="176"/>
      <c r="AM91" s="176"/>
      <c r="AO91" s="176"/>
      <c r="AP91" s="176"/>
      <c r="AQ91" s="176">
        <v>51</v>
      </c>
      <c r="AR91" s="176">
        <v>0</v>
      </c>
      <c r="AS91" s="176">
        <v>0</v>
      </c>
      <c r="AT91" s="178">
        <v>1</v>
      </c>
      <c r="AU91" s="176"/>
      <c r="AV91" s="178">
        <v>1</v>
      </c>
      <c r="AW91" s="177"/>
      <c r="AX91" s="176">
        <v>0</v>
      </c>
      <c r="AY91" s="176"/>
      <c r="AZ91" s="178">
        <v>0</v>
      </c>
      <c r="BA91" s="176"/>
      <c r="BB91" s="176">
        <v>0</v>
      </c>
      <c r="BC91" s="176">
        <v>0</v>
      </c>
      <c r="BD91" s="180" t="s">
        <v>597</v>
      </c>
      <c r="BE91" s="176"/>
      <c r="BF91" s="178">
        <v>0</v>
      </c>
      <c r="BG91" s="176">
        <v>127</v>
      </c>
      <c r="BJ91" s="176"/>
      <c r="BL91" s="176"/>
      <c r="BM91" s="176"/>
      <c r="BN91" s="176"/>
      <c r="BO91" s="176">
        <v>0</v>
      </c>
      <c r="BP91" s="176">
        <v>0</v>
      </c>
      <c r="BQ91" s="176"/>
      <c r="BR91" s="176"/>
      <c r="BS91" s="176"/>
      <c r="BT91" s="176"/>
      <c r="BU91" s="176"/>
      <c r="BV91" s="176"/>
      <c r="BW91" s="178">
        <v>0</v>
      </c>
      <c r="BX91" s="178">
        <v>1423.02</v>
      </c>
      <c r="BY91" s="92">
        <v>9400</v>
      </c>
      <c r="BZ91" s="92">
        <v>1676</v>
      </c>
      <c r="CA91" s="92">
        <v>0</v>
      </c>
      <c r="CB91" s="176"/>
      <c r="CC91" s="92">
        <v>1482</v>
      </c>
      <c r="CD91" s="92">
        <v>0</v>
      </c>
      <c r="CE91" s="178"/>
      <c r="CF91" s="178"/>
      <c r="CG91" s="178"/>
      <c r="CH91" s="178"/>
      <c r="CI91" s="178"/>
      <c r="CJ91" s="176">
        <v>0</v>
      </c>
      <c r="CK91" s="176">
        <v>0</v>
      </c>
      <c r="CQ91" s="232">
        <v>215</v>
      </c>
      <c r="CR91" s="232">
        <v>26</v>
      </c>
      <c r="CS91" s="176">
        <v>9.1199999999999992</v>
      </c>
      <c r="CT91" s="92">
        <v>24</v>
      </c>
      <c r="CU91" s="92">
        <v>0</v>
      </c>
      <c r="CV91" s="92">
        <v>0</v>
      </c>
      <c r="CW91" s="92">
        <v>0</v>
      </c>
      <c r="DE91" s="92">
        <v>215</v>
      </c>
      <c r="DF91" s="135">
        <v>0</v>
      </c>
      <c r="DG91" s="92" t="s">
        <v>279</v>
      </c>
      <c r="DH91" s="92">
        <v>1</v>
      </c>
      <c r="DI91" s="92">
        <v>12.093023255813954</v>
      </c>
      <c r="DJ91" s="92">
        <v>0</v>
      </c>
      <c r="DK91" s="92">
        <v>0</v>
      </c>
      <c r="DL91" s="92">
        <v>0</v>
      </c>
      <c r="DM91" s="92">
        <v>0</v>
      </c>
      <c r="DN91" s="92">
        <v>0</v>
      </c>
      <c r="DO91" s="92">
        <v>0</v>
      </c>
      <c r="DP91" s="92">
        <v>0</v>
      </c>
      <c r="DQ91" s="92">
        <v>0</v>
      </c>
      <c r="DR91" s="92">
        <v>0</v>
      </c>
      <c r="DS91" s="92">
        <v>0</v>
      </c>
      <c r="DT91" s="92">
        <v>0</v>
      </c>
      <c r="DU91" s="92">
        <v>0</v>
      </c>
      <c r="DZ91" s="139">
        <v>16</v>
      </c>
      <c r="EA91" s="139">
        <v>215</v>
      </c>
      <c r="EB91" s="139">
        <v>16</v>
      </c>
      <c r="EC91" s="139">
        <v>70</v>
      </c>
      <c r="ED91" s="139">
        <v>1</v>
      </c>
      <c r="EE91" s="139">
        <v>6</v>
      </c>
      <c r="EF91" s="143">
        <v>0</v>
      </c>
      <c r="EG91" s="143">
        <v>6</v>
      </c>
      <c r="EH91" s="143">
        <v>0</v>
      </c>
      <c r="EI91" s="143">
        <v>0</v>
      </c>
    </row>
    <row r="92" spans="1:139">
      <c r="A92" s="175">
        <v>2074</v>
      </c>
      <c r="B92" s="92" t="s">
        <v>373</v>
      </c>
      <c r="C92" s="176">
        <v>114</v>
      </c>
      <c r="D92" s="176">
        <v>701</v>
      </c>
      <c r="E92" s="177">
        <v>0</v>
      </c>
      <c r="F92" s="176">
        <v>0</v>
      </c>
      <c r="G92" s="178">
        <v>67788.521546814474</v>
      </c>
      <c r="H92" s="176">
        <v>140.85343685300242</v>
      </c>
      <c r="I92" s="176">
        <v>0</v>
      </c>
      <c r="J92" s="176">
        <v>0</v>
      </c>
      <c r="K92" s="178">
        <v>115</v>
      </c>
      <c r="L92" s="176">
        <v>0</v>
      </c>
      <c r="M92" s="137">
        <v>60</v>
      </c>
      <c r="N92" s="137">
        <v>60</v>
      </c>
      <c r="O92" s="137">
        <v>60</v>
      </c>
      <c r="P92" s="137">
        <v>45</v>
      </c>
      <c r="Q92" s="137">
        <v>54</v>
      </c>
      <c r="R92" s="137">
        <v>48</v>
      </c>
      <c r="S92" s="137"/>
      <c r="T92" s="137"/>
      <c r="U92" s="137"/>
      <c r="V92" s="137"/>
      <c r="W92" s="137"/>
      <c r="X92" s="137">
        <v>94</v>
      </c>
      <c r="Y92" s="137"/>
      <c r="Z92" s="137">
        <v>62</v>
      </c>
      <c r="AA92" s="137">
        <v>0</v>
      </c>
      <c r="AB92" s="176"/>
      <c r="AC92" s="176">
        <v>0</v>
      </c>
      <c r="AE92" s="179">
        <v>30</v>
      </c>
      <c r="AF92" s="179">
        <v>181.49473684210525</v>
      </c>
      <c r="AG92" s="179">
        <v>51726</v>
      </c>
      <c r="AH92" s="179">
        <v>31.585938879456702</v>
      </c>
      <c r="AJ92" s="178">
        <v>114</v>
      </c>
      <c r="AK92" s="176"/>
      <c r="AL92" s="176"/>
      <c r="AM92" s="176"/>
      <c r="AN92" s="176">
        <v>1</v>
      </c>
      <c r="AO92" s="176"/>
      <c r="AP92" s="176"/>
      <c r="AQ92" s="176">
        <v>151</v>
      </c>
      <c r="AR92" s="176">
        <v>1</v>
      </c>
      <c r="AS92" s="176">
        <v>0</v>
      </c>
      <c r="AT92" s="178">
        <v>1</v>
      </c>
      <c r="AU92" s="176"/>
      <c r="AV92" s="178">
        <v>1</v>
      </c>
      <c r="AW92" s="177"/>
      <c r="AX92" s="176">
        <v>0</v>
      </c>
      <c r="AY92" s="176"/>
      <c r="AZ92" s="178">
        <v>0</v>
      </c>
      <c r="BA92" s="176"/>
      <c r="BB92" s="176">
        <v>0</v>
      </c>
      <c r="BC92" s="176">
        <v>0</v>
      </c>
      <c r="BD92" s="180" t="s">
        <v>214</v>
      </c>
      <c r="BE92" s="176"/>
      <c r="BF92" s="178">
        <v>445.4</v>
      </c>
      <c r="BG92" s="176">
        <v>131</v>
      </c>
      <c r="BJ92" s="176"/>
      <c r="BL92" s="176"/>
      <c r="BM92" s="176"/>
      <c r="BN92" s="176"/>
      <c r="BO92" s="176">
        <v>0</v>
      </c>
      <c r="BP92" s="176">
        <v>61396.422120702096</v>
      </c>
      <c r="BQ92" s="176"/>
      <c r="BR92" s="176"/>
      <c r="BS92" s="176"/>
      <c r="BT92" s="176"/>
      <c r="BU92" s="176"/>
      <c r="BV92" s="176"/>
      <c r="BW92" s="178">
        <v>0</v>
      </c>
      <c r="BX92" s="178">
        <v>0</v>
      </c>
      <c r="BY92" s="92">
        <v>16600</v>
      </c>
      <c r="BZ92" s="92">
        <v>9189</v>
      </c>
      <c r="CA92" s="92">
        <v>20017.784054308508</v>
      </c>
      <c r="CB92" s="176"/>
      <c r="CC92" s="92">
        <v>1940.51</v>
      </c>
      <c r="CD92" s="92">
        <v>0</v>
      </c>
      <c r="CE92" s="178"/>
      <c r="CF92" s="178"/>
      <c r="CG92" s="178"/>
      <c r="CH92" s="178"/>
      <c r="CI92" s="178"/>
      <c r="CJ92" s="176">
        <v>0</v>
      </c>
      <c r="CK92" s="176">
        <v>0</v>
      </c>
      <c r="CQ92" s="232">
        <v>445.4</v>
      </c>
      <c r="CR92" s="232">
        <v>114</v>
      </c>
      <c r="CS92" s="176">
        <v>21.93</v>
      </c>
      <c r="CT92" s="92">
        <v>701</v>
      </c>
      <c r="CU92" s="92">
        <v>0</v>
      </c>
      <c r="CV92" s="92">
        <v>0</v>
      </c>
      <c r="CW92" s="92">
        <v>0</v>
      </c>
      <c r="CY92" s="92">
        <v>1</v>
      </c>
      <c r="DE92" s="92">
        <v>389</v>
      </c>
      <c r="DF92" s="135">
        <v>0</v>
      </c>
      <c r="DG92" s="92" t="s">
        <v>210</v>
      </c>
      <c r="DH92" s="92">
        <v>1</v>
      </c>
      <c r="DI92" s="92">
        <v>29.305912596401029</v>
      </c>
      <c r="DJ92" s="92">
        <v>10.263157894736842</v>
      </c>
      <c r="DK92" s="92">
        <v>11.368421052631579</v>
      </c>
      <c r="DL92" s="92">
        <v>8.3684210526315788</v>
      </c>
      <c r="DM92" s="92">
        <v>19500</v>
      </c>
      <c r="DN92" s="92">
        <v>17280</v>
      </c>
      <c r="DO92" s="92">
        <v>14946</v>
      </c>
      <c r="DP92" s="92">
        <v>68.421052631578945</v>
      </c>
      <c r="DQ92" s="92">
        <v>60.631578947368418</v>
      </c>
      <c r="DR92" s="92">
        <v>52.442105263157892</v>
      </c>
      <c r="DS92" s="92">
        <v>11.907470288624788</v>
      </c>
      <c r="DT92" s="92">
        <v>10.551850594227503</v>
      </c>
      <c r="DU92" s="92">
        <v>9.1266179966044128</v>
      </c>
      <c r="DZ92" s="139">
        <v>43</v>
      </c>
      <c r="EA92" s="139">
        <v>327</v>
      </c>
      <c r="EB92" s="139">
        <v>22</v>
      </c>
      <c r="EC92" s="139">
        <v>42</v>
      </c>
      <c r="ED92" s="139">
        <v>6</v>
      </c>
      <c r="EE92" s="139">
        <v>5</v>
      </c>
      <c r="EF92" s="143">
        <v>18</v>
      </c>
      <c r="EG92" s="143">
        <v>62</v>
      </c>
      <c r="EH92" s="143">
        <v>52</v>
      </c>
      <c r="EI92" s="143">
        <v>171</v>
      </c>
    </row>
    <row r="93" spans="1:139">
      <c r="A93" s="175">
        <v>2077</v>
      </c>
      <c r="B93" s="92" t="s">
        <v>374</v>
      </c>
      <c r="C93" s="176">
        <v>188</v>
      </c>
      <c r="D93" s="176">
        <v>875</v>
      </c>
      <c r="E93" s="177">
        <v>1</v>
      </c>
      <c r="F93" s="176">
        <v>0</v>
      </c>
      <c r="G93" s="178">
        <v>96800.267783063624</v>
      </c>
      <c r="H93" s="176">
        <v>233.42044088176419</v>
      </c>
      <c r="I93" s="176">
        <v>0</v>
      </c>
      <c r="J93" s="176">
        <v>0</v>
      </c>
      <c r="K93" s="178">
        <v>345</v>
      </c>
      <c r="L93" s="176">
        <v>0</v>
      </c>
      <c r="M93" s="137">
        <v>74</v>
      </c>
      <c r="N93" s="137">
        <v>60</v>
      </c>
      <c r="O93" s="137">
        <v>60</v>
      </c>
      <c r="P93" s="137">
        <v>60</v>
      </c>
      <c r="Q93" s="137">
        <v>57</v>
      </c>
      <c r="R93" s="137">
        <v>58</v>
      </c>
      <c r="S93" s="137"/>
      <c r="T93" s="137"/>
      <c r="U93" s="137"/>
      <c r="V93" s="137"/>
      <c r="W93" s="137"/>
      <c r="X93" s="137">
        <v>59</v>
      </c>
      <c r="Y93" s="137"/>
      <c r="Z93" s="137">
        <v>71</v>
      </c>
      <c r="AA93" s="137">
        <v>0</v>
      </c>
      <c r="AB93" s="176"/>
      <c r="AC93" s="176">
        <v>0</v>
      </c>
      <c r="AE93" s="179">
        <v>30</v>
      </c>
      <c r="AF93" s="179">
        <v>0</v>
      </c>
      <c r="AG93" s="179">
        <v>31449</v>
      </c>
      <c r="AH93" s="179">
        <v>28.671290381125228</v>
      </c>
      <c r="AJ93" s="178">
        <v>188</v>
      </c>
      <c r="AK93" s="176"/>
      <c r="AL93" s="176"/>
      <c r="AM93" s="176"/>
      <c r="AO93" s="176">
        <v>67974.75</v>
      </c>
      <c r="AP93" s="176"/>
      <c r="AQ93" s="176">
        <v>261</v>
      </c>
      <c r="AR93" s="176">
        <v>0</v>
      </c>
      <c r="AS93" s="176">
        <v>0</v>
      </c>
      <c r="AT93" s="178">
        <v>1</v>
      </c>
      <c r="AU93" s="176"/>
      <c r="AV93" s="178">
        <v>0</v>
      </c>
      <c r="AW93" s="177"/>
      <c r="AX93" s="176">
        <v>0</v>
      </c>
      <c r="AY93" s="176"/>
      <c r="AZ93" s="178">
        <v>1</v>
      </c>
      <c r="BA93" s="176"/>
      <c r="BB93" s="176">
        <v>0</v>
      </c>
      <c r="BC93" s="176">
        <v>0</v>
      </c>
      <c r="BD93" s="180" t="s">
        <v>214</v>
      </c>
      <c r="BE93" s="176"/>
      <c r="BF93" s="178">
        <v>475.4</v>
      </c>
      <c r="BG93" s="176">
        <v>457</v>
      </c>
      <c r="BJ93" s="176"/>
      <c r="BL93" s="176"/>
      <c r="BM93" s="176"/>
      <c r="BN93" s="176"/>
      <c r="BO93" s="176">
        <v>1</v>
      </c>
      <c r="BP93" s="176">
        <v>81017.048146413887</v>
      </c>
      <c r="BQ93" s="176"/>
      <c r="BR93" s="176"/>
      <c r="BS93" s="176"/>
      <c r="BT93" s="176"/>
      <c r="BU93" s="176"/>
      <c r="BV93" s="176"/>
      <c r="BW93" s="178">
        <v>0</v>
      </c>
      <c r="BX93" s="178">
        <v>1264.9100000000001</v>
      </c>
      <c r="BY93" s="92">
        <v>10800</v>
      </c>
      <c r="BZ93" s="92">
        <v>4580</v>
      </c>
      <c r="CA93" s="92">
        <v>23587</v>
      </c>
      <c r="CB93" s="176"/>
      <c r="CC93" s="92">
        <v>2561.15</v>
      </c>
      <c r="CD93" s="92">
        <v>0</v>
      </c>
      <c r="CE93" s="178"/>
      <c r="CF93" s="178"/>
      <c r="CG93" s="178"/>
      <c r="CH93" s="178"/>
      <c r="CI93" s="178"/>
      <c r="CJ93" s="176">
        <v>0</v>
      </c>
      <c r="CK93" s="176">
        <v>0</v>
      </c>
      <c r="CQ93" s="232">
        <v>475.4</v>
      </c>
      <c r="CR93" s="232">
        <v>199.4</v>
      </c>
      <c r="CS93" s="176">
        <v>4.8600000000000003</v>
      </c>
      <c r="CT93" s="92">
        <v>875</v>
      </c>
      <c r="CU93" s="92">
        <v>0</v>
      </c>
      <c r="CV93" s="92">
        <v>0</v>
      </c>
      <c r="CW93" s="92">
        <v>0</v>
      </c>
      <c r="DE93" s="92">
        <v>440</v>
      </c>
      <c r="DF93" s="135">
        <v>0</v>
      </c>
      <c r="DG93" s="92" t="s">
        <v>210</v>
      </c>
      <c r="DH93" s="92">
        <v>1</v>
      </c>
      <c r="DI93" s="92">
        <v>42.727272727272727</v>
      </c>
      <c r="DJ93" s="92">
        <v>10.263157894736842</v>
      </c>
      <c r="DK93" s="92">
        <v>11.368421052631579</v>
      </c>
      <c r="DL93" s="92">
        <v>8.3684210526315788</v>
      </c>
      <c r="DM93" s="92">
        <v>11700</v>
      </c>
      <c r="DN93" s="92">
        <v>10368</v>
      </c>
      <c r="DO93" s="92">
        <v>9381</v>
      </c>
      <c r="DP93" s="92">
        <v>0</v>
      </c>
      <c r="DQ93" s="92">
        <v>0</v>
      </c>
      <c r="DR93" s="92">
        <v>0</v>
      </c>
      <c r="DS93" s="92">
        <v>10.666606170598913</v>
      </c>
      <c r="DT93" s="92">
        <v>9.4522540834845721</v>
      </c>
      <c r="DU93" s="92">
        <v>8.5524301270417418</v>
      </c>
      <c r="DZ93" s="139">
        <v>52</v>
      </c>
      <c r="EA93" s="139">
        <v>369</v>
      </c>
      <c r="EB93" s="139">
        <v>107</v>
      </c>
      <c r="EC93" s="139">
        <v>89</v>
      </c>
      <c r="ED93" s="139">
        <v>9</v>
      </c>
      <c r="EE93" s="139">
        <v>20</v>
      </c>
      <c r="EF93" s="143">
        <v>38</v>
      </c>
      <c r="EG93" s="143">
        <v>34</v>
      </c>
      <c r="EH93" s="143">
        <v>124</v>
      </c>
      <c r="EI93" s="143">
        <v>101</v>
      </c>
    </row>
    <row r="94" spans="1:139">
      <c r="A94" s="175">
        <v>3316</v>
      </c>
      <c r="B94" s="92" t="s">
        <v>375</v>
      </c>
      <c r="C94" s="176">
        <v>15</v>
      </c>
      <c r="D94" s="176">
        <v>13</v>
      </c>
      <c r="E94" s="177">
        <v>0</v>
      </c>
      <c r="F94" s="176">
        <v>0</v>
      </c>
      <c r="G94" s="178">
        <v>14614.045815420261</v>
      </c>
      <c r="H94" s="176">
        <v>31.29</v>
      </c>
      <c r="I94" s="176">
        <v>0</v>
      </c>
      <c r="J94" s="176">
        <v>0</v>
      </c>
      <c r="K94" s="178">
        <v>0</v>
      </c>
      <c r="L94" s="176">
        <v>0</v>
      </c>
      <c r="M94" s="137">
        <v>30</v>
      </c>
      <c r="N94" s="137">
        <v>30</v>
      </c>
      <c r="O94" s="137">
        <v>29</v>
      </c>
      <c r="P94" s="137">
        <v>29</v>
      </c>
      <c r="Q94" s="137">
        <v>30</v>
      </c>
      <c r="R94" s="137">
        <v>28</v>
      </c>
      <c r="S94" s="137"/>
      <c r="T94" s="137"/>
      <c r="U94" s="137"/>
      <c r="V94" s="137"/>
      <c r="W94" s="137"/>
      <c r="X94" s="137">
        <v>0</v>
      </c>
      <c r="Y94" s="137"/>
      <c r="Z94" s="137">
        <v>30</v>
      </c>
      <c r="AA94" s="137">
        <v>0</v>
      </c>
      <c r="AB94" s="176"/>
      <c r="AC94" s="176">
        <v>0</v>
      </c>
      <c r="AE94" s="179">
        <v>0</v>
      </c>
      <c r="AF94" s="179">
        <v>0</v>
      </c>
      <c r="AG94" s="179">
        <v>0</v>
      </c>
      <c r="AH94" s="179">
        <v>0</v>
      </c>
      <c r="AJ94" s="178">
        <v>15</v>
      </c>
      <c r="AK94" s="176"/>
      <c r="AL94" s="176"/>
      <c r="AM94" s="176"/>
      <c r="AO94" s="176"/>
      <c r="AP94" s="176"/>
      <c r="AQ94" s="176">
        <v>15</v>
      </c>
      <c r="AR94" s="176">
        <v>0</v>
      </c>
      <c r="AS94" s="176">
        <v>0</v>
      </c>
      <c r="AT94" s="178">
        <v>1</v>
      </c>
      <c r="AU94" s="176"/>
      <c r="AV94" s="178">
        <v>2</v>
      </c>
      <c r="AW94" s="177"/>
      <c r="AX94" s="176">
        <v>0</v>
      </c>
      <c r="AY94" s="176"/>
      <c r="AZ94" s="178">
        <v>0</v>
      </c>
      <c r="BA94" s="176"/>
      <c r="BB94" s="176">
        <v>0</v>
      </c>
      <c r="BC94" s="176">
        <v>0</v>
      </c>
      <c r="BD94" s="180" t="s">
        <v>597</v>
      </c>
      <c r="BE94" s="176"/>
      <c r="BF94" s="178">
        <v>0</v>
      </c>
      <c r="BG94" s="176">
        <v>0</v>
      </c>
      <c r="BJ94" s="176"/>
      <c r="BL94" s="176"/>
      <c r="BM94" s="176"/>
      <c r="BN94" s="176"/>
      <c r="BO94" s="176">
        <v>1</v>
      </c>
      <c r="BP94" s="176">
        <v>0</v>
      </c>
      <c r="BQ94" s="176"/>
      <c r="BR94" s="176"/>
      <c r="BS94" s="176"/>
      <c r="BT94" s="176"/>
      <c r="BU94" s="176"/>
      <c r="BV94" s="176"/>
      <c r="BW94" s="178">
        <v>0</v>
      </c>
      <c r="BX94" s="178">
        <v>0</v>
      </c>
      <c r="BY94" s="92">
        <v>5505</v>
      </c>
      <c r="BZ94" s="92">
        <v>1365</v>
      </c>
      <c r="CA94" s="92">
        <v>0</v>
      </c>
      <c r="CB94" s="176"/>
      <c r="CC94" s="92">
        <v>1166</v>
      </c>
      <c r="CD94" s="92">
        <v>0</v>
      </c>
      <c r="CE94" s="178"/>
      <c r="CF94" s="178"/>
      <c r="CG94" s="178"/>
      <c r="CH94" s="178"/>
      <c r="CI94" s="178"/>
      <c r="CJ94" s="176">
        <v>0</v>
      </c>
      <c r="CK94" s="176">
        <v>0</v>
      </c>
      <c r="CQ94" s="232">
        <v>206</v>
      </c>
      <c r="CR94" s="232">
        <v>15</v>
      </c>
      <c r="CS94" s="176">
        <v>0.87000000000000099</v>
      </c>
      <c r="CT94" s="92">
        <v>0</v>
      </c>
      <c r="CU94" s="92">
        <v>0</v>
      </c>
      <c r="CV94" s="92">
        <v>0</v>
      </c>
      <c r="CW94" s="92">
        <v>0</v>
      </c>
      <c r="DE94" s="92">
        <v>206</v>
      </c>
      <c r="DF94" s="135">
        <v>0</v>
      </c>
      <c r="DG94" s="92" t="s">
        <v>210</v>
      </c>
      <c r="DH94" s="92">
        <v>1</v>
      </c>
      <c r="DI94" s="92">
        <v>7.2815533980582519</v>
      </c>
      <c r="DJ94" s="92">
        <v>0</v>
      </c>
      <c r="DK94" s="92">
        <v>0</v>
      </c>
      <c r="DL94" s="92">
        <v>0</v>
      </c>
      <c r="DM94" s="92">
        <v>0</v>
      </c>
      <c r="DN94" s="92">
        <v>0</v>
      </c>
      <c r="DO94" s="92">
        <v>0</v>
      </c>
      <c r="DP94" s="92">
        <v>0</v>
      </c>
      <c r="DQ94" s="92">
        <v>0</v>
      </c>
      <c r="DR94" s="92">
        <v>0</v>
      </c>
      <c r="DS94" s="92">
        <v>0</v>
      </c>
      <c r="DT94" s="92">
        <v>0</v>
      </c>
      <c r="DU94" s="92">
        <v>0</v>
      </c>
      <c r="DZ94" s="139">
        <v>10</v>
      </c>
      <c r="EA94" s="139">
        <v>176</v>
      </c>
      <c r="EB94" s="139">
        <v>0</v>
      </c>
      <c r="EC94" s="139">
        <v>7</v>
      </c>
      <c r="ED94" s="139">
        <v>0</v>
      </c>
      <c r="EE94" s="139">
        <v>2</v>
      </c>
      <c r="EF94" s="143">
        <v>0</v>
      </c>
      <c r="EG94" s="143">
        <v>2</v>
      </c>
      <c r="EH94" s="143">
        <v>0</v>
      </c>
      <c r="EI94" s="143">
        <v>5</v>
      </c>
    </row>
    <row r="95" spans="1:139">
      <c r="A95" s="175">
        <v>2055</v>
      </c>
      <c r="B95" s="92" t="s">
        <v>376</v>
      </c>
      <c r="C95" s="176">
        <v>67</v>
      </c>
      <c r="D95" s="176">
        <v>430</v>
      </c>
      <c r="E95" s="177">
        <v>0</v>
      </c>
      <c r="F95" s="176">
        <v>42</v>
      </c>
      <c r="G95" s="178">
        <v>70734.66969750289</v>
      </c>
      <c r="H95" s="176">
        <v>57.073673469387707</v>
      </c>
      <c r="I95" s="176">
        <v>0</v>
      </c>
      <c r="J95" s="176">
        <v>0</v>
      </c>
      <c r="K95" s="178">
        <v>77.083631591505593</v>
      </c>
      <c r="L95" s="176">
        <v>0</v>
      </c>
      <c r="M95" s="137">
        <v>47</v>
      </c>
      <c r="N95" s="137">
        <v>30</v>
      </c>
      <c r="O95" s="137">
        <v>27</v>
      </c>
      <c r="P95" s="137">
        <v>29</v>
      </c>
      <c r="Q95" s="137">
        <v>24</v>
      </c>
      <c r="R95" s="137">
        <v>20</v>
      </c>
      <c r="S95" s="137"/>
      <c r="T95" s="137"/>
      <c r="U95" s="137"/>
      <c r="V95" s="137"/>
      <c r="W95" s="137"/>
      <c r="X95" s="137">
        <v>40</v>
      </c>
      <c r="Y95" s="137"/>
      <c r="Z95" s="137">
        <v>28</v>
      </c>
      <c r="AA95" s="137">
        <v>0</v>
      </c>
      <c r="AB95" s="176"/>
      <c r="AC95" s="176">
        <v>0</v>
      </c>
      <c r="AE95" s="179">
        <v>30</v>
      </c>
      <c r="AF95" s="179">
        <v>72.10526315789474</v>
      </c>
      <c r="AG95" s="179">
        <v>20550</v>
      </c>
      <c r="AH95" s="179">
        <v>9.563434903047094</v>
      </c>
      <c r="AJ95" s="178">
        <v>67</v>
      </c>
      <c r="AK95" s="176"/>
      <c r="AL95" s="176"/>
      <c r="AM95" s="176"/>
      <c r="AO95" s="176">
        <v>46222.83</v>
      </c>
      <c r="AP95" s="176"/>
      <c r="AQ95" s="176">
        <v>82</v>
      </c>
      <c r="AR95" s="176">
        <v>0</v>
      </c>
      <c r="AS95" s="176">
        <v>0</v>
      </c>
      <c r="AT95" s="178">
        <v>1</v>
      </c>
      <c r="AU95" s="176"/>
      <c r="AV95" s="178">
        <v>2</v>
      </c>
      <c r="AW95" s="177"/>
      <c r="AX95" s="176">
        <v>0</v>
      </c>
      <c r="AY95" s="176"/>
      <c r="AZ95" s="178">
        <v>0</v>
      </c>
      <c r="BA95" s="176"/>
      <c r="BB95" s="176">
        <v>0</v>
      </c>
      <c r="BC95" s="176">
        <v>0</v>
      </c>
      <c r="BD95" s="180" t="s">
        <v>214</v>
      </c>
      <c r="BE95" s="176"/>
      <c r="BF95" s="178">
        <v>229</v>
      </c>
      <c r="BG95" s="176">
        <v>111</v>
      </c>
      <c r="BJ95" s="176"/>
      <c r="BL95" s="176"/>
      <c r="BM95" s="176"/>
      <c r="BN95" s="176"/>
      <c r="BO95" s="176">
        <v>0</v>
      </c>
      <c r="BP95" s="176">
        <v>21978.024258532139</v>
      </c>
      <c r="BQ95" s="176"/>
      <c r="BR95" s="176"/>
      <c r="BS95" s="176"/>
      <c r="BT95" s="176"/>
      <c r="BU95" s="176"/>
      <c r="BV95" s="176"/>
      <c r="BW95" s="178">
        <v>0</v>
      </c>
      <c r="BX95" s="178">
        <v>1106.79</v>
      </c>
      <c r="BY95" s="92">
        <v>16900</v>
      </c>
      <c r="BZ95" s="92">
        <v>3429</v>
      </c>
      <c r="CA95" s="92">
        <v>15343</v>
      </c>
      <c r="CB95" s="176"/>
      <c r="CC95" s="92">
        <v>2192</v>
      </c>
      <c r="CD95" s="92">
        <v>0</v>
      </c>
      <c r="CE95" s="178"/>
      <c r="CF95" s="178"/>
      <c r="CG95" s="178"/>
      <c r="CH95" s="178"/>
      <c r="CI95" s="178"/>
      <c r="CJ95" s="176">
        <v>0</v>
      </c>
      <c r="CK95" s="176">
        <v>0</v>
      </c>
      <c r="CQ95" s="232">
        <v>229</v>
      </c>
      <c r="CR95" s="232">
        <v>67</v>
      </c>
      <c r="CS95" s="176">
        <v>11.07</v>
      </c>
      <c r="CT95" s="92">
        <v>430</v>
      </c>
      <c r="CU95" s="92">
        <v>0</v>
      </c>
      <c r="CV95" s="92">
        <v>0</v>
      </c>
      <c r="CW95" s="92">
        <v>0</v>
      </c>
      <c r="CY95" s="92">
        <v>0</v>
      </c>
      <c r="DE95" s="92">
        <v>205</v>
      </c>
      <c r="DF95" s="135">
        <v>0</v>
      </c>
      <c r="DG95" s="92" t="s">
        <v>210</v>
      </c>
      <c r="DH95" s="92">
        <v>1</v>
      </c>
      <c r="DI95" s="92">
        <v>32.682926829268297</v>
      </c>
      <c r="DJ95" s="92">
        <v>10.263157894736842</v>
      </c>
      <c r="DK95" s="92">
        <v>11.368421052631579</v>
      </c>
      <c r="DL95" s="92">
        <v>8.3684210526315788</v>
      </c>
      <c r="DM95" s="92">
        <v>6630</v>
      </c>
      <c r="DN95" s="92">
        <v>7560</v>
      </c>
      <c r="DO95" s="92">
        <v>6360</v>
      </c>
      <c r="DP95" s="92">
        <v>23.263157894736842</v>
      </c>
      <c r="DQ95" s="92">
        <v>26.526315789473685</v>
      </c>
      <c r="DR95" s="92">
        <v>22.315789473684209</v>
      </c>
      <c r="DS95" s="92">
        <v>3.0854293628808875</v>
      </c>
      <c r="DT95" s="92">
        <v>3.5182271468144055</v>
      </c>
      <c r="DU95" s="92">
        <v>2.9597783933518009</v>
      </c>
      <c r="DZ95" s="139">
        <v>42</v>
      </c>
      <c r="EA95" s="139">
        <v>177</v>
      </c>
      <c r="EB95" s="139">
        <v>18</v>
      </c>
      <c r="EC95" s="139">
        <v>24</v>
      </c>
      <c r="ED95" s="139">
        <v>10</v>
      </c>
      <c r="EE95" s="139">
        <v>3</v>
      </c>
      <c r="EF95" s="143">
        <v>18</v>
      </c>
      <c r="EG95" s="143">
        <v>32</v>
      </c>
      <c r="EH95" s="143">
        <v>34</v>
      </c>
      <c r="EI95" s="143">
        <v>74</v>
      </c>
    </row>
    <row r="96" spans="1:139">
      <c r="A96" s="175">
        <v>2057</v>
      </c>
      <c r="B96" s="92" t="s">
        <v>112</v>
      </c>
      <c r="C96" s="176">
        <v>59</v>
      </c>
      <c r="D96" s="176">
        <v>334</v>
      </c>
      <c r="E96" s="177">
        <v>0</v>
      </c>
      <c r="F96" s="176">
        <v>0</v>
      </c>
      <c r="G96" s="178">
        <v>80074.864910984266</v>
      </c>
      <c r="H96" s="176">
        <v>50.816749999999985</v>
      </c>
      <c r="I96" s="176">
        <v>0</v>
      </c>
      <c r="J96" s="176">
        <v>0</v>
      </c>
      <c r="K96" s="178">
        <v>25</v>
      </c>
      <c r="L96" s="176">
        <v>0</v>
      </c>
      <c r="M96" s="137">
        <v>47</v>
      </c>
      <c r="N96" s="137">
        <v>50</v>
      </c>
      <c r="O96" s="137">
        <v>0</v>
      </c>
      <c r="P96" s="137">
        <v>0</v>
      </c>
      <c r="Q96" s="137">
        <v>0</v>
      </c>
      <c r="R96" s="137">
        <v>0</v>
      </c>
      <c r="S96" s="137"/>
      <c r="T96" s="137"/>
      <c r="U96" s="137"/>
      <c r="V96" s="137"/>
      <c r="W96" s="137"/>
      <c r="X96" s="137">
        <v>45</v>
      </c>
      <c r="Y96" s="137"/>
      <c r="Z96" s="137">
        <v>58</v>
      </c>
      <c r="AA96" s="137">
        <v>0</v>
      </c>
      <c r="AB96" s="176"/>
      <c r="AC96" s="176">
        <v>0</v>
      </c>
      <c r="AE96" s="179">
        <v>30</v>
      </c>
      <c r="AF96" s="179">
        <v>43.60526315789474</v>
      </c>
      <c r="AG96" s="179">
        <v>24855</v>
      </c>
      <c r="AH96" s="179">
        <v>14.76764912280702</v>
      </c>
      <c r="AJ96" s="178">
        <v>59</v>
      </c>
      <c r="AK96" s="176"/>
      <c r="AL96" s="176"/>
      <c r="AM96" s="176"/>
      <c r="AO96" s="176"/>
      <c r="AP96" s="176"/>
      <c r="AQ96" s="176">
        <v>74</v>
      </c>
      <c r="AR96" s="176">
        <v>0</v>
      </c>
      <c r="AS96" s="176">
        <v>0</v>
      </c>
      <c r="AT96" s="178">
        <v>1</v>
      </c>
      <c r="AU96" s="176"/>
      <c r="AV96" s="178">
        <v>0</v>
      </c>
      <c r="AW96" s="177"/>
      <c r="AX96" s="176">
        <v>0</v>
      </c>
      <c r="AY96" s="176"/>
      <c r="AZ96" s="178">
        <v>0</v>
      </c>
      <c r="BA96" s="176"/>
      <c r="BB96" s="176">
        <v>0</v>
      </c>
      <c r="BC96" s="176">
        <v>0</v>
      </c>
      <c r="BD96" s="180" t="s">
        <v>214</v>
      </c>
      <c r="BE96" s="176"/>
      <c r="BF96" s="178">
        <v>182</v>
      </c>
      <c r="BG96" s="176">
        <v>103</v>
      </c>
      <c r="BJ96" s="176"/>
      <c r="BL96" s="176"/>
      <c r="BM96" s="176"/>
      <c r="BN96" s="176"/>
      <c r="BO96" s="176">
        <v>0</v>
      </c>
      <c r="BP96" s="176">
        <v>0</v>
      </c>
      <c r="BQ96" s="176"/>
      <c r="BR96" s="176"/>
      <c r="BS96" s="176"/>
      <c r="BT96" s="176"/>
      <c r="BU96" s="176"/>
      <c r="BV96" s="176"/>
      <c r="BW96" s="178">
        <v>0</v>
      </c>
      <c r="BX96" s="178">
        <v>869.63</v>
      </c>
      <c r="BY96" s="92">
        <v>7946.0237659963441</v>
      </c>
      <c r="BZ96" s="92">
        <v>2313</v>
      </c>
      <c r="CA96" s="92">
        <v>12766.351826895701</v>
      </c>
      <c r="CB96" s="176"/>
      <c r="CC96" s="92">
        <v>1250.33</v>
      </c>
      <c r="CD96" s="92">
        <v>0</v>
      </c>
      <c r="CE96" s="178"/>
      <c r="CF96" s="178"/>
      <c r="CG96" s="178"/>
      <c r="CH96" s="178"/>
      <c r="CI96" s="178"/>
      <c r="CJ96" s="176">
        <v>0</v>
      </c>
      <c r="CK96" s="176">
        <v>0</v>
      </c>
      <c r="CQ96" s="232">
        <v>182</v>
      </c>
      <c r="CR96" s="232">
        <v>60.8</v>
      </c>
      <c r="CS96" s="176">
        <v>13</v>
      </c>
      <c r="CT96" s="92">
        <v>334</v>
      </c>
      <c r="CU96" s="92">
        <v>0</v>
      </c>
      <c r="CV96" s="92">
        <v>0</v>
      </c>
      <c r="CW96" s="92">
        <v>0</v>
      </c>
      <c r="DE96" s="92">
        <v>155</v>
      </c>
      <c r="DF96" s="135">
        <v>0</v>
      </c>
      <c r="DG96" s="92" t="s">
        <v>280</v>
      </c>
      <c r="DH96" s="92">
        <v>1</v>
      </c>
      <c r="DI96" s="92">
        <v>38.064516129032256</v>
      </c>
      <c r="DJ96" s="92">
        <v>10.263157894736842</v>
      </c>
      <c r="DK96" s="92">
        <v>11.368421052631579</v>
      </c>
      <c r="DL96" s="92">
        <v>8.3684210526315788</v>
      </c>
      <c r="DM96" s="92">
        <v>10140</v>
      </c>
      <c r="DN96" s="92">
        <v>7560</v>
      </c>
      <c r="DO96" s="92">
        <v>7155</v>
      </c>
      <c r="DP96" s="92">
        <v>17.789473684210527</v>
      </c>
      <c r="DQ96" s="92">
        <v>13.263157894736842</v>
      </c>
      <c r="DR96" s="92">
        <v>12.552631578947368</v>
      </c>
      <c r="DS96" s="92">
        <v>6.0247017543859664</v>
      </c>
      <c r="DT96" s="92">
        <v>4.4917894736842117</v>
      </c>
      <c r="DU96" s="92">
        <v>4.251157894736842</v>
      </c>
      <c r="DZ96" s="139">
        <v>15</v>
      </c>
      <c r="EA96" s="139">
        <v>97</v>
      </c>
      <c r="EB96" s="139">
        <v>19</v>
      </c>
      <c r="EC96" s="139">
        <v>25</v>
      </c>
      <c r="ED96" s="139">
        <v>5</v>
      </c>
      <c r="EE96" s="139">
        <v>6</v>
      </c>
      <c r="EF96" s="143">
        <v>12</v>
      </c>
      <c r="EG96" s="143">
        <v>8</v>
      </c>
      <c r="EH96" s="143">
        <v>48</v>
      </c>
      <c r="EI96" s="143">
        <v>74</v>
      </c>
    </row>
    <row r="97" spans="1:158">
      <c r="A97" s="175">
        <v>2056</v>
      </c>
      <c r="B97" s="92" t="s">
        <v>113</v>
      </c>
      <c r="C97" s="176">
        <v>73</v>
      </c>
      <c r="D97" s="176">
        <v>214</v>
      </c>
      <c r="E97" s="177">
        <v>0</v>
      </c>
      <c r="F97" s="176">
        <v>0</v>
      </c>
      <c r="G97" s="178">
        <v>64.455061728395052</v>
      </c>
      <c r="H97" s="176">
        <v>70.900000000000006</v>
      </c>
      <c r="I97" s="176">
        <v>0</v>
      </c>
      <c r="J97" s="176">
        <v>0</v>
      </c>
      <c r="K97" s="178">
        <v>80</v>
      </c>
      <c r="L97" s="176">
        <v>0</v>
      </c>
      <c r="M97" s="137">
        <v>0</v>
      </c>
      <c r="N97" s="137">
        <v>0</v>
      </c>
      <c r="O97" s="137">
        <v>59</v>
      </c>
      <c r="P97" s="137">
        <v>69</v>
      </c>
      <c r="Q97" s="137">
        <v>56</v>
      </c>
      <c r="R97" s="137">
        <v>52</v>
      </c>
      <c r="S97" s="137"/>
      <c r="T97" s="137"/>
      <c r="U97" s="137"/>
      <c r="V97" s="137"/>
      <c r="W97" s="137"/>
      <c r="X97" s="137">
        <v>0</v>
      </c>
      <c r="Y97" s="137"/>
      <c r="Z97" s="137">
        <v>0</v>
      </c>
      <c r="AA97" s="137">
        <v>0</v>
      </c>
      <c r="AB97" s="176"/>
      <c r="AC97" s="176">
        <v>0</v>
      </c>
      <c r="AE97" s="179">
        <v>0</v>
      </c>
      <c r="AF97" s="179">
        <v>0</v>
      </c>
      <c r="AG97" s="179">
        <v>0</v>
      </c>
      <c r="AH97" s="179">
        <v>0</v>
      </c>
      <c r="AJ97" s="178">
        <v>73</v>
      </c>
      <c r="AK97" s="176"/>
      <c r="AL97" s="176"/>
      <c r="AM97" s="176"/>
      <c r="AO97" s="176"/>
      <c r="AP97" s="176"/>
      <c r="AQ97" s="176">
        <v>104</v>
      </c>
      <c r="AR97" s="176">
        <v>0</v>
      </c>
      <c r="AS97" s="176">
        <v>0</v>
      </c>
      <c r="AT97" s="178">
        <v>1</v>
      </c>
      <c r="AU97" s="176"/>
      <c r="AV97" s="178">
        <v>4</v>
      </c>
      <c r="AW97" s="177"/>
      <c r="AX97" s="176">
        <v>0</v>
      </c>
      <c r="AY97" s="176"/>
      <c r="AZ97" s="178">
        <v>0</v>
      </c>
      <c r="BA97" s="176"/>
      <c r="BB97" s="176">
        <v>0</v>
      </c>
      <c r="BC97" s="176">
        <v>0</v>
      </c>
      <c r="BD97" s="180" t="s">
        <v>214</v>
      </c>
      <c r="BE97" s="176"/>
      <c r="BF97" s="178">
        <v>236</v>
      </c>
      <c r="BG97" s="176">
        <v>96</v>
      </c>
      <c r="BJ97" s="176"/>
      <c r="BL97" s="176"/>
      <c r="BM97" s="176"/>
      <c r="BN97" s="176"/>
      <c r="BO97" s="176">
        <v>0</v>
      </c>
      <c r="BP97" s="176">
        <v>0</v>
      </c>
      <c r="BQ97" s="176"/>
      <c r="BR97" s="176"/>
      <c r="BS97" s="176"/>
      <c r="BT97" s="176"/>
      <c r="BU97" s="176"/>
      <c r="BV97" s="176"/>
      <c r="BW97" s="178">
        <v>0</v>
      </c>
      <c r="BX97" s="178">
        <v>869.62</v>
      </c>
      <c r="BY97" s="92">
        <v>13053.976234003656</v>
      </c>
      <c r="BZ97" s="92">
        <v>4408</v>
      </c>
      <c r="CA97" s="92">
        <v>12766.351826895701</v>
      </c>
      <c r="CB97" s="176"/>
      <c r="CC97" s="92">
        <v>2269</v>
      </c>
      <c r="CD97" s="92">
        <v>1</v>
      </c>
      <c r="CE97" s="178"/>
      <c r="CF97" s="178"/>
      <c r="CG97" s="178"/>
      <c r="CH97" s="178"/>
      <c r="CI97" s="178"/>
      <c r="CJ97" s="176">
        <v>0</v>
      </c>
      <c r="CK97" s="176">
        <v>0</v>
      </c>
      <c r="CQ97" s="232">
        <v>236</v>
      </c>
      <c r="CR97" s="232">
        <v>73</v>
      </c>
      <c r="CS97" s="176">
        <v>17.079999999999998</v>
      </c>
      <c r="CT97" s="92">
        <v>214</v>
      </c>
      <c r="CU97" s="92">
        <v>0</v>
      </c>
      <c r="CV97" s="92">
        <v>0</v>
      </c>
      <c r="CW97" s="92">
        <v>0</v>
      </c>
      <c r="DE97" s="92">
        <v>236</v>
      </c>
      <c r="DF97" s="135">
        <v>0</v>
      </c>
      <c r="DG97" s="92" t="s">
        <v>279</v>
      </c>
      <c r="DH97" s="92">
        <v>1</v>
      </c>
      <c r="DI97" s="92">
        <v>30.932203389830509</v>
      </c>
      <c r="DJ97" s="92">
        <v>0</v>
      </c>
      <c r="DK97" s="92">
        <v>0</v>
      </c>
      <c r="DL97" s="92">
        <v>0</v>
      </c>
      <c r="DM97" s="92">
        <v>0</v>
      </c>
      <c r="DN97" s="92">
        <v>0</v>
      </c>
      <c r="DO97" s="92">
        <v>0</v>
      </c>
      <c r="DP97" s="92">
        <v>0</v>
      </c>
      <c r="DQ97" s="92">
        <v>0</v>
      </c>
      <c r="DR97" s="92">
        <v>0</v>
      </c>
      <c r="DS97" s="92">
        <v>0</v>
      </c>
      <c r="DT97" s="92">
        <v>0</v>
      </c>
      <c r="DU97" s="92">
        <v>0</v>
      </c>
      <c r="DZ97" s="139">
        <v>30</v>
      </c>
      <c r="EA97" s="139">
        <v>236</v>
      </c>
      <c r="EB97" s="139">
        <v>20</v>
      </c>
      <c r="EC97" s="139">
        <v>23</v>
      </c>
      <c r="ED97" s="139">
        <v>3</v>
      </c>
      <c r="EE97" s="139">
        <v>4</v>
      </c>
      <c r="EF97" s="143">
        <v>18</v>
      </c>
      <c r="EG97" s="143">
        <v>22</v>
      </c>
      <c r="EH97" s="143">
        <v>0</v>
      </c>
      <c r="EI97" s="143">
        <v>0</v>
      </c>
    </row>
    <row r="98" spans="1:158">
      <c r="A98" s="175">
        <v>2076</v>
      </c>
      <c r="B98" s="92" t="s">
        <v>377</v>
      </c>
      <c r="C98" s="176">
        <v>141</v>
      </c>
      <c r="D98" s="176">
        <v>1327</v>
      </c>
      <c r="E98" s="177">
        <v>0</v>
      </c>
      <c r="F98" s="176">
        <v>100</v>
      </c>
      <c r="G98" s="178">
        <v>84744.008991884446</v>
      </c>
      <c r="H98" s="176">
        <v>122.05604838709679</v>
      </c>
      <c r="I98" s="176">
        <v>0</v>
      </c>
      <c r="J98" s="176">
        <v>0</v>
      </c>
      <c r="K98" s="178">
        <v>35</v>
      </c>
      <c r="L98" s="176">
        <v>0</v>
      </c>
      <c r="M98" s="137">
        <v>62</v>
      </c>
      <c r="N98" s="137">
        <v>86</v>
      </c>
      <c r="O98" s="137">
        <v>57</v>
      </c>
      <c r="P98" s="137">
        <v>59</v>
      </c>
      <c r="Q98" s="137">
        <v>47</v>
      </c>
      <c r="R98" s="137">
        <v>52</v>
      </c>
      <c r="S98" s="137"/>
      <c r="T98" s="137"/>
      <c r="U98" s="137"/>
      <c r="V98" s="137"/>
      <c r="W98" s="137"/>
      <c r="X98" s="137">
        <v>75</v>
      </c>
      <c r="Y98" s="137"/>
      <c r="Z98" s="137">
        <v>58</v>
      </c>
      <c r="AA98" s="137">
        <v>0</v>
      </c>
      <c r="AB98" s="176"/>
      <c r="AC98" s="176">
        <v>0</v>
      </c>
      <c r="AE98" s="179">
        <v>30</v>
      </c>
      <c r="AF98" s="179">
        <v>138.41052631578947</v>
      </c>
      <c r="AG98" s="179">
        <v>39447</v>
      </c>
      <c r="AH98" s="179">
        <v>17.58187766714083</v>
      </c>
      <c r="AJ98" s="178">
        <v>141</v>
      </c>
      <c r="AK98" s="176"/>
      <c r="AL98" s="176"/>
      <c r="AM98" s="176"/>
      <c r="AN98" s="176">
        <v>1</v>
      </c>
      <c r="AO98" s="176"/>
      <c r="AP98" s="176"/>
      <c r="AQ98" s="176">
        <v>182</v>
      </c>
      <c r="AR98" s="176">
        <v>0</v>
      </c>
      <c r="AS98" s="176">
        <v>0</v>
      </c>
      <c r="AT98" s="178">
        <v>1</v>
      </c>
      <c r="AU98" s="176"/>
      <c r="AV98" s="178">
        <v>2</v>
      </c>
      <c r="AW98" s="177"/>
      <c r="AX98" s="176">
        <v>0</v>
      </c>
      <c r="AY98" s="176"/>
      <c r="AZ98" s="178">
        <v>0</v>
      </c>
      <c r="BA98" s="176"/>
      <c r="BB98" s="176">
        <v>0</v>
      </c>
      <c r="BC98" s="176">
        <v>0</v>
      </c>
      <c r="BD98" s="180" t="s">
        <v>214</v>
      </c>
      <c r="BE98" s="176"/>
      <c r="BF98" s="178">
        <v>466</v>
      </c>
      <c r="BG98" s="176">
        <v>260</v>
      </c>
      <c r="BJ98" s="176"/>
      <c r="BL98" s="176"/>
      <c r="BM98" s="176"/>
      <c r="BN98" s="176"/>
      <c r="BO98" s="176">
        <v>0</v>
      </c>
      <c r="BP98" s="176">
        <v>71604.800442862033</v>
      </c>
      <c r="BQ98" s="176"/>
      <c r="BR98" s="176"/>
      <c r="BS98" s="176"/>
      <c r="BT98" s="176"/>
      <c r="BU98" s="176"/>
      <c r="BV98" s="176"/>
      <c r="BW98" s="178">
        <v>0</v>
      </c>
      <c r="BX98" s="178">
        <v>0</v>
      </c>
      <c r="BY98" s="92">
        <v>6400</v>
      </c>
      <c r="BZ98" s="92">
        <v>3892</v>
      </c>
      <c r="CA98" s="92">
        <v>23816</v>
      </c>
      <c r="CB98" s="176"/>
      <c r="CC98" s="92">
        <v>2311</v>
      </c>
      <c r="CD98" s="92">
        <v>1</v>
      </c>
      <c r="CE98" s="178"/>
      <c r="CF98" s="178"/>
      <c r="CG98" s="178"/>
      <c r="CH98" s="178"/>
      <c r="CI98" s="178"/>
      <c r="CJ98" s="176">
        <v>0</v>
      </c>
      <c r="CK98" s="176">
        <v>0</v>
      </c>
      <c r="CQ98" s="232">
        <v>466</v>
      </c>
      <c r="CR98" s="232">
        <v>143.4</v>
      </c>
      <c r="CS98" s="176">
        <v>14.84</v>
      </c>
      <c r="CT98" s="92">
        <v>1327</v>
      </c>
      <c r="CU98" s="92">
        <v>0</v>
      </c>
      <c r="CV98" s="92">
        <v>0</v>
      </c>
      <c r="CW98" s="92">
        <v>0</v>
      </c>
      <c r="CY98" s="92">
        <v>1</v>
      </c>
      <c r="DE98" s="92">
        <v>421</v>
      </c>
      <c r="DF98" s="135">
        <v>0</v>
      </c>
      <c r="DG98" s="92" t="s">
        <v>210</v>
      </c>
      <c r="DH98" s="92">
        <v>1</v>
      </c>
      <c r="DI98" s="92">
        <v>33.4916864608076</v>
      </c>
      <c r="DJ98" s="92">
        <v>10.263157894736842</v>
      </c>
      <c r="DK98" s="92">
        <v>11.368421052631579</v>
      </c>
      <c r="DL98" s="92">
        <v>8.3684210526315788</v>
      </c>
      <c r="DM98" s="92">
        <v>15210</v>
      </c>
      <c r="DN98" s="92">
        <v>12312</v>
      </c>
      <c r="DO98" s="92">
        <v>11925</v>
      </c>
      <c r="DP98" s="92">
        <v>53.368421052631582</v>
      </c>
      <c r="DQ98" s="92">
        <v>43.2</v>
      </c>
      <c r="DR98" s="92">
        <v>41.842105263157897</v>
      </c>
      <c r="DS98" s="92">
        <v>6.7792318634423925</v>
      </c>
      <c r="DT98" s="92">
        <v>5.4875675675675692</v>
      </c>
      <c r="DU98" s="92">
        <v>5.3150782361308693</v>
      </c>
      <c r="DZ98" s="139">
        <v>100</v>
      </c>
      <c r="EA98" s="139">
        <v>363</v>
      </c>
      <c r="EB98" s="139">
        <v>59</v>
      </c>
      <c r="EC98" s="139">
        <v>57</v>
      </c>
      <c r="ED98" s="139">
        <v>8</v>
      </c>
      <c r="EE98" s="139">
        <v>2</v>
      </c>
      <c r="EF98" s="143">
        <v>60</v>
      </c>
      <c r="EG98" s="143">
        <v>130</v>
      </c>
      <c r="EH98" s="143">
        <v>74</v>
      </c>
      <c r="EI98" s="143">
        <v>165</v>
      </c>
    </row>
    <row r="99" spans="1:158">
      <c r="A99" s="175">
        <v>2060</v>
      </c>
      <c r="B99" s="92" t="s">
        <v>378</v>
      </c>
      <c r="C99" s="176">
        <v>164</v>
      </c>
      <c r="D99" s="176">
        <v>579</v>
      </c>
      <c r="E99" s="177">
        <v>0</v>
      </c>
      <c r="F99" s="176">
        <v>88</v>
      </c>
      <c r="G99" s="178">
        <v>99327.558627362712</v>
      </c>
      <c r="H99" s="176">
        <v>103.00379146919403</v>
      </c>
      <c r="I99" s="176">
        <v>0</v>
      </c>
      <c r="J99" s="176">
        <v>0</v>
      </c>
      <c r="K99" s="178">
        <v>79.167263183011215</v>
      </c>
      <c r="L99" s="176">
        <v>0</v>
      </c>
      <c r="M99" s="137">
        <v>57</v>
      </c>
      <c r="N99" s="137">
        <v>60</v>
      </c>
      <c r="O99" s="137">
        <v>57</v>
      </c>
      <c r="P99" s="137">
        <v>52</v>
      </c>
      <c r="Q99" s="137">
        <v>30</v>
      </c>
      <c r="R99" s="137">
        <v>43</v>
      </c>
      <c r="S99" s="137"/>
      <c r="T99" s="137"/>
      <c r="U99" s="137"/>
      <c r="V99" s="137"/>
      <c r="W99" s="137"/>
      <c r="X99" s="137">
        <v>66</v>
      </c>
      <c r="Y99" s="137"/>
      <c r="Z99" s="137">
        <v>57</v>
      </c>
      <c r="AA99" s="137">
        <v>0</v>
      </c>
      <c r="AB99" s="176"/>
      <c r="AC99" s="176">
        <v>0</v>
      </c>
      <c r="AE99" s="179">
        <v>30</v>
      </c>
      <c r="AF99" s="179">
        <v>0</v>
      </c>
      <c r="AG99" s="179">
        <v>32778</v>
      </c>
      <c r="AH99" s="179">
        <v>14.879486842105262</v>
      </c>
      <c r="AJ99" s="178">
        <v>164</v>
      </c>
      <c r="AK99" s="176"/>
      <c r="AL99" s="176"/>
      <c r="AM99" s="176"/>
      <c r="AO99" s="176"/>
      <c r="AP99" s="176"/>
      <c r="AQ99" s="176">
        <v>195</v>
      </c>
      <c r="AR99" s="176">
        <v>0</v>
      </c>
      <c r="AS99" s="176">
        <v>1</v>
      </c>
      <c r="AT99" s="178">
        <v>1</v>
      </c>
      <c r="AU99" s="176"/>
      <c r="AV99" s="178">
        <v>2</v>
      </c>
      <c r="AW99" s="177"/>
      <c r="AX99" s="176">
        <v>0</v>
      </c>
      <c r="AY99" s="176"/>
      <c r="AZ99" s="178">
        <v>0</v>
      </c>
      <c r="BA99" s="176"/>
      <c r="BB99" s="176">
        <v>0</v>
      </c>
      <c r="BC99" s="176">
        <v>0</v>
      </c>
      <c r="BD99" s="180" t="s">
        <v>214</v>
      </c>
      <c r="BE99" s="176"/>
      <c r="BF99" s="178">
        <v>395.6</v>
      </c>
      <c r="BG99" s="176">
        <v>204</v>
      </c>
      <c r="BJ99" s="176"/>
      <c r="BL99" s="176"/>
      <c r="BM99" s="176"/>
      <c r="BN99" s="176"/>
      <c r="BO99" s="176">
        <v>2</v>
      </c>
      <c r="BP99" s="176">
        <v>54813.232974122999</v>
      </c>
      <c r="BQ99" s="176"/>
      <c r="BR99" s="176"/>
      <c r="BS99" s="176"/>
      <c r="BT99" s="176"/>
      <c r="BU99" s="176"/>
      <c r="BV99" s="176"/>
      <c r="BW99" s="178">
        <v>0</v>
      </c>
      <c r="BX99" s="178">
        <v>0</v>
      </c>
      <c r="BY99" s="92">
        <v>16430</v>
      </c>
      <c r="BZ99" s="92">
        <v>10139</v>
      </c>
      <c r="CA99" s="92">
        <v>17633</v>
      </c>
      <c r="CB99" s="176"/>
      <c r="CC99" s="92">
        <v>3050</v>
      </c>
      <c r="CD99" s="92">
        <v>1</v>
      </c>
      <c r="CE99" s="178"/>
      <c r="CF99" s="178"/>
      <c r="CG99" s="178"/>
      <c r="CH99" s="178"/>
      <c r="CI99" s="178"/>
      <c r="CJ99" s="176">
        <v>0</v>
      </c>
      <c r="CK99" s="176">
        <v>0</v>
      </c>
      <c r="CQ99" s="232">
        <v>395.6</v>
      </c>
      <c r="CR99" s="232">
        <v>168.2</v>
      </c>
      <c r="CS99" s="176">
        <v>12.98</v>
      </c>
      <c r="CT99" s="92">
        <v>579</v>
      </c>
      <c r="CU99" s="92">
        <v>0</v>
      </c>
      <c r="CV99" s="92">
        <v>0</v>
      </c>
      <c r="CW99" s="92">
        <v>0</v>
      </c>
      <c r="DE99" s="92">
        <v>356</v>
      </c>
      <c r="DF99" s="135">
        <v>0</v>
      </c>
      <c r="DG99" s="92" t="s">
        <v>210</v>
      </c>
      <c r="DH99" s="92">
        <v>1</v>
      </c>
      <c r="DI99" s="92">
        <v>46.067415730337082</v>
      </c>
      <c r="DJ99" s="92">
        <v>10.263157894736842</v>
      </c>
      <c r="DK99" s="92">
        <v>11.368421052631579</v>
      </c>
      <c r="DL99" s="92">
        <v>8.3684210526315788</v>
      </c>
      <c r="DM99" s="92">
        <v>11700</v>
      </c>
      <c r="DN99" s="92">
        <v>10584</v>
      </c>
      <c r="DO99" s="92">
        <v>10494</v>
      </c>
      <c r="DP99" s="92">
        <v>0</v>
      </c>
      <c r="DQ99" s="92">
        <v>0</v>
      </c>
      <c r="DR99" s="92">
        <v>0</v>
      </c>
      <c r="DS99" s="92">
        <v>5.3111842105263154</v>
      </c>
      <c r="DT99" s="92">
        <v>4.8045789473684204</v>
      </c>
      <c r="DU99" s="92">
        <v>4.7637236842105253</v>
      </c>
      <c r="DZ99" s="139">
        <v>88</v>
      </c>
      <c r="EA99" s="139">
        <v>238</v>
      </c>
      <c r="EB99" s="139">
        <v>43</v>
      </c>
      <c r="EC99" s="139">
        <v>27</v>
      </c>
      <c r="ED99" s="139">
        <v>11</v>
      </c>
      <c r="EE99" s="139">
        <v>15</v>
      </c>
      <c r="EF99" s="143">
        <v>18</v>
      </c>
      <c r="EG99" s="143">
        <v>56</v>
      </c>
      <c r="EH99" s="143">
        <v>58</v>
      </c>
      <c r="EI99" s="143">
        <v>55</v>
      </c>
    </row>
    <row r="100" spans="1:158">
      <c r="A100" s="175">
        <v>3518</v>
      </c>
      <c r="B100" s="92" t="s">
        <v>116</v>
      </c>
      <c r="C100" s="176">
        <v>186</v>
      </c>
      <c r="D100" s="176">
        <v>675</v>
      </c>
      <c r="E100" s="177">
        <v>0</v>
      </c>
      <c r="F100" s="176">
        <v>0</v>
      </c>
      <c r="G100" s="178">
        <v>99264.596487499526</v>
      </c>
      <c r="H100" s="176">
        <v>177.40109170305661</v>
      </c>
      <c r="I100" s="176">
        <v>0</v>
      </c>
      <c r="J100" s="176">
        <v>0</v>
      </c>
      <c r="K100" s="178">
        <v>181.25029825817225</v>
      </c>
      <c r="L100" s="176">
        <v>0</v>
      </c>
      <c r="M100" s="137">
        <v>79</v>
      </c>
      <c r="N100" s="137">
        <v>62</v>
      </c>
      <c r="O100" s="137">
        <v>60</v>
      </c>
      <c r="P100" s="137">
        <v>53</v>
      </c>
      <c r="Q100" s="137">
        <v>52</v>
      </c>
      <c r="R100" s="137">
        <v>46</v>
      </c>
      <c r="S100" s="137"/>
      <c r="T100" s="137"/>
      <c r="U100" s="137"/>
      <c r="V100" s="137"/>
      <c r="W100" s="137"/>
      <c r="X100" s="137">
        <v>48</v>
      </c>
      <c r="Y100" s="137"/>
      <c r="Z100" s="137">
        <v>58</v>
      </c>
      <c r="AA100" s="137">
        <v>0</v>
      </c>
      <c r="AB100" s="176"/>
      <c r="AC100" s="176">
        <v>0</v>
      </c>
      <c r="AE100" s="179">
        <v>30</v>
      </c>
      <c r="AF100" s="179">
        <v>97.221052631578942</v>
      </c>
      <c r="AG100" s="179">
        <v>27708</v>
      </c>
      <c r="AH100" s="179">
        <v>21.206342105263161</v>
      </c>
      <c r="AJ100" s="178">
        <v>186</v>
      </c>
      <c r="AK100" s="176"/>
      <c r="AL100" s="176"/>
      <c r="AM100" s="176"/>
      <c r="AN100" s="176">
        <v>1</v>
      </c>
      <c r="AO100" s="176">
        <v>51660.81</v>
      </c>
      <c r="AP100" s="176"/>
      <c r="AQ100" s="176">
        <v>239</v>
      </c>
      <c r="AR100" s="176">
        <v>2</v>
      </c>
      <c r="AS100" s="176">
        <v>0</v>
      </c>
      <c r="AT100" s="178">
        <v>1</v>
      </c>
      <c r="AU100" s="176"/>
      <c r="AV100" s="178">
        <v>1</v>
      </c>
      <c r="AW100" s="177"/>
      <c r="AX100" s="176">
        <v>0</v>
      </c>
      <c r="AY100" s="176"/>
      <c r="AZ100" s="178">
        <v>0</v>
      </c>
      <c r="BA100" s="176"/>
      <c r="BB100" s="176">
        <v>0</v>
      </c>
      <c r="BC100" s="176">
        <v>0</v>
      </c>
      <c r="BD100" s="180" t="s">
        <v>214</v>
      </c>
      <c r="BE100" s="176"/>
      <c r="BF100" s="178">
        <v>438.8</v>
      </c>
      <c r="BG100" s="176">
        <v>298</v>
      </c>
      <c r="BJ100" s="176"/>
      <c r="BL100" s="176"/>
      <c r="BM100" s="176"/>
      <c r="BN100" s="176"/>
      <c r="BO100" s="176">
        <v>0</v>
      </c>
      <c r="BP100" s="176">
        <v>75049.790205725032</v>
      </c>
      <c r="BQ100" s="176"/>
      <c r="BR100" s="176"/>
      <c r="BS100" s="176"/>
      <c r="BT100" s="176"/>
      <c r="BU100" s="176"/>
      <c r="BV100" s="176"/>
      <c r="BW100" s="178">
        <v>0</v>
      </c>
      <c r="BX100" s="178">
        <v>1304.44</v>
      </c>
      <c r="BY100" s="92">
        <v>8046</v>
      </c>
      <c r="BZ100" s="92">
        <v>5606</v>
      </c>
      <c r="CA100" s="92">
        <v>24732</v>
      </c>
      <c r="CB100" s="176"/>
      <c r="CC100" s="92">
        <v>3473</v>
      </c>
      <c r="CD100" s="92">
        <v>0</v>
      </c>
      <c r="CE100" s="178"/>
      <c r="CF100" s="178"/>
      <c r="CG100" s="178"/>
      <c r="CH100" s="178"/>
      <c r="CI100" s="178"/>
      <c r="CJ100" s="176">
        <v>0</v>
      </c>
      <c r="CK100" s="176">
        <v>0</v>
      </c>
      <c r="CQ100" s="232">
        <v>438.8</v>
      </c>
      <c r="CR100" s="232">
        <v>186</v>
      </c>
      <c r="CS100" s="176">
        <v>16.8</v>
      </c>
      <c r="CT100" s="92">
        <v>675</v>
      </c>
      <c r="CU100" s="92">
        <v>0</v>
      </c>
      <c r="CV100" s="92">
        <v>0</v>
      </c>
      <c r="CW100" s="92">
        <v>0</v>
      </c>
      <c r="DE100" s="92">
        <v>410</v>
      </c>
      <c r="DF100" s="135">
        <v>0</v>
      </c>
      <c r="DG100" s="92" t="s">
        <v>210</v>
      </c>
      <c r="DH100" s="92">
        <v>1</v>
      </c>
      <c r="DI100" s="92">
        <v>45.365853658536587</v>
      </c>
      <c r="DJ100" s="92">
        <v>10.263157894736842</v>
      </c>
      <c r="DK100" s="92">
        <v>11.368421052631579</v>
      </c>
      <c r="DL100" s="92">
        <v>8.3684210526315788</v>
      </c>
      <c r="DM100" s="92">
        <v>10140</v>
      </c>
      <c r="DN100" s="92">
        <v>9936</v>
      </c>
      <c r="DO100" s="92">
        <v>7632</v>
      </c>
      <c r="DP100" s="92">
        <v>35.578947368421055</v>
      </c>
      <c r="DQ100" s="92">
        <v>34.863157894736844</v>
      </c>
      <c r="DR100" s="92">
        <v>26.778947368421051</v>
      </c>
      <c r="DS100" s="92">
        <v>7.760657894736843</v>
      </c>
      <c r="DT100" s="92">
        <v>7.6045263157894745</v>
      </c>
      <c r="DU100" s="92">
        <v>5.8411578947368419</v>
      </c>
      <c r="DZ100" s="139">
        <v>44</v>
      </c>
      <c r="EA100" s="139">
        <v>352</v>
      </c>
      <c r="EB100" s="139">
        <v>65</v>
      </c>
      <c r="EC100" s="139">
        <v>44</v>
      </c>
      <c r="ED100" s="139">
        <v>14</v>
      </c>
      <c r="EE100" s="139">
        <v>17</v>
      </c>
      <c r="EF100" s="143">
        <v>24</v>
      </c>
      <c r="EG100" s="143">
        <v>42</v>
      </c>
      <c r="EH100" s="143">
        <v>82</v>
      </c>
      <c r="EI100" s="143">
        <v>93</v>
      </c>
    </row>
    <row r="101" spans="1:158">
      <c r="A101" s="175">
        <v>2054</v>
      </c>
      <c r="B101" s="92" t="s">
        <v>379</v>
      </c>
      <c r="C101" s="176">
        <v>15</v>
      </c>
      <c r="D101" s="176">
        <v>214</v>
      </c>
      <c r="E101" s="177">
        <v>0</v>
      </c>
      <c r="F101" s="176">
        <v>0</v>
      </c>
      <c r="G101" s="178">
        <v>16217.01329296863</v>
      </c>
      <c r="H101" s="176">
        <v>30.03</v>
      </c>
      <c r="I101" s="176">
        <v>0</v>
      </c>
      <c r="J101" s="176">
        <v>0</v>
      </c>
      <c r="K101" s="178">
        <v>105</v>
      </c>
      <c r="L101" s="176">
        <v>0</v>
      </c>
      <c r="M101" s="137">
        <v>30</v>
      </c>
      <c r="N101" s="137">
        <v>30</v>
      </c>
      <c r="O101" s="137">
        <v>29</v>
      </c>
      <c r="P101" s="137">
        <v>30</v>
      </c>
      <c r="Q101" s="137">
        <v>29</v>
      </c>
      <c r="R101" s="137">
        <v>30</v>
      </c>
      <c r="S101" s="137"/>
      <c r="T101" s="137"/>
      <c r="U101" s="137"/>
      <c r="V101" s="137"/>
      <c r="W101" s="137"/>
      <c r="X101" s="137">
        <v>0</v>
      </c>
      <c r="Y101" s="137"/>
      <c r="Z101" s="137">
        <v>59</v>
      </c>
      <c r="AA101" s="137">
        <v>0</v>
      </c>
      <c r="AB101" s="176"/>
      <c r="AC101" s="176">
        <v>0</v>
      </c>
      <c r="AE101" s="179">
        <v>0</v>
      </c>
      <c r="AF101" s="179">
        <v>0</v>
      </c>
      <c r="AG101" s="179">
        <v>0</v>
      </c>
      <c r="AH101" s="179">
        <v>0</v>
      </c>
      <c r="AJ101" s="178">
        <v>15</v>
      </c>
      <c r="AK101" s="176"/>
      <c r="AL101" s="176"/>
      <c r="AM101" s="176"/>
      <c r="AO101" s="176"/>
      <c r="AP101" s="176"/>
      <c r="AQ101" s="176">
        <v>17</v>
      </c>
      <c r="AR101" s="176">
        <v>0</v>
      </c>
      <c r="AS101" s="176">
        <v>0</v>
      </c>
      <c r="AT101" s="178">
        <v>1</v>
      </c>
      <c r="AU101" s="176"/>
      <c r="AV101" s="178">
        <v>0</v>
      </c>
      <c r="AW101" s="177"/>
      <c r="AX101" s="176">
        <v>0</v>
      </c>
      <c r="AY101" s="176"/>
      <c r="AZ101" s="178">
        <v>0</v>
      </c>
      <c r="BA101" s="176"/>
      <c r="BB101" s="176">
        <v>0</v>
      </c>
      <c r="BC101" s="176">
        <v>0</v>
      </c>
      <c r="BD101" s="180" t="s">
        <v>214</v>
      </c>
      <c r="BE101" s="176"/>
      <c r="BF101" s="178">
        <v>237</v>
      </c>
      <c r="BG101" s="176">
        <v>10</v>
      </c>
      <c r="BJ101" s="176"/>
      <c r="BL101" s="176"/>
      <c r="BM101" s="176"/>
      <c r="BN101" s="176"/>
      <c r="BO101" s="176">
        <v>0</v>
      </c>
      <c r="BP101" s="176">
        <v>0</v>
      </c>
      <c r="BQ101" s="176"/>
      <c r="BR101" s="176"/>
      <c r="BS101" s="176"/>
      <c r="BT101" s="176"/>
      <c r="BU101" s="176"/>
      <c r="BV101" s="176"/>
      <c r="BW101" s="178">
        <v>0</v>
      </c>
      <c r="BX101" s="178">
        <v>0</v>
      </c>
      <c r="BY101" s="92">
        <v>14016</v>
      </c>
      <c r="BZ101" s="92">
        <v>2380</v>
      </c>
      <c r="CA101" s="92">
        <v>12709.5</v>
      </c>
      <c r="CB101" s="176"/>
      <c r="CC101" s="92">
        <v>1484</v>
      </c>
      <c r="CD101" s="92">
        <v>0</v>
      </c>
      <c r="CE101" s="178"/>
      <c r="CF101" s="178"/>
      <c r="CG101" s="178"/>
      <c r="CH101" s="178"/>
      <c r="CI101" s="178"/>
      <c r="CJ101" s="176">
        <v>0</v>
      </c>
      <c r="CK101" s="176">
        <v>0</v>
      </c>
      <c r="CQ101" s="232">
        <v>237</v>
      </c>
      <c r="CR101" s="232">
        <v>15</v>
      </c>
      <c r="CS101" s="176">
        <v>3.08</v>
      </c>
      <c r="CT101" s="92">
        <v>214</v>
      </c>
      <c r="CU101" s="92">
        <v>0</v>
      </c>
      <c r="CV101" s="92">
        <v>0</v>
      </c>
      <c r="CW101" s="92">
        <v>0</v>
      </c>
      <c r="DE101" s="92">
        <v>237</v>
      </c>
      <c r="DF101" s="135">
        <v>0</v>
      </c>
      <c r="DG101" s="92" t="s">
        <v>210</v>
      </c>
      <c r="DH101" s="92">
        <v>1</v>
      </c>
      <c r="DI101" s="92">
        <v>6.3291139240506329</v>
      </c>
      <c r="DJ101" s="92">
        <v>0</v>
      </c>
      <c r="DK101" s="92">
        <v>0</v>
      </c>
      <c r="DL101" s="92">
        <v>0</v>
      </c>
      <c r="DM101" s="92">
        <v>0</v>
      </c>
      <c r="DN101" s="92">
        <v>0</v>
      </c>
      <c r="DO101" s="92">
        <v>0</v>
      </c>
      <c r="DP101" s="92">
        <v>0</v>
      </c>
      <c r="DQ101" s="92">
        <v>0</v>
      </c>
      <c r="DR101" s="92">
        <v>0</v>
      </c>
      <c r="DS101" s="92">
        <v>0</v>
      </c>
      <c r="DT101" s="92">
        <v>0</v>
      </c>
      <c r="DU101" s="92">
        <v>0</v>
      </c>
      <c r="DZ101" s="139">
        <v>32</v>
      </c>
      <c r="EA101" s="139">
        <v>178</v>
      </c>
      <c r="EB101" s="139">
        <v>1</v>
      </c>
      <c r="EC101" s="139">
        <v>5</v>
      </c>
      <c r="ED101" s="139">
        <v>0</v>
      </c>
      <c r="EE101" s="139">
        <v>2</v>
      </c>
      <c r="EF101" s="143">
        <v>6</v>
      </c>
      <c r="EG101" s="143">
        <v>30</v>
      </c>
      <c r="EH101" s="143">
        <v>4</v>
      </c>
      <c r="EI101" s="143">
        <v>40</v>
      </c>
    </row>
    <row r="102" spans="1:158">
      <c r="A102" s="181"/>
      <c r="B102" s="176" t="s">
        <v>610</v>
      </c>
      <c r="C102" s="176"/>
      <c r="D102" s="176">
        <v>0</v>
      </c>
      <c r="F102" s="176">
        <v>0</v>
      </c>
      <c r="G102" s="177"/>
      <c r="H102" s="176">
        <v>0</v>
      </c>
      <c r="I102" s="177"/>
      <c r="J102" s="177"/>
      <c r="K102" s="178">
        <v>0</v>
      </c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6">
        <v>0</v>
      </c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8">
        <v>0</v>
      </c>
      <c r="BG102" s="176">
        <v>0</v>
      </c>
      <c r="BH102" s="177"/>
      <c r="BI102" s="177"/>
      <c r="BJ102" s="177"/>
      <c r="BK102" s="177"/>
      <c r="BL102" s="177"/>
      <c r="BM102" s="177"/>
      <c r="BN102" s="177"/>
      <c r="BO102" s="176">
        <v>0</v>
      </c>
      <c r="BP102" s="177"/>
      <c r="BQ102" s="177"/>
      <c r="BR102" s="177"/>
      <c r="BS102" s="177"/>
      <c r="BT102" s="177"/>
      <c r="BU102" s="177"/>
      <c r="BV102" s="177"/>
      <c r="BW102" s="178">
        <v>0</v>
      </c>
      <c r="BX102" s="177"/>
      <c r="BZ102" s="177"/>
      <c r="CA102" s="177"/>
      <c r="CB102" s="177"/>
      <c r="CC102" s="92">
        <v>0</v>
      </c>
      <c r="CD102" s="177"/>
      <c r="CE102" s="177"/>
      <c r="CF102" s="177"/>
      <c r="CG102" s="177"/>
      <c r="CH102" s="177"/>
      <c r="CI102" s="177"/>
      <c r="CJ102" s="177"/>
      <c r="CK102" s="177"/>
      <c r="CL102" s="177"/>
      <c r="CM102" s="177"/>
      <c r="CN102" s="177"/>
      <c r="CO102" s="177"/>
      <c r="CP102" s="177"/>
      <c r="CR102" s="232">
        <v>0</v>
      </c>
      <c r="CS102" s="177"/>
      <c r="CT102" s="92">
        <v>0</v>
      </c>
      <c r="CU102" s="177"/>
      <c r="CV102" s="177"/>
      <c r="CW102" s="177"/>
      <c r="CX102" s="177"/>
      <c r="CY102" s="177"/>
      <c r="CZ102" s="177"/>
      <c r="DA102" s="177"/>
      <c r="DB102" s="177"/>
      <c r="DC102" s="177"/>
      <c r="DD102" s="177"/>
      <c r="DE102" s="92">
        <v>0</v>
      </c>
      <c r="DF102" s="177"/>
      <c r="DG102" s="177"/>
      <c r="DI102" s="92">
        <v>0</v>
      </c>
      <c r="DN102" s="92"/>
      <c r="DO102" s="92"/>
      <c r="DP102" s="92"/>
      <c r="DQ102" s="92"/>
      <c r="DR102" s="92"/>
      <c r="DS102" s="92"/>
      <c r="DT102" s="92"/>
      <c r="DU102" s="92"/>
      <c r="DV102" s="182"/>
      <c r="DW102" s="182"/>
      <c r="DX102" s="182"/>
      <c r="DY102" s="182"/>
      <c r="DZ102" s="139">
        <v>0</v>
      </c>
      <c r="EA102" s="139">
        <v>0</v>
      </c>
      <c r="EB102" s="139">
        <v>0</v>
      </c>
      <c r="EC102" s="139">
        <v>0</v>
      </c>
      <c r="ED102" s="139">
        <v>0</v>
      </c>
      <c r="EE102" s="139">
        <v>0</v>
      </c>
      <c r="EF102" s="183"/>
      <c r="EG102" s="183"/>
      <c r="EH102" s="183"/>
      <c r="EI102" s="183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</row>
    <row r="103" spans="1:158">
      <c r="A103" s="175">
        <v>5406</v>
      </c>
      <c r="B103" s="92" t="s">
        <v>409</v>
      </c>
      <c r="C103" s="184">
        <v>117</v>
      </c>
      <c r="D103" s="176">
        <v>259</v>
      </c>
      <c r="E103" s="177">
        <v>0</v>
      </c>
      <c r="F103" s="176">
        <v>0</v>
      </c>
      <c r="G103" s="178">
        <v>129.42853976092383</v>
      </c>
      <c r="H103" s="176">
        <v>227.17097035040479</v>
      </c>
      <c r="I103" s="176">
        <v>0</v>
      </c>
      <c r="J103" s="176">
        <v>0</v>
      </c>
      <c r="K103" s="178">
        <v>329.58482462419465</v>
      </c>
      <c r="L103" s="176">
        <v>0</v>
      </c>
      <c r="M103" s="137">
        <v>0</v>
      </c>
      <c r="N103" s="137">
        <v>0</v>
      </c>
      <c r="O103" s="137">
        <v>0</v>
      </c>
      <c r="P103" s="137">
        <v>0</v>
      </c>
      <c r="Q103" s="137">
        <v>0</v>
      </c>
      <c r="R103" s="137">
        <v>0</v>
      </c>
      <c r="S103" s="185">
        <v>224</v>
      </c>
      <c r="T103" s="185">
        <v>224</v>
      </c>
      <c r="U103" s="185">
        <v>224</v>
      </c>
      <c r="V103" s="185">
        <v>224</v>
      </c>
      <c r="W103" s="185">
        <v>222</v>
      </c>
      <c r="X103" s="137">
        <v>0</v>
      </c>
      <c r="Y103" s="137"/>
      <c r="Z103" s="137">
        <v>0</v>
      </c>
      <c r="AA103" s="137">
        <v>0</v>
      </c>
      <c r="AB103" s="176"/>
      <c r="AC103" s="176">
        <v>0</v>
      </c>
      <c r="AE103" s="179">
        <v>0</v>
      </c>
      <c r="AJ103" s="184">
        <v>117</v>
      </c>
      <c r="AK103" s="176"/>
      <c r="AL103" s="176"/>
      <c r="AM103" s="176"/>
      <c r="AO103" s="176"/>
      <c r="AP103" s="176"/>
      <c r="AQ103" s="176">
        <v>213</v>
      </c>
      <c r="AR103" s="176">
        <v>2</v>
      </c>
      <c r="AS103" s="176">
        <v>0</v>
      </c>
      <c r="AT103" s="178">
        <v>1</v>
      </c>
      <c r="AU103" s="176"/>
      <c r="AV103" s="178">
        <v>13</v>
      </c>
      <c r="AW103" s="177"/>
      <c r="AX103" s="176">
        <v>0</v>
      </c>
      <c r="AY103" s="176"/>
      <c r="AZ103" s="178">
        <v>0</v>
      </c>
      <c r="BA103" s="176"/>
      <c r="BB103" s="176">
        <v>0</v>
      </c>
      <c r="BC103" s="176">
        <v>0</v>
      </c>
      <c r="BD103" s="180" t="s">
        <v>604</v>
      </c>
      <c r="BE103" s="176"/>
      <c r="BF103" s="178">
        <v>0</v>
      </c>
      <c r="BG103" s="176">
        <v>242</v>
      </c>
      <c r="BJ103" s="176"/>
      <c r="BL103" s="176"/>
      <c r="BM103" s="176"/>
      <c r="BN103" s="176"/>
      <c r="BO103" s="176">
        <v>0</v>
      </c>
      <c r="BP103" s="176">
        <v>0</v>
      </c>
      <c r="BQ103" s="176"/>
      <c r="BR103" s="176"/>
      <c r="BS103" s="176"/>
      <c r="BT103" s="176"/>
      <c r="BU103" s="176"/>
      <c r="BV103" s="176"/>
      <c r="BW103" s="178">
        <v>0</v>
      </c>
      <c r="BX103" s="178">
        <v>0</v>
      </c>
      <c r="BY103" s="92">
        <v>112304</v>
      </c>
      <c r="BZ103" s="92">
        <v>0</v>
      </c>
      <c r="CA103" s="92">
        <v>0</v>
      </c>
      <c r="CB103" s="176"/>
      <c r="CC103" s="92">
        <v>11986</v>
      </c>
      <c r="CD103" s="92">
        <v>0</v>
      </c>
      <c r="CE103" s="176"/>
      <c r="CF103" s="176"/>
      <c r="CG103" s="176">
        <v>0</v>
      </c>
      <c r="CH103" s="176"/>
      <c r="CI103" s="176"/>
      <c r="CJ103" s="176">
        <v>0</v>
      </c>
      <c r="CK103" s="176">
        <v>0</v>
      </c>
      <c r="CQ103" s="232">
        <v>1484</v>
      </c>
      <c r="CR103" s="232">
        <v>139</v>
      </c>
      <c r="CS103" s="176">
        <v>49.06</v>
      </c>
      <c r="CT103" s="92">
        <v>259</v>
      </c>
      <c r="CU103" s="184">
        <v>203</v>
      </c>
      <c r="CV103" s="184">
        <v>163</v>
      </c>
      <c r="CW103" s="184">
        <v>0</v>
      </c>
      <c r="DE103" s="184">
        <v>1118</v>
      </c>
      <c r="DF103" s="186">
        <v>0.24663072776280323</v>
      </c>
      <c r="DG103" s="92" t="s">
        <v>212</v>
      </c>
      <c r="DH103" s="92">
        <v>1</v>
      </c>
      <c r="DI103" s="184">
        <v>10.465116279069768</v>
      </c>
      <c r="DN103" s="92"/>
      <c r="DO103" s="92"/>
      <c r="DP103" s="92"/>
      <c r="DQ103" s="92"/>
      <c r="DR103" s="92"/>
      <c r="DS103" s="92"/>
      <c r="DT103" s="92"/>
      <c r="DU103" s="92"/>
      <c r="DY103" s="139">
        <v>1</v>
      </c>
      <c r="DZ103" s="139">
        <v>23</v>
      </c>
      <c r="EA103" s="139">
        <v>1118</v>
      </c>
      <c r="EB103" s="139">
        <v>29</v>
      </c>
      <c r="EC103" s="139">
        <v>105</v>
      </c>
      <c r="ED103" s="139">
        <v>7</v>
      </c>
      <c r="EE103" s="139">
        <v>29</v>
      </c>
      <c r="EF103" s="143">
        <v>2</v>
      </c>
      <c r="EG103" s="143">
        <v>11</v>
      </c>
      <c r="EH103" s="143">
        <v>67</v>
      </c>
    </row>
    <row r="104" spans="1:158">
      <c r="A104" s="175">
        <v>5408</v>
      </c>
      <c r="B104" s="92" t="s">
        <v>380</v>
      </c>
      <c r="C104" s="184">
        <v>169</v>
      </c>
      <c r="D104" s="176">
        <v>545</v>
      </c>
      <c r="E104" s="177">
        <v>0</v>
      </c>
      <c r="F104" s="176">
        <v>128</v>
      </c>
      <c r="G104" s="178">
        <v>133.85110082413004</v>
      </c>
      <c r="H104" s="176">
        <v>153.78630065359491</v>
      </c>
      <c r="I104" s="176">
        <v>0</v>
      </c>
      <c r="J104" s="176">
        <v>0</v>
      </c>
      <c r="K104" s="178">
        <v>190</v>
      </c>
      <c r="L104" s="176">
        <v>0</v>
      </c>
      <c r="M104" s="137">
        <v>0</v>
      </c>
      <c r="N104" s="137">
        <v>0</v>
      </c>
      <c r="O104" s="137">
        <v>0</v>
      </c>
      <c r="P104" s="137">
        <v>0</v>
      </c>
      <c r="Q104" s="137">
        <v>0</v>
      </c>
      <c r="R104" s="137">
        <v>0</v>
      </c>
      <c r="S104" s="185">
        <v>86</v>
      </c>
      <c r="T104" s="185">
        <v>104</v>
      </c>
      <c r="U104" s="185">
        <v>104</v>
      </c>
      <c r="V104" s="185">
        <v>109</v>
      </c>
      <c r="W104" s="185">
        <v>139</v>
      </c>
      <c r="X104" s="137">
        <v>0</v>
      </c>
      <c r="Y104" s="137"/>
      <c r="Z104" s="137">
        <v>0</v>
      </c>
      <c r="AA104" s="137">
        <v>0</v>
      </c>
      <c r="AB104" s="176"/>
      <c r="AC104" s="176">
        <v>0</v>
      </c>
      <c r="AE104" s="179">
        <v>0</v>
      </c>
      <c r="AJ104" s="184">
        <v>169</v>
      </c>
      <c r="AK104" s="176"/>
      <c r="AL104" s="176"/>
      <c r="AM104" s="176"/>
      <c r="AO104" s="176"/>
      <c r="AP104" s="176"/>
      <c r="AQ104" s="176">
        <v>244</v>
      </c>
      <c r="AR104" s="176">
        <v>1</v>
      </c>
      <c r="AS104" s="176">
        <v>0</v>
      </c>
      <c r="AT104" s="178">
        <v>1</v>
      </c>
      <c r="AU104" s="176"/>
      <c r="AV104" s="178">
        <v>7</v>
      </c>
      <c r="AW104" s="177"/>
      <c r="AX104" s="176">
        <v>0</v>
      </c>
      <c r="AY104" s="176"/>
      <c r="AZ104" s="178">
        <v>0</v>
      </c>
      <c r="BA104" s="176"/>
      <c r="BB104" s="176">
        <v>0</v>
      </c>
      <c r="BC104" s="176">
        <v>0</v>
      </c>
      <c r="BD104" s="180" t="s">
        <v>597</v>
      </c>
      <c r="BE104" s="176"/>
      <c r="BF104" s="178">
        <v>0</v>
      </c>
      <c r="BG104" s="176">
        <v>544</v>
      </c>
      <c r="BJ104" s="176"/>
      <c r="BL104" s="176"/>
      <c r="BM104" s="176"/>
      <c r="BN104" s="176"/>
      <c r="BO104" s="176">
        <v>0</v>
      </c>
      <c r="BP104" s="176">
        <v>181462.68478320178</v>
      </c>
      <c r="BQ104" s="176"/>
      <c r="BR104" s="176"/>
      <c r="BS104" s="176"/>
      <c r="BT104" s="176"/>
      <c r="BU104" s="176"/>
      <c r="BV104" s="176"/>
      <c r="BW104" s="178">
        <v>0</v>
      </c>
      <c r="BX104" s="178">
        <v>1423.02</v>
      </c>
      <c r="BY104" s="92">
        <v>39909</v>
      </c>
      <c r="BZ104" s="92">
        <v>10840</v>
      </c>
      <c r="CA104" s="92">
        <v>0</v>
      </c>
      <c r="CB104" s="176"/>
      <c r="CC104" s="92">
        <v>9158</v>
      </c>
      <c r="CD104" s="92">
        <v>0</v>
      </c>
      <c r="CE104" s="176"/>
      <c r="CF104" s="176"/>
      <c r="CG104" s="176">
        <v>1164400</v>
      </c>
      <c r="CH104" s="176"/>
      <c r="CI104" s="176"/>
      <c r="CJ104" s="176">
        <v>0</v>
      </c>
      <c r="CK104" s="176">
        <v>0</v>
      </c>
      <c r="CQ104" s="232">
        <v>763</v>
      </c>
      <c r="CR104" s="232">
        <v>240</v>
      </c>
      <c r="CS104" s="176">
        <v>78.650000000000006</v>
      </c>
      <c r="CT104" s="92">
        <v>545</v>
      </c>
      <c r="CU104" s="184">
        <v>107</v>
      </c>
      <c r="CV104" s="184">
        <v>91</v>
      </c>
      <c r="CW104" s="184">
        <v>23</v>
      </c>
      <c r="CZ104" s="92">
        <v>0</v>
      </c>
      <c r="DE104" s="184">
        <v>542</v>
      </c>
      <c r="DF104" s="186">
        <v>0.28964613368283093</v>
      </c>
      <c r="DG104" s="92" t="s">
        <v>212</v>
      </c>
      <c r="DH104" s="92">
        <v>1</v>
      </c>
      <c r="DI104" s="184">
        <v>31.180811808118079</v>
      </c>
      <c r="DN104" s="92"/>
      <c r="DO104" s="92"/>
      <c r="DP104" s="92"/>
      <c r="DQ104" s="92"/>
      <c r="DR104" s="92"/>
      <c r="DS104" s="92"/>
      <c r="DT104" s="92"/>
      <c r="DU104" s="92"/>
      <c r="DZ104" s="139">
        <v>128</v>
      </c>
      <c r="EA104" s="139">
        <v>544</v>
      </c>
      <c r="EB104" s="139">
        <v>117</v>
      </c>
      <c r="EC104" s="139">
        <v>148</v>
      </c>
      <c r="ED104" s="139">
        <v>10</v>
      </c>
      <c r="EE104" s="139">
        <v>15</v>
      </c>
      <c r="EF104" s="143">
        <v>7</v>
      </c>
      <c r="EG104" s="143">
        <v>31</v>
      </c>
      <c r="EH104" s="143">
        <v>124</v>
      </c>
    </row>
    <row r="105" spans="1:158">
      <c r="A105" s="175">
        <v>4211</v>
      </c>
      <c r="B105" s="92" t="s">
        <v>381</v>
      </c>
      <c r="C105" s="184">
        <v>147</v>
      </c>
      <c r="D105" s="176">
        <v>412</v>
      </c>
      <c r="E105" s="177">
        <v>0</v>
      </c>
      <c r="F105" s="176">
        <v>0</v>
      </c>
      <c r="G105" s="178">
        <v>161.15388354052757</v>
      </c>
      <c r="H105" s="176">
        <v>201.10670886075968</v>
      </c>
      <c r="I105" s="176">
        <v>0</v>
      </c>
      <c r="J105" s="176">
        <v>0</v>
      </c>
      <c r="K105" s="178">
        <v>235</v>
      </c>
      <c r="L105" s="176">
        <v>0</v>
      </c>
      <c r="M105" s="137">
        <v>0</v>
      </c>
      <c r="N105" s="137">
        <v>0</v>
      </c>
      <c r="O105" s="137">
        <v>0</v>
      </c>
      <c r="P105" s="137">
        <v>0</v>
      </c>
      <c r="Q105" s="137">
        <v>0</v>
      </c>
      <c r="R105" s="137">
        <v>0</v>
      </c>
      <c r="S105" s="185">
        <v>146</v>
      </c>
      <c r="T105" s="185">
        <v>141</v>
      </c>
      <c r="U105" s="185">
        <v>146</v>
      </c>
      <c r="V105" s="185">
        <v>151</v>
      </c>
      <c r="W105" s="185">
        <v>150</v>
      </c>
      <c r="X105" s="137">
        <v>0</v>
      </c>
      <c r="Y105" s="137"/>
      <c r="Z105" s="137">
        <v>0</v>
      </c>
      <c r="AA105" s="137">
        <v>0</v>
      </c>
      <c r="AB105" s="176"/>
      <c r="AC105" s="176">
        <v>0</v>
      </c>
      <c r="AE105" s="179">
        <v>0</v>
      </c>
      <c r="AJ105" s="184">
        <v>147</v>
      </c>
      <c r="AK105" s="176"/>
      <c r="AL105" s="176"/>
      <c r="AM105" s="176"/>
      <c r="AO105" s="176"/>
      <c r="AP105" s="176"/>
      <c r="AQ105" s="176">
        <v>262</v>
      </c>
      <c r="AR105" s="176">
        <v>1</v>
      </c>
      <c r="AS105" s="176">
        <v>0</v>
      </c>
      <c r="AT105" s="178">
        <v>1</v>
      </c>
      <c r="AU105" s="176"/>
      <c r="AV105" s="178">
        <v>8</v>
      </c>
      <c r="AW105" s="177"/>
      <c r="AX105" s="176">
        <v>0</v>
      </c>
      <c r="AY105" s="176"/>
      <c r="AZ105" s="178">
        <v>0</v>
      </c>
      <c r="BA105" s="176"/>
      <c r="BB105" s="176">
        <v>0</v>
      </c>
      <c r="BC105" s="176">
        <v>0</v>
      </c>
      <c r="BD105" s="180" t="s">
        <v>604</v>
      </c>
      <c r="BE105" s="176"/>
      <c r="BF105" s="178">
        <v>0</v>
      </c>
      <c r="BG105" s="176">
        <v>273</v>
      </c>
      <c r="BJ105" s="176"/>
      <c r="BL105" s="176"/>
      <c r="BM105" s="176"/>
      <c r="BN105" s="176"/>
      <c r="BO105" s="176">
        <v>0</v>
      </c>
      <c r="BP105" s="176">
        <v>0</v>
      </c>
      <c r="BQ105" s="176"/>
      <c r="BR105" s="176"/>
      <c r="BS105" s="176"/>
      <c r="BT105" s="176"/>
      <c r="BU105" s="176"/>
      <c r="BV105" s="176"/>
      <c r="BW105" s="178">
        <v>0</v>
      </c>
      <c r="BX105" s="178">
        <v>948.68</v>
      </c>
      <c r="BY105" s="92">
        <v>28368</v>
      </c>
      <c r="BZ105" s="92">
        <v>0</v>
      </c>
      <c r="CA105" s="92">
        <v>0</v>
      </c>
      <c r="CB105" s="176"/>
      <c r="CC105" s="92">
        <v>8751</v>
      </c>
      <c r="CD105" s="92">
        <v>0</v>
      </c>
      <c r="CE105" s="176"/>
      <c r="CF105" s="176"/>
      <c r="CG105" s="176"/>
      <c r="CH105" s="176"/>
      <c r="CI105" s="176"/>
      <c r="CJ105" s="176">
        <v>0</v>
      </c>
      <c r="CK105" s="176">
        <v>0</v>
      </c>
      <c r="CQ105" s="232">
        <v>948</v>
      </c>
      <c r="CR105" s="232">
        <v>155</v>
      </c>
      <c r="CS105" s="176">
        <v>31.71</v>
      </c>
      <c r="CT105" s="92">
        <v>412</v>
      </c>
      <c r="CU105" s="184">
        <v>120</v>
      </c>
      <c r="CV105" s="184">
        <v>94</v>
      </c>
      <c r="CW105" s="184">
        <v>0</v>
      </c>
      <c r="DE105" s="184">
        <v>734</v>
      </c>
      <c r="DF105" s="186">
        <v>0.22573839662447256</v>
      </c>
      <c r="DG105" s="92" t="s">
        <v>212</v>
      </c>
      <c r="DH105" s="92">
        <v>1</v>
      </c>
      <c r="DI105" s="184">
        <v>20.027247956403269</v>
      </c>
      <c r="DN105" s="92"/>
      <c r="DO105" s="92"/>
      <c r="DP105" s="92"/>
      <c r="DQ105" s="92"/>
      <c r="DR105" s="92"/>
      <c r="DS105" s="92"/>
      <c r="DT105" s="92"/>
      <c r="DU105" s="92"/>
      <c r="DZ105" s="139">
        <v>55</v>
      </c>
      <c r="EA105" s="139">
        <v>734</v>
      </c>
      <c r="EB105" s="139">
        <v>35</v>
      </c>
      <c r="EC105" s="139">
        <v>131</v>
      </c>
      <c r="ED105" s="139">
        <v>1</v>
      </c>
      <c r="EE105" s="139">
        <v>34</v>
      </c>
      <c r="EF105" s="143">
        <v>4</v>
      </c>
      <c r="EG105" s="143">
        <v>21</v>
      </c>
      <c r="EH105" s="143">
        <v>100</v>
      </c>
    </row>
    <row r="106" spans="1:158">
      <c r="A106" s="175" t="s">
        <v>441</v>
      </c>
      <c r="B106" s="92" t="s">
        <v>442</v>
      </c>
      <c r="C106" s="184">
        <v>0</v>
      </c>
      <c r="D106" s="176">
        <v>0</v>
      </c>
      <c r="E106" s="177">
        <v>0</v>
      </c>
      <c r="F106" s="176">
        <v>0</v>
      </c>
      <c r="G106" s="178">
        <v>0</v>
      </c>
      <c r="H106" s="176">
        <v>0</v>
      </c>
      <c r="I106" s="176">
        <v>0</v>
      </c>
      <c r="J106" s="176">
        <v>0</v>
      </c>
      <c r="K106" s="178">
        <v>0</v>
      </c>
      <c r="L106" s="176">
        <v>0</v>
      </c>
      <c r="M106" s="137">
        <v>0</v>
      </c>
      <c r="N106" s="137">
        <v>0</v>
      </c>
      <c r="O106" s="137">
        <v>0</v>
      </c>
      <c r="P106" s="137">
        <v>0</v>
      </c>
      <c r="Q106" s="137">
        <v>0</v>
      </c>
      <c r="R106" s="137">
        <v>0</v>
      </c>
      <c r="S106" s="185">
        <v>0</v>
      </c>
      <c r="T106" s="185">
        <v>0</v>
      </c>
      <c r="U106" s="185">
        <v>0</v>
      </c>
      <c r="V106" s="185">
        <v>0</v>
      </c>
      <c r="W106" s="185">
        <v>0</v>
      </c>
      <c r="X106" s="137">
        <v>0</v>
      </c>
      <c r="Y106" s="137"/>
      <c r="Z106" s="137">
        <v>0</v>
      </c>
      <c r="AA106" s="137">
        <v>0</v>
      </c>
      <c r="AB106" s="176"/>
      <c r="AC106" s="176">
        <v>0</v>
      </c>
      <c r="AE106" s="179">
        <v>0</v>
      </c>
      <c r="AJ106" s="184">
        <v>0</v>
      </c>
      <c r="AK106" s="176"/>
      <c r="AL106" s="176"/>
      <c r="AM106" s="176"/>
      <c r="AO106" s="176"/>
      <c r="AP106" s="176"/>
      <c r="AQ106" s="176">
        <v>0</v>
      </c>
      <c r="AR106" s="176">
        <v>0</v>
      </c>
      <c r="AS106" s="176">
        <v>0</v>
      </c>
      <c r="AT106" s="178">
        <v>1</v>
      </c>
      <c r="AU106" s="176"/>
      <c r="AV106" s="178">
        <v>0</v>
      </c>
      <c r="AW106" s="177"/>
      <c r="AX106" s="176">
        <v>0</v>
      </c>
      <c r="AY106" s="176"/>
      <c r="AZ106" s="178">
        <v>0</v>
      </c>
      <c r="BA106" s="176"/>
      <c r="BB106" s="176">
        <v>0</v>
      </c>
      <c r="BC106" s="176">
        <v>0</v>
      </c>
      <c r="BD106" s="180" t="s">
        <v>604</v>
      </c>
      <c r="BE106" s="176"/>
      <c r="BF106" s="178">
        <v>0</v>
      </c>
      <c r="BG106" s="176">
        <v>0</v>
      </c>
      <c r="BJ106" s="176"/>
      <c r="BL106" s="176"/>
      <c r="BM106" s="176"/>
      <c r="BN106" s="176"/>
      <c r="BO106" s="176">
        <v>0</v>
      </c>
      <c r="BP106" s="176">
        <v>0</v>
      </c>
      <c r="BQ106" s="176"/>
      <c r="BR106" s="176"/>
      <c r="BS106" s="176"/>
      <c r="BT106" s="176"/>
      <c r="BU106" s="176"/>
      <c r="BV106" s="176"/>
      <c r="BW106" s="178">
        <v>0</v>
      </c>
      <c r="BX106" s="178">
        <v>0</v>
      </c>
      <c r="BZ106" s="92">
        <v>0</v>
      </c>
      <c r="CA106" s="92">
        <v>0</v>
      </c>
      <c r="CB106" s="176"/>
      <c r="CC106" s="92">
        <v>0</v>
      </c>
      <c r="CD106" s="92">
        <v>0</v>
      </c>
      <c r="CE106" s="176"/>
      <c r="CF106" s="176"/>
      <c r="CG106" s="176">
        <v>0</v>
      </c>
      <c r="CH106" s="176"/>
      <c r="CI106" s="176"/>
      <c r="CJ106" s="176">
        <v>0</v>
      </c>
      <c r="CK106" s="176">
        <v>0</v>
      </c>
      <c r="CQ106" s="232">
        <v>0</v>
      </c>
      <c r="CR106" s="232">
        <v>0</v>
      </c>
      <c r="CS106" s="176">
        <v>0</v>
      </c>
      <c r="CT106" s="92">
        <v>0</v>
      </c>
      <c r="CU106" s="184">
        <v>0</v>
      </c>
      <c r="CV106" s="184">
        <v>0</v>
      </c>
      <c r="CW106" s="184">
        <v>0</v>
      </c>
      <c r="DE106" s="184">
        <v>0</v>
      </c>
      <c r="DF106" s="186">
        <v>0</v>
      </c>
      <c r="DG106" s="92" t="s">
        <v>212</v>
      </c>
      <c r="DI106" s="184">
        <v>0</v>
      </c>
      <c r="DN106" s="92"/>
      <c r="DO106" s="92"/>
      <c r="DP106" s="92"/>
      <c r="DQ106" s="92"/>
      <c r="DR106" s="92"/>
      <c r="DS106" s="92"/>
      <c r="DT106" s="92"/>
      <c r="DU106" s="92"/>
      <c r="DZ106" s="139">
        <v>0</v>
      </c>
      <c r="EA106" s="139">
        <v>0</v>
      </c>
      <c r="EB106" s="139">
        <v>0</v>
      </c>
      <c r="EC106" s="139">
        <v>0</v>
      </c>
      <c r="ED106" s="139">
        <v>0</v>
      </c>
      <c r="EE106" s="139">
        <v>0</v>
      </c>
    </row>
    <row r="107" spans="1:158">
      <c r="A107" s="175">
        <v>4210</v>
      </c>
      <c r="B107" s="92" t="s">
        <v>52</v>
      </c>
      <c r="C107" s="184">
        <v>191</v>
      </c>
      <c r="D107" s="176">
        <v>336</v>
      </c>
      <c r="E107" s="177">
        <v>0</v>
      </c>
      <c r="F107" s="176">
        <v>0</v>
      </c>
      <c r="G107" s="178">
        <v>218.61378253133992</v>
      </c>
      <c r="H107" s="176">
        <v>301.49477611940318</v>
      </c>
      <c r="I107" s="176">
        <v>0</v>
      </c>
      <c r="J107" s="176">
        <v>0</v>
      </c>
      <c r="K107" s="178">
        <v>392.08363159150554</v>
      </c>
      <c r="L107" s="176">
        <v>0</v>
      </c>
      <c r="M107" s="137">
        <v>0</v>
      </c>
      <c r="N107" s="137">
        <v>0</v>
      </c>
      <c r="O107" s="137">
        <v>0</v>
      </c>
      <c r="P107" s="137">
        <v>0</v>
      </c>
      <c r="Q107" s="137">
        <v>0</v>
      </c>
      <c r="R107" s="137">
        <v>0</v>
      </c>
      <c r="S107" s="185">
        <v>179</v>
      </c>
      <c r="T107" s="185">
        <v>177</v>
      </c>
      <c r="U107" s="185">
        <v>181</v>
      </c>
      <c r="V107" s="185">
        <v>177</v>
      </c>
      <c r="W107" s="185">
        <v>181</v>
      </c>
      <c r="X107" s="137">
        <v>0</v>
      </c>
      <c r="Y107" s="137"/>
      <c r="Z107" s="137">
        <v>0</v>
      </c>
      <c r="AA107" s="137">
        <v>0</v>
      </c>
      <c r="AB107" s="176"/>
      <c r="AC107" s="176">
        <v>0</v>
      </c>
      <c r="AE107" s="179">
        <v>0</v>
      </c>
      <c r="AJ107" s="184">
        <v>191</v>
      </c>
      <c r="AK107" s="176"/>
      <c r="AL107" s="176"/>
      <c r="AM107" s="176"/>
      <c r="AO107" s="176"/>
      <c r="AP107" s="176"/>
      <c r="AQ107" s="176">
        <v>402</v>
      </c>
      <c r="AR107" s="176">
        <v>1</v>
      </c>
      <c r="AS107" s="176">
        <v>0</v>
      </c>
      <c r="AT107" s="178">
        <v>1</v>
      </c>
      <c r="AU107" s="176"/>
      <c r="AV107" s="178">
        <v>5</v>
      </c>
      <c r="AW107" s="177"/>
      <c r="AX107" s="176">
        <v>0</v>
      </c>
      <c r="AY107" s="176"/>
      <c r="AZ107" s="178">
        <v>0</v>
      </c>
      <c r="BA107" s="176"/>
      <c r="BB107" s="176">
        <v>0</v>
      </c>
      <c r="BC107" s="176">
        <v>0</v>
      </c>
      <c r="BD107" s="180" t="s">
        <v>214</v>
      </c>
      <c r="BE107" s="176"/>
      <c r="BF107" s="178">
        <v>1139</v>
      </c>
      <c r="BG107" s="176">
        <v>403</v>
      </c>
      <c r="BJ107" s="176"/>
      <c r="BL107" s="176"/>
      <c r="BM107" s="176"/>
      <c r="BN107" s="176"/>
      <c r="BO107" s="176">
        <v>3</v>
      </c>
      <c r="BP107" s="176">
        <v>0</v>
      </c>
      <c r="BQ107" s="176"/>
      <c r="BR107" s="176"/>
      <c r="BS107" s="176"/>
      <c r="BT107" s="176"/>
      <c r="BU107" s="176"/>
      <c r="BV107" s="176"/>
      <c r="BW107" s="178">
        <v>0</v>
      </c>
      <c r="BX107" s="178">
        <v>1423.02</v>
      </c>
      <c r="BY107" s="92">
        <v>46200</v>
      </c>
      <c r="BZ107" s="92">
        <v>12994</v>
      </c>
      <c r="CA107" s="92">
        <v>56882</v>
      </c>
      <c r="CB107" s="176"/>
      <c r="CC107" s="92">
        <v>10497.8</v>
      </c>
      <c r="CD107" s="92">
        <v>0</v>
      </c>
      <c r="CE107" s="176"/>
      <c r="CF107" s="176"/>
      <c r="CG107" s="176">
        <v>1299500</v>
      </c>
      <c r="CH107" s="176"/>
      <c r="CI107" s="176"/>
      <c r="CJ107" s="176">
        <v>0</v>
      </c>
      <c r="CK107" s="176">
        <v>0</v>
      </c>
      <c r="CQ107" s="232">
        <v>1138</v>
      </c>
      <c r="CR107" s="232">
        <v>216</v>
      </c>
      <c r="CS107" s="176">
        <v>65.13</v>
      </c>
      <c r="CT107" s="92">
        <v>336</v>
      </c>
      <c r="CU107" s="184">
        <v>136</v>
      </c>
      <c r="CV107" s="184">
        <v>107</v>
      </c>
      <c r="CW107" s="184">
        <v>0</v>
      </c>
      <c r="DE107" s="184">
        <v>895</v>
      </c>
      <c r="DF107" s="186">
        <v>0.21353251318101935</v>
      </c>
      <c r="DG107" s="92" t="s">
        <v>212</v>
      </c>
      <c r="DH107" s="92">
        <v>1</v>
      </c>
      <c r="DI107" s="184">
        <v>21.340782122905029</v>
      </c>
      <c r="DN107" s="92"/>
      <c r="DO107" s="92"/>
      <c r="DP107" s="92"/>
      <c r="DQ107" s="92"/>
      <c r="DR107" s="92"/>
      <c r="DS107" s="92"/>
      <c r="DT107" s="92"/>
      <c r="DU107" s="92"/>
      <c r="DZ107" s="139">
        <v>60</v>
      </c>
      <c r="EA107" s="139">
        <v>896</v>
      </c>
      <c r="EB107" s="139">
        <v>57</v>
      </c>
      <c r="EC107" s="139">
        <v>177</v>
      </c>
      <c r="ED107" s="139">
        <v>10</v>
      </c>
      <c r="EE107" s="139">
        <v>25</v>
      </c>
      <c r="EF107" s="143">
        <v>0</v>
      </c>
      <c r="EG107" s="143">
        <v>12</v>
      </c>
      <c r="EH107" s="143">
        <v>96</v>
      </c>
    </row>
    <row r="108" spans="1:158">
      <c r="A108" s="175" t="s">
        <v>439</v>
      </c>
      <c r="B108" s="92" t="s">
        <v>440</v>
      </c>
      <c r="C108" s="184">
        <v>0</v>
      </c>
      <c r="D108" s="176">
        <v>0</v>
      </c>
      <c r="E108" s="177">
        <v>0</v>
      </c>
      <c r="F108" s="176">
        <v>0</v>
      </c>
      <c r="G108" s="178">
        <v>0</v>
      </c>
      <c r="H108" s="176">
        <v>0</v>
      </c>
      <c r="I108" s="176">
        <v>0</v>
      </c>
      <c r="J108" s="176">
        <v>0</v>
      </c>
      <c r="K108" s="178">
        <v>0</v>
      </c>
      <c r="L108" s="176">
        <v>0</v>
      </c>
      <c r="M108" s="137">
        <v>0</v>
      </c>
      <c r="N108" s="137">
        <v>0</v>
      </c>
      <c r="O108" s="137">
        <v>0</v>
      </c>
      <c r="P108" s="137">
        <v>0</v>
      </c>
      <c r="Q108" s="137">
        <v>0</v>
      </c>
      <c r="R108" s="137">
        <v>0</v>
      </c>
      <c r="S108" s="185">
        <v>0</v>
      </c>
      <c r="T108" s="185">
        <v>0</v>
      </c>
      <c r="U108" s="185">
        <v>0</v>
      </c>
      <c r="V108" s="185">
        <v>0</v>
      </c>
      <c r="W108" s="185">
        <v>0</v>
      </c>
      <c r="X108" s="137">
        <v>0</v>
      </c>
      <c r="Y108" s="137"/>
      <c r="Z108" s="137">
        <v>0</v>
      </c>
      <c r="AA108" s="137">
        <v>0</v>
      </c>
      <c r="AB108" s="176"/>
      <c r="AC108" s="176">
        <v>0</v>
      </c>
      <c r="AE108" s="179">
        <v>0</v>
      </c>
      <c r="AJ108" s="184">
        <v>0</v>
      </c>
      <c r="AK108" s="176"/>
      <c r="AL108" s="176"/>
      <c r="AM108" s="176"/>
      <c r="AO108" s="176"/>
      <c r="AP108" s="176"/>
      <c r="AQ108" s="176">
        <v>0</v>
      </c>
      <c r="AR108" s="176">
        <v>0</v>
      </c>
      <c r="AS108" s="176">
        <v>0</v>
      </c>
      <c r="AT108" s="178">
        <v>1</v>
      </c>
      <c r="AU108" s="176"/>
      <c r="AV108" s="178">
        <v>0</v>
      </c>
      <c r="AW108" s="177"/>
      <c r="AX108" s="176">
        <v>0</v>
      </c>
      <c r="AY108" s="176"/>
      <c r="AZ108" s="178">
        <v>0</v>
      </c>
      <c r="BA108" s="176"/>
      <c r="BB108" s="176">
        <v>0</v>
      </c>
      <c r="BC108" s="176">
        <v>0</v>
      </c>
      <c r="BD108" s="180" t="s">
        <v>604</v>
      </c>
      <c r="BE108" s="176"/>
      <c r="BF108" s="178">
        <v>0</v>
      </c>
      <c r="BG108" s="176">
        <v>0</v>
      </c>
      <c r="BJ108" s="176"/>
      <c r="BL108" s="176"/>
      <c r="BM108" s="176"/>
      <c r="BN108" s="176"/>
      <c r="BO108" s="176">
        <v>0</v>
      </c>
      <c r="BP108" s="176">
        <v>0</v>
      </c>
      <c r="BQ108" s="176"/>
      <c r="BR108" s="176"/>
      <c r="BS108" s="176"/>
      <c r="BT108" s="176"/>
      <c r="BU108" s="176"/>
      <c r="BV108" s="176"/>
      <c r="BW108" s="178">
        <v>0</v>
      </c>
      <c r="BX108" s="178">
        <v>0</v>
      </c>
      <c r="BZ108" s="92">
        <v>0</v>
      </c>
      <c r="CA108" s="92">
        <v>0</v>
      </c>
      <c r="CB108" s="176"/>
      <c r="CC108" s="92">
        <v>0</v>
      </c>
      <c r="CD108" s="92">
        <v>0</v>
      </c>
      <c r="CE108" s="176"/>
      <c r="CF108" s="176"/>
      <c r="CG108" s="176"/>
      <c r="CH108" s="176"/>
      <c r="CI108" s="176"/>
      <c r="CJ108" s="176">
        <v>0</v>
      </c>
      <c r="CK108" s="176">
        <v>0</v>
      </c>
      <c r="CQ108" s="232">
        <v>0</v>
      </c>
      <c r="CR108" s="232">
        <v>0</v>
      </c>
      <c r="CS108" s="176">
        <v>0</v>
      </c>
      <c r="CT108" s="92">
        <v>0</v>
      </c>
      <c r="CU108" s="184">
        <v>0</v>
      </c>
      <c r="CV108" s="184">
        <v>0</v>
      </c>
      <c r="CW108" s="184">
        <v>0</v>
      </c>
      <c r="DE108" s="184">
        <v>0</v>
      </c>
      <c r="DF108" s="186">
        <v>0</v>
      </c>
      <c r="DG108" s="92" t="s">
        <v>212</v>
      </c>
      <c r="DI108" s="184">
        <v>0</v>
      </c>
      <c r="DN108" s="92"/>
      <c r="DO108" s="92"/>
      <c r="DP108" s="92"/>
      <c r="DQ108" s="92"/>
      <c r="DR108" s="92"/>
      <c r="DS108" s="92"/>
      <c r="DT108" s="92"/>
      <c r="DU108" s="92"/>
      <c r="DZ108" s="139">
        <v>0</v>
      </c>
      <c r="EA108" s="139">
        <v>0</v>
      </c>
      <c r="EB108" s="139">
        <v>0</v>
      </c>
      <c r="EC108" s="139">
        <v>0</v>
      </c>
      <c r="ED108" s="139">
        <v>0</v>
      </c>
      <c r="EE108" s="139">
        <v>0</v>
      </c>
    </row>
    <row r="109" spans="1:158">
      <c r="A109" s="175">
        <v>4212</v>
      </c>
      <c r="B109" s="92" t="s">
        <v>611</v>
      </c>
      <c r="C109" s="184">
        <v>109</v>
      </c>
      <c r="D109" s="176">
        <v>329</v>
      </c>
      <c r="E109" s="177">
        <v>0</v>
      </c>
      <c r="F109" s="176">
        <v>0</v>
      </c>
      <c r="G109" s="178">
        <v>158.16749820890209</v>
      </c>
      <c r="H109" s="176">
        <v>215.06645502645407</v>
      </c>
      <c r="I109" s="176">
        <v>0</v>
      </c>
      <c r="J109" s="176">
        <v>0</v>
      </c>
      <c r="K109" s="178">
        <v>579.16607015032207</v>
      </c>
      <c r="L109" s="176">
        <v>0</v>
      </c>
      <c r="M109" s="137">
        <v>0</v>
      </c>
      <c r="N109" s="137">
        <v>0</v>
      </c>
      <c r="O109" s="137">
        <v>0</v>
      </c>
      <c r="P109" s="137">
        <v>0</v>
      </c>
      <c r="Q109" s="137">
        <v>0</v>
      </c>
      <c r="R109" s="137">
        <v>0</v>
      </c>
      <c r="S109" s="185">
        <v>210</v>
      </c>
      <c r="T109" s="185">
        <v>209</v>
      </c>
      <c r="U109" s="185">
        <v>209</v>
      </c>
      <c r="V109" s="185">
        <v>210</v>
      </c>
      <c r="W109" s="185">
        <v>208</v>
      </c>
      <c r="X109" s="137">
        <v>0</v>
      </c>
      <c r="Y109" s="137"/>
      <c r="Z109" s="137">
        <v>0</v>
      </c>
      <c r="AA109" s="137">
        <v>0</v>
      </c>
      <c r="AB109" s="176"/>
      <c r="AC109" s="176">
        <v>0</v>
      </c>
      <c r="AE109" s="179">
        <v>0</v>
      </c>
      <c r="AJ109" s="184">
        <v>109</v>
      </c>
      <c r="AK109" s="176"/>
      <c r="AL109" s="176"/>
      <c r="AM109" s="176"/>
      <c r="AO109" s="176"/>
      <c r="AP109" s="176"/>
      <c r="AQ109" s="176">
        <v>243</v>
      </c>
      <c r="AR109" s="176">
        <v>3</v>
      </c>
      <c r="AS109" s="176">
        <v>0</v>
      </c>
      <c r="AT109" s="178">
        <v>1</v>
      </c>
      <c r="AU109" s="176"/>
      <c r="AV109" s="178">
        <v>4</v>
      </c>
      <c r="AW109" s="177"/>
      <c r="AX109" s="176">
        <v>0</v>
      </c>
      <c r="AY109" s="176"/>
      <c r="AZ109" s="178">
        <v>0</v>
      </c>
      <c r="BA109" s="176"/>
      <c r="BB109" s="176">
        <v>0</v>
      </c>
      <c r="BC109" s="176">
        <v>0</v>
      </c>
      <c r="BD109" s="180" t="s">
        <v>604</v>
      </c>
      <c r="BE109" s="176"/>
      <c r="BF109" s="178">
        <v>0</v>
      </c>
      <c r="BG109" s="176">
        <v>175</v>
      </c>
      <c r="BJ109" s="176"/>
      <c r="BL109" s="176"/>
      <c r="BM109" s="176"/>
      <c r="BN109" s="176"/>
      <c r="BO109" s="176">
        <v>0</v>
      </c>
      <c r="BP109" s="176">
        <v>0</v>
      </c>
      <c r="BQ109" s="176"/>
      <c r="BR109" s="176"/>
      <c r="BS109" s="176"/>
      <c r="BT109" s="176"/>
      <c r="BU109" s="176"/>
      <c r="BV109" s="176"/>
      <c r="BW109" s="178">
        <v>0</v>
      </c>
      <c r="BX109" s="178">
        <v>1739.25</v>
      </c>
      <c r="BY109" s="92">
        <v>61930</v>
      </c>
      <c r="BZ109" s="92">
        <v>0</v>
      </c>
      <c r="CA109" s="92">
        <v>0</v>
      </c>
      <c r="CB109" s="176"/>
      <c r="CC109" s="92">
        <v>12518</v>
      </c>
      <c r="CD109" s="92">
        <v>0</v>
      </c>
      <c r="CE109" s="176"/>
      <c r="CF109" s="176"/>
      <c r="CG109" s="176">
        <v>0</v>
      </c>
      <c r="CH109" s="176"/>
      <c r="CI109" s="176"/>
      <c r="CJ109" s="176">
        <v>0</v>
      </c>
      <c r="CK109" s="176">
        <v>0</v>
      </c>
      <c r="CQ109" s="232">
        <v>1323</v>
      </c>
      <c r="CR109" s="232">
        <v>132</v>
      </c>
      <c r="CS109" s="176">
        <v>75.239999999999995</v>
      </c>
      <c r="CT109" s="92">
        <v>329</v>
      </c>
      <c r="CU109" s="184">
        <v>136</v>
      </c>
      <c r="CV109" s="184">
        <v>132</v>
      </c>
      <c r="CW109" s="184">
        <v>9</v>
      </c>
      <c r="DE109" s="184">
        <v>1046</v>
      </c>
      <c r="DF109" s="186">
        <v>0.20937263794406652</v>
      </c>
      <c r="DG109" s="92" t="s">
        <v>212</v>
      </c>
      <c r="DH109" s="92">
        <v>1</v>
      </c>
      <c r="DI109" s="184">
        <v>10.420650095602294</v>
      </c>
      <c r="DN109" s="92"/>
      <c r="DO109" s="92"/>
      <c r="DP109" s="92"/>
      <c r="DQ109" s="92"/>
      <c r="DR109" s="92"/>
      <c r="DS109" s="92"/>
      <c r="DT109" s="92"/>
      <c r="DU109" s="92"/>
      <c r="DY109" s="139">
        <v>1</v>
      </c>
      <c r="DZ109" s="139">
        <v>48</v>
      </c>
      <c r="EA109" s="139">
        <v>1046</v>
      </c>
      <c r="EB109" s="139">
        <v>24</v>
      </c>
      <c r="EC109" s="139">
        <v>61</v>
      </c>
      <c r="ED109" s="139">
        <v>7</v>
      </c>
      <c r="EE109" s="139">
        <v>21</v>
      </c>
      <c r="EF109" s="143">
        <v>1</v>
      </c>
      <c r="EG109" s="143">
        <v>31</v>
      </c>
      <c r="EH109" s="143">
        <v>66</v>
      </c>
    </row>
    <row r="110" spans="1:158">
      <c r="A110" s="175">
        <v>5405</v>
      </c>
      <c r="B110" s="92" t="s">
        <v>119</v>
      </c>
      <c r="C110" s="184">
        <v>63</v>
      </c>
      <c r="D110" s="176">
        <v>22</v>
      </c>
      <c r="E110" s="177">
        <v>0</v>
      </c>
      <c r="F110" s="176">
        <v>0</v>
      </c>
      <c r="G110" s="178">
        <v>93.566696812079996</v>
      </c>
      <c r="H110" s="176">
        <v>179.00724381625392</v>
      </c>
      <c r="I110" s="176">
        <v>0</v>
      </c>
      <c r="J110" s="176">
        <v>0</v>
      </c>
      <c r="K110" s="178">
        <v>480</v>
      </c>
      <c r="L110" s="176">
        <v>0</v>
      </c>
      <c r="M110" s="137">
        <v>0</v>
      </c>
      <c r="N110" s="137">
        <v>0</v>
      </c>
      <c r="O110" s="137">
        <v>0</v>
      </c>
      <c r="P110" s="137">
        <v>0</v>
      </c>
      <c r="Q110" s="137">
        <v>0</v>
      </c>
      <c r="R110" s="137">
        <v>0</v>
      </c>
      <c r="S110" s="185">
        <v>180</v>
      </c>
      <c r="T110" s="185">
        <v>159</v>
      </c>
      <c r="U110" s="185">
        <v>161</v>
      </c>
      <c r="V110" s="185">
        <v>178</v>
      </c>
      <c r="W110" s="185">
        <v>152</v>
      </c>
      <c r="X110" s="137">
        <v>0</v>
      </c>
      <c r="Y110" s="137"/>
      <c r="Z110" s="137">
        <v>0</v>
      </c>
      <c r="AA110" s="137">
        <v>0</v>
      </c>
      <c r="AB110" s="176"/>
      <c r="AC110" s="176">
        <v>0</v>
      </c>
      <c r="AE110" s="179">
        <v>0</v>
      </c>
      <c r="AJ110" s="184">
        <v>63</v>
      </c>
      <c r="AK110" s="176"/>
      <c r="AL110" s="176"/>
      <c r="AM110" s="176"/>
      <c r="AO110" s="176"/>
      <c r="AP110" s="176"/>
      <c r="AQ110" s="176">
        <v>130</v>
      </c>
      <c r="AR110" s="176">
        <v>0</v>
      </c>
      <c r="AS110" s="176">
        <v>0</v>
      </c>
      <c r="AT110" s="178">
        <v>1</v>
      </c>
      <c r="AU110" s="176"/>
      <c r="AV110" s="178">
        <v>3</v>
      </c>
      <c r="AW110" s="177"/>
      <c r="AX110" s="176">
        <v>0</v>
      </c>
      <c r="AY110" s="176"/>
      <c r="AZ110" s="178">
        <v>0</v>
      </c>
      <c r="BA110" s="176"/>
      <c r="BB110" s="176">
        <v>0</v>
      </c>
      <c r="BC110" s="176">
        <v>0</v>
      </c>
      <c r="BD110" s="180" t="s">
        <v>597</v>
      </c>
      <c r="BE110" s="176"/>
      <c r="BF110" s="178">
        <v>0</v>
      </c>
      <c r="BG110" s="176">
        <v>210</v>
      </c>
      <c r="BJ110" s="176"/>
      <c r="BL110" s="176"/>
      <c r="BM110" s="176"/>
      <c r="BN110" s="176"/>
      <c r="BO110" s="176">
        <v>2</v>
      </c>
      <c r="BP110" s="176">
        <v>0</v>
      </c>
      <c r="BQ110" s="176"/>
      <c r="BR110" s="176"/>
      <c r="BS110" s="176"/>
      <c r="BT110" s="176"/>
      <c r="BU110" s="176"/>
      <c r="BV110" s="176"/>
      <c r="BW110" s="178">
        <v>0</v>
      </c>
      <c r="BX110" s="178">
        <v>2055.48</v>
      </c>
      <c r="BY110" s="92">
        <v>53744</v>
      </c>
      <c r="BZ110" s="92">
        <v>8834</v>
      </c>
      <c r="CA110" s="92">
        <v>0</v>
      </c>
      <c r="CB110" s="176"/>
      <c r="CC110" s="92">
        <v>8927</v>
      </c>
      <c r="CD110" s="92">
        <v>0</v>
      </c>
      <c r="CE110" s="176"/>
      <c r="CF110" s="176"/>
      <c r="CG110" s="176">
        <v>1589728</v>
      </c>
      <c r="CH110" s="176"/>
      <c r="CI110" s="176"/>
      <c r="CJ110" s="176">
        <v>0</v>
      </c>
      <c r="CK110" s="176">
        <v>0</v>
      </c>
      <c r="CQ110" s="232">
        <v>1132</v>
      </c>
      <c r="CR110" s="232">
        <v>70</v>
      </c>
      <c r="CS110" s="176">
        <v>31.62</v>
      </c>
      <c r="CT110" s="92">
        <v>22</v>
      </c>
      <c r="CU110" s="184">
        <v>181</v>
      </c>
      <c r="CV110" s="184">
        <v>121</v>
      </c>
      <c r="CW110" s="184">
        <v>0</v>
      </c>
      <c r="DE110" s="184">
        <v>830</v>
      </c>
      <c r="DF110" s="186">
        <v>0.2667844522968198</v>
      </c>
      <c r="DG110" s="92" t="s">
        <v>212</v>
      </c>
      <c r="DH110" s="92">
        <v>1</v>
      </c>
      <c r="DI110" s="184">
        <v>7.5903614457831319</v>
      </c>
      <c r="DN110" s="92"/>
      <c r="DO110" s="92"/>
      <c r="DP110" s="92"/>
      <c r="DQ110" s="92"/>
      <c r="DR110" s="92"/>
      <c r="DS110" s="92"/>
      <c r="DT110" s="92"/>
      <c r="DU110" s="92"/>
      <c r="DZ110" s="139">
        <v>7</v>
      </c>
      <c r="EA110" s="139">
        <v>830</v>
      </c>
      <c r="EB110" s="139">
        <v>25</v>
      </c>
      <c r="EC110" s="139">
        <v>87</v>
      </c>
      <c r="ED110" s="139">
        <v>5</v>
      </c>
      <c r="EE110" s="139">
        <v>33</v>
      </c>
      <c r="EF110" s="143">
        <v>0</v>
      </c>
      <c r="EG110" s="143">
        <v>1</v>
      </c>
      <c r="EH110" s="143">
        <v>6</v>
      </c>
    </row>
    <row r="111" spans="1:158">
      <c r="A111" s="175">
        <v>4003</v>
      </c>
      <c r="B111" s="92" t="s">
        <v>120</v>
      </c>
      <c r="C111" s="184">
        <v>227</v>
      </c>
      <c r="D111" s="176">
        <v>391</v>
      </c>
      <c r="E111" s="177">
        <v>0</v>
      </c>
      <c r="F111" s="176">
        <v>0</v>
      </c>
      <c r="G111" s="178">
        <v>247.79350793016079</v>
      </c>
      <c r="H111" s="176">
        <v>234.03</v>
      </c>
      <c r="I111" s="176">
        <v>0</v>
      </c>
      <c r="J111" s="176">
        <v>0</v>
      </c>
      <c r="K111" s="178">
        <v>605</v>
      </c>
      <c r="L111" s="176">
        <v>0</v>
      </c>
      <c r="M111" s="137">
        <v>0</v>
      </c>
      <c r="N111" s="137">
        <v>0</v>
      </c>
      <c r="O111" s="137">
        <v>0</v>
      </c>
      <c r="P111" s="137">
        <v>0</v>
      </c>
      <c r="Q111" s="137">
        <v>0</v>
      </c>
      <c r="R111" s="137">
        <v>0</v>
      </c>
      <c r="S111" s="185">
        <v>160</v>
      </c>
      <c r="T111" s="185">
        <v>160</v>
      </c>
      <c r="U111" s="185">
        <v>161</v>
      </c>
      <c r="V111" s="185">
        <v>159</v>
      </c>
      <c r="W111" s="185">
        <v>161</v>
      </c>
      <c r="X111" s="137">
        <v>0</v>
      </c>
      <c r="Y111" s="137"/>
      <c r="Z111" s="137">
        <v>0</v>
      </c>
      <c r="AA111" s="137">
        <v>0</v>
      </c>
      <c r="AB111" s="176"/>
      <c r="AC111" s="176">
        <v>0</v>
      </c>
      <c r="AE111" s="179">
        <v>0</v>
      </c>
      <c r="AJ111" s="184">
        <v>227</v>
      </c>
      <c r="AK111" s="176"/>
      <c r="AL111" s="176"/>
      <c r="AM111" s="176"/>
      <c r="AO111" s="176"/>
      <c r="AP111" s="176"/>
      <c r="AQ111" s="176">
        <v>399</v>
      </c>
      <c r="AR111" s="176">
        <v>1</v>
      </c>
      <c r="AS111" s="176">
        <v>4</v>
      </c>
      <c r="AT111" s="178">
        <v>1.2</v>
      </c>
      <c r="AU111" s="176"/>
      <c r="AV111" s="178">
        <v>2</v>
      </c>
      <c r="AW111" s="177"/>
      <c r="AX111" s="176">
        <v>0</v>
      </c>
      <c r="AY111" s="176"/>
      <c r="AZ111" s="178">
        <v>0</v>
      </c>
      <c r="BA111" s="176"/>
      <c r="BB111" s="176">
        <v>0</v>
      </c>
      <c r="BC111" s="176">
        <v>0</v>
      </c>
      <c r="BD111" s="180" t="s">
        <v>214</v>
      </c>
      <c r="BE111" s="176"/>
      <c r="BF111" s="178">
        <v>801</v>
      </c>
      <c r="BG111" s="176">
        <v>302</v>
      </c>
      <c r="BJ111" s="176"/>
      <c r="BL111" s="176"/>
      <c r="BM111" s="176"/>
      <c r="BN111" s="176"/>
      <c r="BO111" s="176">
        <v>0</v>
      </c>
      <c r="BP111" s="176">
        <v>0</v>
      </c>
      <c r="BQ111" s="176"/>
      <c r="BR111" s="176"/>
      <c r="BS111" s="176"/>
      <c r="BT111" s="176"/>
      <c r="BU111" s="176"/>
      <c r="BV111" s="176"/>
      <c r="BW111" s="178">
        <v>0</v>
      </c>
      <c r="BX111" s="178">
        <v>1423.02</v>
      </c>
      <c r="BY111" s="92">
        <v>18400</v>
      </c>
      <c r="BZ111" s="92">
        <v>11503</v>
      </c>
      <c r="CA111" s="92">
        <v>53058</v>
      </c>
      <c r="CB111" s="176"/>
      <c r="CC111" s="92">
        <v>6409</v>
      </c>
      <c r="CD111" s="92">
        <v>0</v>
      </c>
      <c r="CE111" s="176"/>
      <c r="CF111" s="176"/>
      <c r="CG111" s="176"/>
      <c r="CH111" s="176"/>
      <c r="CI111" s="176"/>
      <c r="CJ111" s="176">
        <v>0</v>
      </c>
      <c r="CK111" s="176">
        <v>0</v>
      </c>
      <c r="CQ111" s="232">
        <v>801</v>
      </c>
      <c r="CR111" s="232">
        <v>227</v>
      </c>
      <c r="CS111" s="176">
        <v>72.680000000000007</v>
      </c>
      <c r="CT111" s="92">
        <v>391</v>
      </c>
      <c r="CU111" s="184">
        <v>0</v>
      </c>
      <c r="CV111" s="184">
        <v>0</v>
      </c>
      <c r="CW111" s="184">
        <v>0</v>
      </c>
      <c r="CZ111" s="92">
        <v>1</v>
      </c>
      <c r="DE111" s="184">
        <v>801</v>
      </c>
      <c r="DF111" s="186">
        <v>0</v>
      </c>
      <c r="DG111" s="92" t="s">
        <v>212</v>
      </c>
      <c r="DH111" s="92">
        <v>1</v>
      </c>
      <c r="DI111" s="184">
        <v>28.339575530586771</v>
      </c>
      <c r="DN111" s="92"/>
      <c r="DO111" s="92"/>
      <c r="DP111" s="92"/>
      <c r="DQ111" s="92"/>
      <c r="DR111" s="92"/>
      <c r="DS111" s="92"/>
      <c r="DT111" s="92"/>
      <c r="DU111" s="92"/>
      <c r="DZ111" s="139">
        <v>84</v>
      </c>
      <c r="EA111" s="139">
        <v>801</v>
      </c>
      <c r="EB111" s="139">
        <v>57</v>
      </c>
      <c r="EC111" s="139">
        <v>58</v>
      </c>
      <c r="ED111" s="139">
        <v>16</v>
      </c>
      <c r="EE111" s="139">
        <v>25</v>
      </c>
      <c r="EF111" s="143">
        <v>4</v>
      </c>
      <c r="EG111" s="143">
        <v>12</v>
      </c>
      <c r="EH111" s="143">
        <v>105</v>
      </c>
    </row>
    <row r="112" spans="1:158">
      <c r="A112" s="175">
        <v>5409</v>
      </c>
      <c r="B112" s="92" t="s">
        <v>121</v>
      </c>
      <c r="C112" s="184">
        <v>66</v>
      </c>
      <c r="D112" s="176">
        <v>53</v>
      </c>
      <c r="E112" s="177">
        <v>0</v>
      </c>
      <c r="F112" s="176">
        <v>0</v>
      </c>
      <c r="G112" s="178">
        <v>61.486822336276212</v>
      </c>
      <c r="H112" s="176">
        <v>100.20035190615837</v>
      </c>
      <c r="I112" s="176">
        <v>0</v>
      </c>
      <c r="J112" s="176">
        <v>0</v>
      </c>
      <c r="K112" s="178">
        <v>372.13</v>
      </c>
      <c r="L112" s="176">
        <v>0</v>
      </c>
      <c r="M112" s="137">
        <v>0</v>
      </c>
      <c r="N112" s="137">
        <v>0</v>
      </c>
      <c r="O112" s="137">
        <v>0</v>
      </c>
      <c r="P112" s="137">
        <v>0</v>
      </c>
      <c r="Q112" s="137">
        <v>0</v>
      </c>
      <c r="R112" s="137">
        <v>0</v>
      </c>
      <c r="S112" s="185">
        <v>155</v>
      </c>
      <c r="T112" s="185">
        <v>163</v>
      </c>
      <c r="U112" s="185">
        <v>160</v>
      </c>
      <c r="V112" s="185">
        <v>152</v>
      </c>
      <c r="W112" s="185">
        <v>138</v>
      </c>
      <c r="X112" s="137">
        <v>0</v>
      </c>
      <c r="Y112" s="137"/>
      <c r="Z112" s="137">
        <v>0</v>
      </c>
      <c r="AA112" s="137">
        <v>0</v>
      </c>
      <c r="AB112" s="176"/>
      <c r="AC112" s="176">
        <v>0</v>
      </c>
      <c r="AE112" s="179">
        <v>0</v>
      </c>
      <c r="AJ112" s="184">
        <v>66</v>
      </c>
      <c r="AK112" s="176"/>
      <c r="AL112" s="176"/>
      <c r="AM112" s="176"/>
      <c r="AO112" s="176"/>
      <c r="AP112" s="176"/>
      <c r="AQ112" s="176">
        <v>81</v>
      </c>
      <c r="AR112" s="176">
        <v>0</v>
      </c>
      <c r="AS112" s="176">
        <v>0</v>
      </c>
      <c r="AT112" s="178">
        <v>1</v>
      </c>
      <c r="AU112" s="176"/>
      <c r="AV112" s="178">
        <v>10</v>
      </c>
      <c r="AW112" s="177"/>
      <c r="AX112" s="176">
        <v>0</v>
      </c>
      <c r="AY112" s="176"/>
      <c r="AZ112" s="178">
        <v>0</v>
      </c>
      <c r="BA112" s="176"/>
      <c r="BB112" s="176">
        <v>1</v>
      </c>
      <c r="BC112" s="176">
        <v>1.4</v>
      </c>
      <c r="BD112" s="180" t="s">
        <v>604</v>
      </c>
      <c r="BE112" s="176"/>
      <c r="BF112" s="178">
        <v>0</v>
      </c>
      <c r="BG112" s="176">
        <v>0</v>
      </c>
      <c r="BJ112" s="176"/>
      <c r="BL112" s="176"/>
      <c r="BM112" s="176"/>
      <c r="BN112" s="176"/>
      <c r="BO112" s="176">
        <v>0</v>
      </c>
      <c r="BP112" s="176">
        <v>0</v>
      </c>
      <c r="BQ112" s="176"/>
      <c r="BR112" s="176"/>
      <c r="BS112" s="176"/>
      <c r="BT112" s="176"/>
      <c r="BU112" s="176"/>
      <c r="BV112" s="176"/>
      <c r="BW112" s="178">
        <v>0</v>
      </c>
      <c r="BX112" s="178">
        <v>0</v>
      </c>
      <c r="BY112" s="92">
        <v>33545</v>
      </c>
      <c r="BZ112" s="92">
        <v>0</v>
      </c>
      <c r="CA112" s="92">
        <v>0</v>
      </c>
      <c r="CB112" s="176"/>
      <c r="CC112" s="92">
        <v>12768.79</v>
      </c>
      <c r="CD112" s="92">
        <v>0</v>
      </c>
      <c r="CE112" s="176"/>
      <c r="CF112" s="176"/>
      <c r="CG112" s="176"/>
      <c r="CH112" s="176"/>
      <c r="CI112" s="176"/>
      <c r="CJ112" s="176">
        <v>0</v>
      </c>
      <c r="CK112" s="176">
        <v>0</v>
      </c>
      <c r="CQ112" s="232">
        <v>1023</v>
      </c>
      <c r="CR112" s="232">
        <v>79</v>
      </c>
      <c r="CS112" s="176">
        <v>24.64</v>
      </c>
      <c r="CT112" s="92">
        <v>0</v>
      </c>
      <c r="CU112" s="184">
        <v>129</v>
      </c>
      <c r="CV112" s="184">
        <v>126</v>
      </c>
      <c r="CW112" s="184">
        <v>0</v>
      </c>
      <c r="DE112" s="184">
        <v>768</v>
      </c>
      <c r="DF112" s="186">
        <v>0.24926686217008798</v>
      </c>
      <c r="DG112" s="92" t="s">
        <v>212</v>
      </c>
      <c r="DH112" s="92">
        <v>1</v>
      </c>
      <c r="DI112" s="184">
        <v>8.59375</v>
      </c>
      <c r="DN112" s="92"/>
      <c r="DO112" s="92"/>
      <c r="DP112" s="92"/>
      <c r="DQ112" s="92"/>
      <c r="DR112" s="92"/>
      <c r="DS112" s="92"/>
      <c r="DT112" s="92"/>
      <c r="DU112" s="92"/>
      <c r="DY112" s="139">
        <v>1</v>
      </c>
      <c r="DZ112" s="139">
        <v>30</v>
      </c>
      <c r="EA112" s="139">
        <v>768</v>
      </c>
      <c r="EB112" s="139">
        <v>0</v>
      </c>
      <c r="EC112" s="139">
        <v>0</v>
      </c>
      <c r="ED112" s="139">
        <v>0</v>
      </c>
      <c r="EE112" s="139">
        <v>0</v>
      </c>
      <c r="EF112" s="143">
        <v>3</v>
      </c>
      <c r="EG112" s="143">
        <v>5</v>
      </c>
      <c r="EH112" s="143">
        <v>4</v>
      </c>
    </row>
    <row r="113" spans="1:138">
      <c r="A113" s="175" t="s">
        <v>449</v>
      </c>
      <c r="B113" s="92" t="s">
        <v>612</v>
      </c>
      <c r="C113" s="184">
        <v>0</v>
      </c>
      <c r="D113" s="176">
        <v>0</v>
      </c>
      <c r="E113" s="177">
        <v>0</v>
      </c>
      <c r="F113" s="176">
        <v>0</v>
      </c>
      <c r="G113" s="178">
        <v>0</v>
      </c>
      <c r="H113" s="176">
        <v>0</v>
      </c>
      <c r="I113" s="176">
        <v>0</v>
      </c>
      <c r="J113" s="176">
        <v>0</v>
      </c>
      <c r="K113" s="178">
        <v>0</v>
      </c>
      <c r="L113" s="176">
        <v>0</v>
      </c>
      <c r="M113" s="137">
        <v>0</v>
      </c>
      <c r="N113" s="137">
        <v>0</v>
      </c>
      <c r="O113" s="137">
        <v>0</v>
      </c>
      <c r="P113" s="137">
        <v>0</v>
      </c>
      <c r="Q113" s="137">
        <v>0</v>
      </c>
      <c r="R113" s="137">
        <v>0</v>
      </c>
      <c r="S113" s="185">
        <v>0</v>
      </c>
      <c r="T113" s="185">
        <v>0</v>
      </c>
      <c r="U113" s="185">
        <v>0</v>
      </c>
      <c r="V113" s="185">
        <v>0</v>
      </c>
      <c r="W113" s="185">
        <v>0</v>
      </c>
      <c r="X113" s="137">
        <v>0</v>
      </c>
      <c r="Y113" s="137"/>
      <c r="Z113" s="137">
        <v>0</v>
      </c>
      <c r="AA113" s="137">
        <v>0</v>
      </c>
      <c r="AB113" s="176"/>
      <c r="AC113" s="176">
        <v>0</v>
      </c>
      <c r="AE113" s="179">
        <v>0</v>
      </c>
      <c r="AJ113" s="184">
        <v>0</v>
      </c>
      <c r="AK113" s="176"/>
      <c r="AL113" s="176"/>
      <c r="AM113" s="176"/>
      <c r="AO113" s="176"/>
      <c r="AP113" s="176"/>
      <c r="AQ113" s="176">
        <v>0</v>
      </c>
      <c r="AR113" s="176">
        <v>0</v>
      </c>
      <c r="AS113" s="176">
        <v>0</v>
      </c>
      <c r="AT113" s="178">
        <v>1</v>
      </c>
      <c r="AU113" s="176"/>
      <c r="AV113" s="178">
        <v>0</v>
      </c>
      <c r="AW113" s="177"/>
      <c r="AX113" s="176">
        <v>0</v>
      </c>
      <c r="AY113" s="176"/>
      <c r="AZ113" s="178">
        <v>0</v>
      </c>
      <c r="BA113" s="176"/>
      <c r="BB113" s="176">
        <v>0</v>
      </c>
      <c r="BC113" s="176">
        <v>0</v>
      </c>
      <c r="BD113" s="180" t="s">
        <v>604</v>
      </c>
      <c r="BE113" s="176"/>
      <c r="BF113" s="178">
        <v>0</v>
      </c>
      <c r="BG113" s="176">
        <v>0</v>
      </c>
      <c r="BJ113" s="176"/>
      <c r="BL113" s="176"/>
      <c r="BM113" s="176"/>
      <c r="BN113" s="176"/>
      <c r="BO113" s="176">
        <v>0</v>
      </c>
      <c r="BP113" s="176">
        <v>0</v>
      </c>
      <c r="BQ113" s="176"/>
      <c r="BR113" s="176"/>
      <c r="BS113" s="176"/>
      <c r="BT113" s="176"/>
      <c r="BU113" s="176"/>
      <c r="BV113" s="176"/>
      <c r="BW113" s="178">
        <v>0</v>
      </c>
      <c r="BX113" s="178">
        <v>0</v>
      </c>
      <c r="BZ113" s="92">
        <v>0</v>
      </c>
      <c r="CA113" s="92">
        <v>0</v>
      </c>
      <c r="CB113" s="176"/>
      <c r="CC113" s="92">
        <v>0</v>
      </c>
      <c r="CD113" s="92">
        <v>0</v>
      </c>
      <c r="CE113" s="176"/>
      <c r="CF113" s="176"/>
      <c r="CG113" s="176">
        <v>0</v>
      </c>
      <c r="CH113" s="176"/>
      <c r="CI113" s="176"/>
      <c r="CJ113" s="176">
        <v>0</v>
      </c>
      <c r="CK113" s="176">
        <v>0</v>
      </c>
      <c r="CQ113" s="232">
        <v>0</v>
      </c>
      <c r="CR113" s="232">
        <v>0</v>
      </c>
      <c r="CS113" s="176">
        <v>0</v>
      </c>
      <c r="CT113" s="92">
        <v>0</v>
      </c>
      <c r="CU113" s="184">
        <v>0</v>
      </c>
      <c r="CV113" s="184">
        <v>0</v>
      </c>
      <c r="CW113" s="184">
        <v>0</v>
      </c>
      <c r="DE113" s="184">
        <v>0</v>
      </c>
      <c r="DF113" s="186">
        <v>0</v>
      </c>
      <c r="DG113" s="92" t="s">
        <v>212</v>
      </c>
      <c r="DI113" s="184">
        <v>0</v>
      </c>
      <c r="DN113" s="92"/>
      <c r="DO113" s="92"/>
      <c r="DP113" s="92"/>
      <c r="DQ113" s="92"/>
      <c r="DR113" s="92"/>
      <c r="DS113" s="92"/>
      <c r="DT113" s="92"/>
      <c r="DU113" s="92"/>
      <c r="DZ113" s="139">
        <v>0</v>
      </c>
      <c r="EA113" s="139">
        <v>0</v>
      </c>
      <c r="EB113" s="139">
        <v>0</v>
      </c>
      <c r="EC113" s="139">
        <v>0</v>
      </c>
      <c r="ED113" s="139">
        <v>0</v>
      </c>
      <c r="EE113" s="139">
        <v>0</v>
      </c>
    </row>
    <row r="114" spans="1:138">
      <c r="A114" s="175">
        <v>5400</v>
      </c>
      <c r="B114" s="92" t="s">
        <v>122</v>
      </c>
      <c r="C114" s="184">
        <v>302</v>
      </c>
      <c r="D114" s="176">
        <v>859</v>
      </c>
      <c r="E114" s="177">
        <v>0</v>
      </c>
      <c r="F114" s="176">
        <v>0</v>
      </c>
      <c r="G114" s="178">
        <v>221.16048585138068</v>
      </c>
      <c r="H114" s="176">
        <v>298.80941080196368</v>
      </c>
      <c r="I114" s="176">
        <v>755745.6700444445</v>
      </c>
      <c r="J114" s="176">
        <v>0</v>
      </c>
      <c r="K114" s="178">
        <v>528.87258410880452</v>
      </c>
      <c r="L114" s="176">
        <v>0</v>
      </c>
      <c r="M114" s="137">
        <v>0</v>
      </c>
      <c r="N114" s="137">
        <v>0</v>
      </c>
      <c r="O114" s="137">
        <v>0</v>
      </c>
      <c r="P114" s="137">
        <v>0</v>
      </c>
      <c r="Q114" s="137">
        <v>0</v>
      </c>
      <c r="R114" s="137">
        <v>0</v>
      </c>
      <c r="S114" s="185">
        <v>199</v>
      </c>
      <c r="T114" s="185">
        <v>197</v>
      </c>
      <c r="U114" s="185">
        <v>200</v>
      </c>
      <c r="V114" s="185">
        <v>201</v>
      </c>
      <c r="W114" s="185">
        <v>198</v>
      </c>
      <c r="X114" s="137">
        <v>0</v>
      </c>
      <c r="Y114" s="137"/>
      <c r="Z114" s="137">
        <v>0</v>
      </c>
      <c r="AA114" s="137">
        <v>0</v>
      </c>
      <c r="AB114" s="176"/>
      <c r="AC114" s="176">
        <v>0</v>
      </c>
      <c r="AE114" s="179">
        <v>0</v>
      </c>
      <c r="AJ114" s="184">
        <v>302</v>
      </c>
      <c r="AK114" s="176"/>
      <c r="AL114" s="176"/>
      <c r="AM114" s="176"/>
      <c r="AO114" s="176"/>
      <c r="AP114" s="176"/>
      <c r="AQ114" s="176">
        <v>453</v>
      </c>
      <c r="AR114" s="176">
        <v>0</v>
      </c>
      <c r="AS114" s="176">
        <v>0</v>
      </c>
      <c r="AT114" s="178">
        <v>1</v>
      </c>
      <c r="AU114" s="176"/>
      <c r="AV114" s="178">
        <v>11</v>
      </c>
      <c r="AW114" s="177"/>
      <c r="AX114" s="176">
        <v>0</v>
      </c>
      <c r="AY114" s="176"/>
      <c r="AZ114" s="178">
        <v>0</v>
      </c>
      <c r="BA114" s="176"/>
      <c r="BB114" s="176">
        <v>0</v>
      </c>
      <c r="BC114" s="176">
        <v>0</v>
      </c>
      <c r="BD114" s="180" t="s">
        <v>604</v>
      </c>
      <c r="BE114" s="176"/>
      <c r="BF114" s="178">
        <v>0</v>
      </c>
      <c r="BG114" s="176">
        <v>566</v>
      </c>
      <c r="BJ114" s="176"/>
      <c r="BL114" s="176"/>
      <c r="BM114" s="176"/>
      <c r="BN114" s="176"/>
      <c r="BO114" s="176">
        <v>3</v>
      </c>
      <c r="BP114" s="176">
        <v>0</v>
      </c>
      <c r="BQ114" s="176"/>
      <c r="BR114" s="176"/>
      <c r="BS114" s="176"/>
      <c r="BT114" s="176"/>
      <c r="BU114" s="176"/>
      <c r="BV114" s="176"/>
      <c r="BW114" s="178">
        <v>0</v>
      </c>
      <c r="BX114" s="178">
        <v>0</v>
      </c>
      <c r="BY114" s="92">
        <v>24282</v>
      </c>
      <c r="BZ114" s="92">
        <v>0</v>
      </c>
      <c r="CA114" s="92">
        <v>0</v>
      </c>
      <c r="CB114" s="176"/>
      <c r="CC114" s="92">
        <v>9949</v>
      </c>
      <c r="CD114" s="92">
        <v>0</v>
      </c>
      <c r="CE114" s="176"/>
      <c r="CF114" s="176"/>
      <c r="CG114" s="176"/>
      <c r="CH114" s="176"/>
      <c r="CI114" s="176"/>
      <c r="CJ114" s="176">
        <v>0</v>
      </c>
      <c r="CK114" s="176">
        <v>0</v>
      </c>
      <c r="CQ114" s="232">
        <v>1222</v>
      </c>
      <c r="CR114" s="232">
        <v>341</v>
      </c>
      <c r="CS114" s="176">
        <v>64.680000000000007</v>
      </c>
      <c r="CT114" s="92">
        <v>859</v>
      </c>
      <c r="CU114" s="184">
        <v>136</v>
      </c>
      <c r="CV114" s="184">
        <v>91</v>
      </c>
      <c r="CW114" s="184">
        <v>0</v>
      </c>
      <c r="CZ114" s="92">
        <v>1</v>
      </c>
      <c r="DE114" s="184">
        <v>995</v>
      </c>
      <c r="DF114" s="186">
        <v>0.18576104746317512</v>
      </c>
      <c r="DG114" s="92" t="s">
        <v>212</v>
      </c>
      <c r="DH114" s="92">
        <v>1</v>
      </c>
      <c r="DI114" s="184">
        <v>30.35175879396985</v>
      </c>
      <c r="DN114" s="92"/>
      <c r="DO114" s="92"/>
      <c r="DP114" s="92"/>
      <c r="DQ114" s="92"/>
      <c r="DR114" s="92"/>
      <c r="DS114" s="92"/>
      <c r="DT114" s="92"/>
      <c r="DU114" s="92"/>
      <c r="DZ114" s="139">
        <v>27</v>
      </c>
      <c r="EA114" s="139">
        <v>995</v>
      </c>
      <c r="EB114" s="139">
        <v>114</v>
      </c>
      <c r="EC114" s="139">
        <v>133</v>
      </c>
      <c r="ED114" s="139">
        <v>22</v>
      </c>
      <c r="EE114" s="139">
        <v>25</v>
      </c>
      <c r="EF114" s="143">
        <v>6</v>
      </c>
      <c r="EG114" s="143">
        <v>25</v>
      </c>
      <c r="EH114" s="143">
        <v>239</v>
      </c>
    </row>
    <row r="115" spans="1:138">
      <c r="A115" s="175" t="s">
        <v>444</v>
      </c>
      <c r="B115" s="92" t="s">
        <v>445</v>
      </c>
      <c r="C115" s="184">
        <v>0</v>
      </c>
      <c r="D115" s="176">
        <v>0</v>
      </c>
      <c r="E115" s="177">
        <v>0</v>
      </c>
      <c r="F115" s="176">
        <v>0</v>
      </c>
      <c r="G115" s="178">
        <v>0</v>
      </c>
      <c r="H115" s="176">
        <v>0</v>
      </c>
      <c r="I115" s="176">
        <v>0</v>
      </c>
      <c r="J115" s="176">
        <v>0</v>
      </c>
      <c r="K115" s="178">
        <v>0</v>
      </c>
      <c r="L115" s="176">
        <v>0</v>
      </c>
      <c r="M115" s="137">
        <v>0</v>
      </c>
      <c r="N115" s="137">
        <v>0</v>
      </c>
      <c r="O115" s="137">
        <v>0</v>
      </c>
      <c r="P115" s="137">
        <v>0</v>
      </c>
      <c r="Q115" s="137">
        <v>0</v>
      </c>
      <c r="R115" s="137">
        <v>0</v>
      </c>
      <c r="S115" s="185">
        <v>0</v>
      </c>
      <c r="T115" s="185">
        <v>0</v>
      </c>
      <c r="U115" s="185">
        <v>0</v>
      </c>
      <c r="V115" s="185">
        <v>0</v>
      </c>
      <c r="W115" s="185">
        <v>0</v>
      </c>
      <c r="X115" s="137">
        <v>0</v>
      </c>
      <c r="Y115" s="137"/>
      <c r="Z115" s="137">
        <v>0</v>
      </c>
      <c r="AA115" s="137">
        <v>0</v>
      </c>
      <c r="AB115" s="176"/>
      <c r="AC115" s="176">
        <v>0</v>
      </c>
      <c r="AE115" s="179">
        <v>0</v>
      </c>
      <c r="AJ115" s="184">
        <v>0</v>
      </c>
      <c r="AK115" s="176"/>
      <c r="AL115" s="176"/>
      <c r="AM115" s="176"/>
      <c r="AO115" s="176"/>
      <c r="AP115" s="176"/>
      <c r="AQ115" s="176">
        <v>0</v>
      </c>
      <c r="AR115" s="176">
        <v>0</v>
      </c>
      <c r="AS115" s="176">
        <v>0</v>
      </c>
      <c r="AT115" s="178">
        <v>1</v>
      </c>
      <c r="AU115" s="176"/>
      <c r="AV115" s="178">
        <v>0</v>
      </c>
      <c r="AW115" s="177"/>
      <c r="AX115" s="176">
        <v>0</v>
      </c>
      <c r="AY115" s="176"/>
      <c r="AZ115" s="178">
        <v>0</v>
      </c>
      <c r="BA115" s="176"/>
      <c r="BB115" s="176">
        <v>0</v>
      </c>
      <c r="BC115" s="176">
        <v>0</v>
      </c>
      <c r="BD115" s="180" t="s">
        <v>604</v>
      </c>
      <c r="BE115" s="176"/>
      <c r="BF115" s="178">
        <v>0</v>
      </c>
      <c r="BG115" s="176">
        <v>0</v>
      </c>
      <c r="BJ115" s="176"/>
      <c r="BL115" s="176"/>
      <c r="BM115" s="176"/>
      <c r="BN115" s="176"/>
      <c r="BO115" s="176">
        <v>0</v>
      </c>
      <c r="BP115" s="176">
        <v>0</v>
      </c>
      <c r="BQ115" s="176"/>
      <c r="BR115" s="176"/>
      <c r="BS115" s="176"/>
      <c r="BT115" s="176"/>
      <c r="BU115" s="176"/>
      <c r="BV115" s="176"/>
      <c r="BW115" s="178">
        <v>0</v>
      </c>
      <c r="BX115" s="178">
        <v>0</v>
      </c>
      <c r="BZ115" s="92">
        <v>0</v>
      </c>
      <c r="CA115" s="92">
        <v>0</v>
      </c>
      <c r="CB115" s="176"/>
      <c r="CC115" s="92">
        <v>0</v>
      </c>
      <c r="CD115" s="92">
        <v>0</v>
      </c>
      <c r="CE115" s="176"/>
      <c r="CF115" s="176"/>
      <c r="CG115" s="176">
        <v>0</v>
      </c>
      <c r="CH115" s="176"/>
      <c r="CI115" s="176"/>
      <c r="CJ115" s="176">
        <v>0</v>
      </c>
      <c r="CK115" s="176">
        <v>0</v>
      </c>
      <c r="CQ115" s="232">
        <v>0</v>
      </c>
      <c r="CR115" s="232">
        <v>0</v>
      </c>
      <c r="CS115" s="176">
        <v>0</v>
      </c>
      <c r="CT115" s="92">
        <v>0</v>
      </c>
      <c r="CU115" s="184">
        <v>0</v>
      </c>
      <c r="CV115" s="184">
        <v>0</v>
      </c>
      <c r="CW115" s="184">
        <v>0</v>
      </c>
      <c r="DE115" s="184">
        <v>0</v>
      </c>
      <c r="DF115" s="186">
        <v>0</v>
      </c>
      <c r="DG115" s="92" t="s">
        <v>212</v>
      </c>
      <c r="DI115" s="184">
        <v>0</v>
      </c>
      <c r="DN115" s="92"/>
      <c r="DO115" s="92"/>
      <c r="DP115" s="92"/>
      <c r="DQ115" s="92"/>
      <c r="DR115" s="92"/>
      <c r="DS115" s="92"/>
      <c r="DT115" s="92"/>
      <c r="DU115" s="92"/>
      <c r="DZ115" s="139">
        <v>0</v>
      </c>
      <c r="EA115" s="139">
        <v>0</v>
      </c>
      <c r="EB115" s="139">
        <v>0</v>
      </c>
      <c r="EC115" s="139">
        <v>0</v>
      </c>
      <c r="ED115" s="139">
        <v>0</v>
      </c>
      <c r="EE115" s="139">
        <v>0</v>
      </c>
    </row>
    <row r="116" spans="1:138">
      <c r="A116" s="175">
        <v>5427</v>
      </c>
      <c r="B116" s="92" t="s">
        <v>134</v>
      </c>
      <c r="C116" s="184">
        <v>30</v>
      </c>
      <c r="D116" s="176">
        <v>116</v>
      </c>
      <c r="E116" s="177">
        <v>0</v>
      </c>
      <c r="F116" s="176">
        <v>0</v>
      </c>
      <c r="G116" s="178">
        <v>102.72739276913435</v>
      </c>
      <c r="H116" s="176">
        <v>47.643874643874696</v>
      </c>
      <c r="I116" s="176">
        <v>450830.81198888889</v>
      </c>
      <c r="J116" s="176">
        <v>0</v>
      </c>
      <c r="K116" s="178">
        <v>80</v>
      </c>
      <c r="L116" s="176">
        <v>0</v>
      </c>
      <c r="M116" s="137">
        <v>0</v>
      </c>
      <c r="N116" s="137">
        <v>0</v>
      </c>
      <c r="O116" s="137">
        <v>0</v>
      </c>
      <c r="P116" s="137">
        <v>0</v>
      </c>
      <c r="Q116" s="137">
        <v>0</v>
      </c>
      <c r="R116" s="137">
        <v>0</v>
      </c>
      <c r="S116" s="185">
        <v>191</v>
      </c>
      <c r="T116" s="185">
        <v>159</v>
      </c>
      <c r="U116" s="185">
        <v>0</v>
      </c>
      <c r="V116" s="185">
        <v>0</v>
      </c>
      <c r="W116" s="185">
        <v>0</v>
      </c>
      <c r="X116" s="137">
        <v>0</v>
      </c>
      <c r="Y116" s="137"/>
      <c r="Z116" s="137">
        <v>0</v>
      </c>
      <c r="AA116" s="137">
        <v>0</v>
      </c>
      <c r="AB116" s="176"/>
      <c r="AC116" s="176">
        <v>0</v>
      </c>
      <c r="AE116" s="179">
        <v>0</v>
      </c>
      <c r="AJ116" s="184">
        <v>30</v>
      </c>
      <c r="AK116" s="176"/>
      <c r="AL116" s="176"/>
      <c r="AM116" s="176"/>
      <c r="AO116" s="176"/>
      <c r="AP116" s="176"/>
      <c r="AQ116" s="176">
        <v>38</v>
      </c>
      <c r="AR116" s="176">
        <v>0</v>
      </c>
      <c r="AS116" s="176">
        <v>0</v>
      </c>
      <c r="AT116" s="178">
        <v>1.2</v>
      </c>
      <c r="AU116" s="176"/>
      <c r="AV116" s="178">
        <v>5</v>
      </c>
      <c r="AW116" s="177"/>
      <c r="AX116" s="176">
        <v>0</v>
      </c>
      <c r="AY116" s="176"/>
      <c r="AZ116" s="178">
        <v>0</v>
      </c>
      <c r="BA116" s="176"/>
      <c r="BB116" s="176">
        <v>0</v>
      </c>
      <c r="BC116" s="176">
        <v>0</v>
      </c>
      <c r="BD116" s="180" t="s">
        <v>597</v>
      </c>
      <c r="BE116" s="176"/>
      <c r="BF116" s="178">
        <v>0</v>
      </c>
      <c r="BG116" s="176">
        <v>5</v>
      </c>
      <c r="BJ116" s="176"/>
      <c r="BL116" s="176"/>
      <c r="BM116" s="176"/>
      <c r="BN116" s="176"/>
      <c r="BO116" s="176">
        <v>0</v>
      </c>
      <c r="BP116" s="176">
        <v>0</v>
      </c>
      <c r="BQ116" s="176"/>
      <c r="BR116" s="176"/>
      <c r="BS116" s="176"/>
      <c r="BT116" s="176"/>
      <c r="BU116" s="176"/>
      <c r="BV116" s="176"/>
      <c r="BW116" s="178">
        <v>0</v>
      </c>
      <c r="BX116" s="178">
        <v>1635.72</v>
      </c>
      <c r="BY116" s="92">
        <v>52637</v>
      </c>
      <c r="BZ116" s="92">
        <v>35013</v>
      </c>
      <c r="CA116" s="92">
        <v>0</v>
      </c>
      <c r="CB116" s="176"/>
      <c r="CC116" s="92">
        <v>14652</v>
      </c>
      <c r="CD116" s="92">
        <v>0</v>
      </c>
      <c r="CE116" s="176"/>
      <c r="CF116" s="176"/>
      <c r="CG116" s="176"/>
      <c r="CH116" s="176"/>
      <c r="CI116" s="176"/>
      <c r="CJ116" s="176">
        <v>0</v>
      </c>
      <c r="CK116" s="176">
        <v>0</v>
      </c>
      <c r="CQ116" s="232">
        <v>350</v>
      </c>
      <c r="CR116" s="232">
        <v>30</v>
      </c>
      <c r="CS116" s="176">
        <v>16.426666666666669</v>
      </c>
      <c r="CT116" s="92">
        <v>116</v>
      </c>
      <c r="CU116" s="184">
        <v>0</v>
      </c>
      <c r="CV116" s="184">
        <v>0</v>
      </c>
      <c r="CW116" s="184">
        <v>0</v>
      </c>
      <c r="CX116" s="92">
        <v>935</v>
      </c>
      <c r="DE116" s="184">
        <v>350</v>
      </c>
      <c r="DF116" s="186">
        <v>0</v>
      </c>
      <c r="DG116" s="92" t="s">
        <v>212</v>
      </c>
      <c r="DH116" s="92">
        <v>1</v>
      </c>
      <c r="DI116" s="184">
        <v>8.5714285714285712</v>
      </c>
      <c r="DN116" s="92"/>
      <c r="DO116" s="92"/>
      <c r="DP116" s="92"/>
      <c r="DQ116" s="92"/>
      <c r="DR116" s="92"/>
      <c r="DS116" s="92"/>
      <c r="DT116" s="92"/>
      <c r="DU116" s="92"/>
      <c r="DZ116" s="139">
        <v>15</v>
      </c>
      <c r="EA116" s="139">
        <v>350</v>
      </c>
      <c r="EB116" s="139">
        <v>0</v>
      </c>
      <c r="EC116" s="139">
        <v>0</v>
      </c>
      <c r="ED116" s="139">
        <v>1</v>
      </c>
      <c r="EE116" s="139">
        <v>2</v>
      </c>
      <c r="EF116" s="143">
        <v>3</v>
      </c>
      <c r="EG116" s="143">
        <v>20</v>
      </c>
      <c r="EH116" s="143">
        <v>5</v>
      </c>
    </row>
    <row r="117" spans="1:138">
      <c r="A117" s="175">
        <v>5402</v>
      </c>
      <c r="B117" s="92" t="s">
        <v>408</v>
      </c>
      <c r="C117" s="184">
        <v>172</v>
      </c>
      <c r="D117" s="176">
        <v>267</v>
      </c>
      <c r="E117" s="177">
        <v>0</v>
      </c>
      <c r="F117" s="176">
        <v>0</v>
      </c>
      <c r="G117" s="178">
        <v>169.56820939717434</v>
      </c>
      <c r="H117" s="176">
        <v>278.319930675911</v>
      </c>
      <c r="I117" s="176">
        <v>505437.62</v>
      </c>
      <c r="J117" s="176">
        <v>0</v>
      </c>
      <c r="K117" s="178">
        <v>1045</v>
      </c>
      <c r="L117" s="176">
        <v>0</v>
      </c>
      <c r="M117" s="137">
        <v>0</v>
      </c>
      <c r="N117" s="137">
        <v>0</v>
      </c>
      <c r="O117" s="137">
        <v>0</v>
      </c>
      <c r="P117" s="137">
        <v>0</v>
      </c>
      <c r="Q117" s="137">
        <v>0</v>
      </c>
      <c r="R117" s="137">
        <v>0</v>
      </c>
      <c r="S117" s="185">
        <v>264</v>
      </c>
      <c r="T117" s="185">
        <v>245</v>
      </c>
      <c r="U117" s="185">
        <v>246</v>
      </c>
      <c r="V117" s="185">
        <v>244</v>
      </c>
      <c r="W117" s="185">
        <v>243</v>
      </c>
      <c r="X117" s="137">
        <v>0</v>
      </c>
      <c r="Y117" s="137"/>
      <c r="Z117" s="137">
        <v>0</v>
      </c>
      <c r="AA117" s="137">
        <v>0</v>
      </c>
      <c r="AB117" s="176"/>
      <c r="AC117" s="176">
        <v>0</v>
      </c>
      <c r="AE117" s="179">
        <v>0</v>
      </c>
      <c r="AJ117" s="184">
        <v>172</v>
      </c>
      <c r="AK117" s="176"/>
      <c r="AL117" s="176"/>
      <c r="AM117" s="176"/>
      <c r="AO117" s="176"/>
      <c r="AP117" s="176"/>
      <c r="AQ117" s="176">
        <v>288</v>
      </c>
      <c r="AR117" s="176">
        <v>5</v>
      </c>
      <c r="AS117" s="176">
        <v>0</v>
      </c>
      <c r="AT117" s="178">
        <v>1</v>
      </c>
      <c r="AU117" s="176"/>
      <c r="AV117" s="178">
        <v>9</v>
      </c>
      <c r="AW117" s="177"/>
      <c r="AX117" s="176">
        <v>0</v>
      </c>
      <c r="AY117" s="176"/>
      <c r="AZ117" s="178">
        <v>0</v>
      </c>
      <c r="BA117" s="176"/>
      <c r="BB117" s="176">
        <v>1</v>
      </c>
      <c r="BC117" s="176">
        <v>1</v>
      </c>
      <c r="BD117" s="180" t="s">
        <v>604</v>
      </c>
      <c r="BE117" s="176"/>
      <c r="BF117" s="178">
        <v>0</v>
      </c>
      <c r="BG117" s="176">
        <v>434</v>
      </c>
      <c r="BJ117" s="176"/>
      <c r="BL117" s="176"/>
      <c r="BM117" s="176"/>
      <c r="BN117" s="176"/>
      <c r="BO117" s="176">
        <v>1</v>
      </c>
      <c r="BP117" s="176">
        <v>0</v>
      </c>
      <c r="BQ117" s="176"/>
      <c r="BR117" s="176"/>
      <c r="BS117" s="176"/>
      <c r="BT117" s="176"/>
      <c r="BU117" s="176"/>
      <c r="BV117" s="176"/>
      <c r="BW117" s="178">
        <v>0</v>
      </c>
      <c r="BX117" s="178">
        <v>1739.25</v>
      </c>
      <c r="BY117" s="92">
        <v>91186</v>
      </c>
      <c r="BZ117" s="92">
        <v>0</v>
      </c>
      <c r="CA117" s="92">
        <v>0</v>
      </c>
      <c r="CB117" s="176"/>
      <c r="CC117" s="92">
        <v>12421</v>
      </c>
      <c r="CD117" s="92">
        <v>0</v>
      </c>
      <c r="CE117" s="176"/>
      <c r="CF117" s="176"/>
      <c r="CG117" s="176"/>
      <c r="CH117" s="176"/>
      <c r="CI117" s="176"/>
      <c r="CJ117" s="176">
        <v>0</v>
      </c>
      <c r="CK117" s="176">
        <v>0</v>
      </c>
      <c r="CQ117" s="232">
        <v>1731</v>
      </c>
      <c r="CR117" s="232">
        <v>203</v>
      </c>
      <c r="CS117" s="176">
        <v>63.7</v>
      </c>
      <c r="CT117" s="92">
        <v>267</v>
      </c>
      <c r="CU117" s="184">
        <v>276</v>
      </c>
      <c r="CV117" s="184">
        <v>213</v>
      </c>
      <c r="CW117" s="184">
        <v>0</v>
      </c>
      <c r="DE117" s="184">
        <v>1242</v>
      </c>
      <c r="DF117" s="186">
        <v>0.28249566724436742</v>
      </c>
      <c r="DG117" s="92" t="s">
        <v>212</v>
      </c>
      <c r="DH117" s="92">
        <v>1</v>
      </c>
      <c r="DI117" s="184">
        <v>13.848631239935589</v>
      </c>
      <c r="DN117" s="92"/>
      <c r="DO117" s="92"/>
      <c r="DP117" s="92"/>
      <c r="DQ117" s="92"/>
      <c r="DR117" s="92"/>
      <c r="DS117" s="92"/>
      <c r="DT117" s="92"/>
      <c r="DU117" s="92"/>
      <c r="DZ117" s="139">
        <v>40</v>
      </c>
      <c r="EA117" s="139">
        <v>1242</v>
      </c>
      <c r="EB117" s="139">
        <v>53</v>
      </c>
      <c r="EC117" s="139">
        <v>195</v>
      </c>
      <c r="ED117" s="139">
        <v>10</v>
      </c>
      <c r="EE117" s="139">
        <v>50</v>
      </c>
      <c r="EF117" s="143">
        <v>0</v>
      </c>
      <c r="EG117" s="143">
        <v>12</v>
      </c>
      <c r="EH117" s="143">
        <v>73</v>
      </c>
    </row>
    <row r="118" spans="1:138">
      <c r="A118" s="175" t="s">
        <v>446</v>
      </c>
      <c r="B118" s="92" t="s">
        <v>613</v>
      </c>
      <c r="C118" s="184">
        <v>0</v>
      </c>
      <c r="D118" s="176">
        <v>0</v>
      </c>
      <c r="E118" s="177">
        <v>0</v>
      </c>
      <c r="F118" s="176">
        <v>0</v>
      </c>
      <c r="G118" s="178">
        <v>0</v>
      </c>
      <c r="H118" s="176">
        <v>0</v>
      </c>
      <c r="I118" s="176">
        <v>0</v>
      </c>
      <c r="J118" s="176">
        <v>0</v>
      </c>
      <c r="K118" s="178">
        <v>0</v>
      </c>
      <c r="L118" s="176">
        <v>0</v>
      </c>
      <c r="M118" s="137">
        <v>0</v>
      </c>
      <c r="N118" s="137">
        <v>0</v>
      </c>
      <c r="O118" s="137">
        <v>0</v>
      </c>
      <c r="P118" s="137">
        <v>0</v>
      </c>
      <c r="Q118" s="137">
        <v>0</v>
      </c>
      <c r="R118" s="137">
        <v>0</v>
      </c>
      <c r="S118" s="185">
        <v>0</v>
      </c>
      <c r="T118" s="185">
        <v>0</v>
      </c>
      <c r="U118" s="185">
        <v>0</v>
      </c>
      <c r="V118" s="185">
        <v>0</v>
      </c>
      <c r="W118" s="185">
        <v>0</v>
      </c>
      <c r="X118" s="137">
        <v>0</v>
      </c>
      <c r="Y118" s="137"/>
      <c r="Z118" s="137">
        <v>0</v>
      </c>
      <c r="AA118" s="137">
        <v>0</v>
      </c>
      <c r="AB118" s="176"/>
      <c r="AC118" s="176">
        <v>0</v>
      </c>
      <c r="AE118" s="179">
        <v>0</v>
      </c>
      <c r="AJ118" s="184">
        <v>0</v>
      </c>
      <c r="AK118" s="176"/>
      <c r="AL118" s="176"/>
      <c r="AM118" s="176"/>
      <c r="AO118" s="176"/>
      <c r="AP118" s="176"/>
      <c r="AQ118" s="176">
        <v>0</v>
      </c>
      <c r="AR118" s="176">
        <v>0</v>
      </c>
      <c r="AS118" s="176">
        <v>0</v>
      </c>
      <c r="AT118" s="178">
        <v>1</v>
      </c>
      <c r="AU118" s="176"/>
      <c r="AV118" s="178">
        <v>0</v>
      </c>
      <c r="AW118" s="177"/>
      <c r="AX118" s="176">
        <v>0</v>
      </c>
      <c r="AY118" s="176"/>
      <c r="AZ118" s="178">
        <v>0</v>
      </c>
      <c r="BA118" s="176"/>
      <c r="BB118" s="176">
        <v>0</v>
      </c>
      <c r="BC118" s="176">
        <v>0</v>
      </c>
      <c r="BD118" s="180" t="s">
        <v>604</v>
      </c>
      <c r="BE118" s="176"/>
      <c r="BF118" s="178">
        <v>0</v>
      </c>
      <c r="BG118" s="176">
        <v>0</v>
      </c>
      <c r="BJ118" s="176"/>
      <c r="BL118" s="176"/>
      <c r="BM118" s="176"/>
      <c r="BN118" s="176"/>
      <c r="BO118" s="176">
        <v>0</v>
      </c>
      <c r="BP118" s="176">
        <v>0</v>
      </c>
      <c r="BQ118" s="176"/>
      <c r="BR118" s="176"/>
      <c r="BS118" s="176"/>
      <c r="BT118" s="176"/>
      <c r="BU118" s="176"/>
      <c r="BV118" s="176"/>
      <c r="BW118" s="178">
        <v>0</v>
      </c>
      <c r="BX118" s="178">
        <v>0</v>
      </c>
      <c r="BZ118" s="92">
        <v>0</v>
      </c>
      <c r="CA118" s="92">
        <v>0</v>
      </c>
      <c r="CB118" s="176"/>
      <c r="CC118" s="92">
        <v>0</v>
      </c>
      <c r="CD118" s="92">
        <v>0</v>
      </c>
      <c r="CE118" s="176"/>
      <c r="CF118" s="176"/>
      <c r="CG118" s="176">
        <v>0</v>
      </c>
      <c r="CH118" s="176"/>
      <c r="CI118" s="176"/>
      <c r="CJ118" s="176">
        <v>0</v>
      </c>
      <c r="CK118" s="176">
        <v>0</v>
      </c>
      <c r="CQ118" s="232">
        <v>0</v>
      </c>
      <c r="CR118" s="232">
        <v>0</v>
      </c>
      <c r="CS118" s="176">
        <v>0</v>
      </c>
      <c r="CT118" s="92">
        <v>0</v>
      </c>
      <c r="CU118" s="184">
        <v>0</v>
      </c>
      <c r="CV118" s="184">
        <v>0</v>
      </c>
      <c r="CW118" s="184">
        <v>0</v>
      </c>
      <c r="DE118" s="184">
        <v>0</v>
      </c>
      <c r="DF118" s="186">
        <v>0</v>
      </c>
      <c r="DG118" s="92" t="s">
        <v>212</v>
      </c>
      <c r="DI118" s="184">
        <v>0</v>
      </c>
      <c r="DN118" s="92"/>
      <c r="DO118" s="92"/>
      <c r="DP118" s="92"/>
      <c r="DQ118" s="92"/>
      <c r="DR118" s="92"/>
      <c r="DS118" s="92"/>
      <c r="DT118" s="92"/>
      <c r="DU118" s="92"/>
      <c r="DZ118" s="139">
        <v>0</v>
      </c>
      <c r="EA118" s="139">
        <v>0</v>
      </c>
      <c r="EB118" s="139">
        <v>0</v>
      </c>
      <c r="EC118" s="139">
        <v>0</v>
      </c>
      <c r="ED118" s="139">
        <v>0</v>
      </c>
      <c r="EE118" s="139">
        <v>0</v>
      </c>
    </row>
    <row r="119" spans="1:138">
      <c r="A119" s="175">
        <v>4208</v>
      </c>
      <c r="B119" s="92" t="s">
        <v>123</v>
      </c>
      <c r="C119" s="184">
        <v>114</v>
      </c>
      <c r="D119" s="176">
        <v>199</v>
      </c>
      <c r="E119" s="177">
        <v>0</v>
      </c>
      <c r="F119" s="176">
        <v>0</v>
      </c>
      <c r="G119" s="178">
        <v>112.69085937662662</v>
      </c>
      <c r="H119" s="176">
        <v>181.74592274678091</v>
      </c>
      <c r="I119" s="176">
        <v>0</v>
      </c>
      <c r="J119" s="176">
        <v>0</v>
      </c>
      <c r="K119" s="178">
        <v>330</v>
      </c>
      <c r="L119" s="176">
        <v>0</v>
      </c>
      <c r="M119" s="137">
        <v>0</v>
      </c>
      <c r="N119" s="137">
        <v>0</v>
      </c>
      <c r="O119" s="137">
        <v>0</v>
      </c>
      <c r="P119" s="137">
        <v>0</v>
      </c>
      <c r="Q119" s="137">
        <v>0</v>
      </c>
      <c r="R119" s="137">
        <v>0</v>
      </c>
      <c r="S119" s="185">
        <v>180</v>
      </c>
      <c r="T119" s="185">
        <v>180</v>
      </c>
      <c r="U119" s="185">
        <v>180</v>
      </c>
      <c r="V119" s="185">
        <v>181</v>
      </c>
      <c r="W119" s="185">
        <v>179</v>
      </c>
      <c r="X119" s="137">
        <v>0</v>
      </c>
      <c r="Y119" s="137"/>
      <c r="Z119" s="137">
        <v>0</v>
      </c>
      <c r="AA119" s="137">
        <v>0</v>
      </c>
      <c r="AB119" s="176"/>
      <c r="AC119" s="176">
        <v>0</v>
      </c>
      <c r="AE119" s="179">
        <v>0</v>
      </c>
      <c r="AJ119" s="184">
        <v>114</v>
      </c>
      <c r="AK119" s="176"/>
      <c r="AL119" s="176"/>
      <c r="AM119" s="176"/>
      <c r="AO119" s="176"/>
      <c r="AP119" s="176"/>
      <c r="AQ119" s="176">
        <v>198</v>
      </c>
      <c r="AR119" s="176">
        <v>1</v>
      </c>
      <c r="AS119" s="176">
        <v>2</v>
      </c>
      <c r="AT119" s="178">
        <v>1</v>
      </c>
      <c r="AU119" s="176"/>
      <c r="AV119" s="178">
        <v>9</v>
      </c>
      <c r="AW119" s="177"/>
      <c r="AX119" s="176">
        <v>0</v>
      </c>
      <c r="AY119" s="176"/>
      <c r="AZ119" s="178">
        <v>0</v>
      </c>
      <c r="BA119" s="176"/>
      <c r="BB119" s="176">
        <v>0</v>
      </c>
      <c r="BC119" s="176">
        <v>0</v>
      </c>
      <c r="BD119" s="180" t="s">
        <v>604</v>
      </c>
      <c r="BE119" s="176"/>
      <c r="BF119" s="178">
        <v>0</v>
      </c>
      <c r="BG119" s="176">
        <v>229</v>
      </c>
      <c r="BJ119" s="176"/>
      <c r="BL119" s="176"/>
      <c r="BM119" s="176"/>
      <c r="BN119" s="176"/>
      <c r="BO119" s="176">
        <v>1</v>
      </c>
      <c r="BP119" s="176">
        <v>0</v>
      </c>
      <c r="BQ119" s="176"/>
      <c r="BR119" s="176"/>
      <c r="BS119" s="176"/>
      <c r="BT119" s="176"/>
      <c r="BU119" s="176"/>
      <c r="BV119" s="176"/>
      <c r="BW119" s="178">
        <v>0</v>
      </c>
      <c r="BX119" s="178">
        <v>1423.02</v>
      </c>
      <c r="BY119" s="92">
        <v>46200</v>
      </c>
      <c r="BZ119" s="92">
        <v>0</v>
      </c>
      <c r="CA119" s="92">
        <v>0</v>
      </c>
      <c r="CB119" s="176"/>
      <c r="CC119" s="92">
        <v>10881</v>
      </c>
      <c r="CD119" s="92">
        <v>1</v>
      </c>
      <c r="CE119" s="176"/>
      <c r="CF119" s="176"/>
      <c r="CG119" s="176"/>
      <c r="CH119" s="176"/>
      <c r="CI119" s="176"/>
      <c r="CJ119" s="176">
        <v>0</v>
      </c>
      <c r="CK119" s="176">
        <v>0</v>
      </c>
      <c r="CQ119" s="232">
        <v>1165</v>
      </c>
      <c r="CR119" s="232">
        <v>135</v>
      </c>
      <c r="CS119" s="176">
        <v>50.4</v>
      </c>
      <c r="CT119" s="92">
        <v>199</v>
      </c>
      <c r="CU119" s="184">
        <v>162</v>
      </c>
      <c r="CV119" s="184">
        <v>103</v>
      </c>
      <c r="CW119" s="184">
        <v>0</v>
      </c>
      <c r="DE119" s="184">
        <v>900</v>
      </c>
      <c r="DF119" s="186">
        <v>0.22746781115879827</v>
      </c>
      <c r="DG119" s="92" t="s">
        <v>212</v>
      </c>
      <c r="DH119" s="92">
        <v>1</v>
      </c>
      <c r="DI119" s="184">
        <v>12.666666666666668</v>
      </c>
      <c r="DN119" s="92"/>
      <c r="DO119" s="92"/>
      <c r="DP119" s="92"/>
      <c r="DQ119" s="92"/>
      <c r="DR119" s="92"/>
      <c r="DS119" s="92"/>
      <c r="DT119" s="92"/>
      <c r="DU119" s="92"/>
      <c r="DY119" s="139">
        <v>1</v>
      </c>
      <c r="DZ119" s="139">
        <v>42</v>
      </c>
      <c r="EA119" s="139">
        <v>900</v>
      </c>
      <c r="EB119" s="139">
        <v>33</v>
      </c>
      <c r="EC119" s="139">
        <v>84</v>
      </c>
      <c r="ED119" s="139">
        <v>9</v>
      </c>
      <c r="EE119" s="139">
        <v>19</v>
      </c>
      <c r="EF119" s="143">
        <v>3</v>
      </c>
      <c r="EG119" s="143">
        <v>1</v>
      </c>
      <c r="EH119" s="143">
        <v>58</v>
      </c>
    </row>
    <row r="120" spans="1:138">
      <c r="A120" s="175" t="s">
        <v>438</v>
      </c>
      <c r="B120" s="92" t="s">
        <v>614</v>
      </c>
      <c r="C120" s="184">
        <v>0</v>
      </c>
      <c r="D120" s="176">
        <v>0</v>
      </c>
      <c r="E120" s="177">
        <v>0</v>
      </c>
      <c r="F120" s="176">
        <v>0</v>
      </c>
      <c r="G120" s="178">
        <v>0</v>
      </c>
      <c r="H120" s="176">
        <v>0</v>
      </c>
      <c r="I120" s="176">
        <v>0</v>
      </c>
      <c r="J120" s="176">
        <v>0</v>
      </c>
      <c r="K120" s="178">
        <v>0</v>
      </c>
      <c r="L120" s="176">
        <v>0</v>
      </c>
      <c r="M120" s="137">
        <v>0</v>
      </c>
      <c r="N120" s="137">
        <v>0</v>
      </c>
      <c r="O120" s="137">
        <v>0</v>
      </c>
      <c r="P120" s="137">
        <v>0</v>
      </c>
      <c r="Q120" s="137">
        <v>0</v>
      </c>
      <c r="R120" s="137">
        <v>0</v>
      </c>
      <c r="S120" s="185">
        <v>0</v>
      </c>
      <c r="T120" s="185">
        <v>0</v>
      </c>
      <c r="U120" s="185">
        <v>0</v>
      </c>
      <c r="V120" s="185">
        <v>0</v>
      </c>
      <c r="W120" s="185">
        <v>0</v>
      </c>
      <c r="X120" s="137">
        <v>0</v>
      </c>
      <c r="Y120" s="137"/>
      <c r="Z120" s="137">
        <v>0</v>
      </c>
      <c r="AA120" s="137">
        <v>0</v>
      </c>
      <c r="AB120" s="176"/>
      <c r="AC120" s="176">
        <v>0</v>
      </c>
      <c r="AE120" s="179">
        <v>0</v>
      </c>
      <c r="AJ120" s="184">
        <v>0</v>
      </c>
      <c r="AK120" s="176"/>
      <c r="AL120" s="176"/>
      <c r="AM120" s="176"/>
      <c r="AO120" s="176"/>
      <c r="AP120" s="176"/>
      <c r="AQ120" s="176">
        <v>0</v>
      </c>
      <c r="AR120" s="176">
        <v>0</v>
      </c>
      <c r="AS120" s="176">
        <v>0</v>
      </c>
      <c r="AT120" s="178">
        <v>1</v>
      </c>
      <c r="AU120" s="176"/>
      <c r="AV120" s="178">
        <v>0</v>
      </c>
      <c r="AW120" s="177"/>
      <c r="AX120" s="176">
        <v>0</v>
      </c>
      <c r="AY120" s="176"/>
      <c r="AZ120" s="178">
        <v>0</v>
      </c>
      <c r="BA120" s="176"/>
      <c r="BB120" s="176">
        <v>0</v>
      </c>
      <c r="BC120" s="176">
        <v>0</v>
      </c>
      <c r="BD120" s="180" t="s">
        <v>604</v>
      </c>
      <c r="BE120" s="176"/>
      <c r="BF120" s="178">
        <v>0</v>
      </c>
      <c r="BG120" s="176">
        <v>0</v>
      </c>
      <c r="BJ120" s="176"/>
      <c r="BL120" s="176"/>
      <c r="BM120" s="176"/>
      <c r="BN120" s="176"/>
      <c r="BO120" s="176">
        <v>0</v>
      </c>
      <c r="BP120" s="176">
        <v>0</v>
      </c>
      <c r="BQ120" s="176"/>
      <c r="BR120" s="176"/>
      <c r="BS120" s="176"/>
      <c r="BT120" s="176"/>
      <c r="BU120" s="176"/>
      <c r="BV120" s="176"/>
      <c r="BW120" s="178">
        <v>0</v>
      </c>
      <c r="BX120" s="178">
        <v>0</v>
      </c>
      <c r="BZ120" s="92">
        <v>0</v>
      </c>
      <c r="CA120" s="92">
        <v>0</v>
      </c>
      <c r="CB120" s="176"/>
      <c r="CC120" s="92">
        <v>0</v>
      </c>
      <c r="CD120" s="92">
        <v>0</v>
      </c>
      <c r="CE120" s="176"/>
      <c r="CF120" s="176"/>
      <c r="CG120" s="176">
        <v>0</v>
      </c>
      <c r="CH120" s="176"/>
      <c r="CI120" s="176"/>
      <c r="CJ120" s="176">
        <v>0</v>
      </c>
      <c r="CK120" s="176">
        <v>0</v>
      </c>
      <c r="CQ120" s="232">
        <v>0</v>
      </c>
      <c r="CR120" s="232">
        <v>0</v>
      </c>
      <c r="CS120" s="176">
        <v>0</v>
      </c>
      <c r="CT120" s="92">
        <v>0</v>
      </c>
      <c r="CU120" s="184">
        <v>0</v>
      </c>
      <c r="CV120" s="184">
        <v>0</v>
      </c>
      <c r="CW120" s="184">
        <v>0</v>
      </c>
      <c r="DE120" s="184">
        <v>0</v>
      </c>
      <c r="DF120" s="186">
        <v>0</v>
      </c>
      <c r="DG120" s="92" t="s">
        <v>212</v>
      </c>
      <c r="DI120" s="184">
        <v>0</v>
      </c>
      <c r="DN120" s="92"/>
      <c r="DO120" s="92"/>
      <c r="DP120" s="92"/>
      <c r="DQ120" s="92"/>
      <c r="DR120" s="92"/>
      <c r="DS120" s="92"/>
      <c r="DT120" s="92"/>
      <c r="DU120" s="92"/>
      <c r="DZ120" s="139">
        <v>0</v>
      </c>
      <c r="EA120" s="139">
        <v>0</v>
      </c>
      <c r="EB120" s="139">
        <v>0</v>
      </c>
      <c r="EC120" s="139">
        <v>0</v>
      </c>
      <c r="ED120" s="139">
        <v>0</v>
      </c>
      <c r="EE120" s="139">
        <v>0</v>
      </c>
    </row>
    <row r="121" spans="1:138">
      <c r="A121" s="175">
        <v>5401</v>
      </c>
      <c r="B121" s="92" t="s">
        <v>124</v>
      </c>
      <c r="C121" s="184">
        <v>16</v>
      </c>
      <c r="D121" s="176">
        <v>87</v>
      </c>
      <c r="E121" s="177">
        <v>0</v>
      </c>
      <c r="F121" s="176">
        <v>0</v>
      </c>
      <c r="G121" s="178">
        <v>0</v>
      </c>
      <c r="H121" s="176">
        <v>163.54541772151899</v>
      </c>
      <c r="I121" s="176">
        <v>0</v>
      </c>
      <c r="J121" s="176">
        <v>0</v>
      </c>
      <c r="K121" s="178">
        <v>0</v>
      </c>
      <c r="L121" s="176">
        <v>0</v>
      </c>
      <c r="M121" s="137">
        <v>0</v>
      </c>
      <c r="N121" s="137">
        <v>0</v>
      </c>
      <c r="O121" s="137">
        <v>0</v>
      </c>
      <c r="P121" s="137">
        <v>0</v>
      </c>
      <c r="Q121" s="137">
        <v>0</v>
      </c>
      <c r="R121" s="137">
        <v>0</v>
      </c>
      <c r="S121" s="185">
        <v>180</v>
      </c>
      <c r="T121" s="185">
        <v>180</v>
      </c>
      <c r="U121" s="185">
        <v>178</v>
      </c>
      <c r="V121" s="185">
        <v>179</v>
      </c>
      <c r="W121" s="185">
        <v>177</v>
      </c>
      <c r="X121" s="137">
        <v>0</v>
      </c>
      <c r="Y121" s="137"/>
      <c r="Z121" s="137">
        <v>0</v>
      </c>
      <c r="AA121" s="137">
        <v>0</v>
      </c>
      <c r="AB121" s="176"/>
      <c r="AC121" s="176">
        <v>0</v>
      </c>
      <c r="AE121" s="179">
        <v>0</v>
      </c>
      <c r="AJ121" s="184">
        <v>16</v>
      </c>
      <c r="AK121" s="176"/>
      <c r="AL121" s="176"/>
      <c r="AM121" s="176"/>
      <c r="AO121" s="176"/>
      <c r="AP121" s="176"/>
      <c r="AQ121" s="176">
        <v>48</v>
      </c>
      <c r="AR121" s="176">
        <v>0</v>
      </c>
      <c r="AS121" s="176">
        <v>0</v>
      </c>
      <c r="AT121" s="178">
        <v>1</v>
      </c>
      <c r="AU121" s="176"/>
      <c r="AV121" s="178">
        <v>3</v>
      </c>
      <c r="AW121" s="177"/>
      <c r="AX121" s="176">
        <v>0</v>
      </c>
      <c r="AY121" s="176"/>
      <c r="AZ121" s="178">
        <v>0</v>
      </c>
      <c r="BA121" s="176"/>
      <c r="BB121" s="176">
        <v>0</v>
      </c>
      <c r="BC121" s="176">
        <v>0</v>
      </c>
      <c r="BD121" s="180" t="s">
        <v>604</v>
      </c>
      <c r="BE121" s="176"/>
      <c r="BF121" s="178">
        <v>0</v>
      </c>
      <c r="BG121" s="176">
        <v>0</v>
      </c>
      <c r="BJ121" s="176"/>
      <c r="BL121" s="176"/>
      <c r="BM121" s="176"/>
      <c r="BN121" s="176"/>
      <c r="BO121" s="176">
        <v>0</v>
      </c>
      <c r="BP121" s="176">
        <v>0</v>
      </c>
      <c r="BQ121" s="176"/>
      <c r="BR121" s="176"/>
      <c r="BS121" s="176"/>
      <c r="BT121" s="176"/>
      <c r="BU121" s="176"/>
      <c r="BV121" s="176"/>
      <c r="BW121" s="178">
        <v>0</v>
      </c>
      <c r="BX121" s="178">
        <v>1423.02</v>
      </c>
      <c r="BY121" s="92">
        <v>78917</v>
      </c>
      <c r="BZ121" s="92">
        <v>0</v>
      </c>
      <c r="CA121" s="92">
        <v>0</v>
      </c>
      <c r="CB121" s="176"/>
      <c r="CC121" s="92">
        <v>12433</v>
      </c>
      <c r="CD121" s="92">
        <v>1</v>
      </c>
      <c r="CE121" s="176"/>
      <c r="CF121" s="176"/>
      <c r="CG121" s="176">
        <v>0</v>
      </c>
      <c r="CH121" s="176"/>
      <c r="CI121" s="176"/>
      <c r="CJ121" s="176">
        <v>0</v>
      </c>
      <c r="CK121" s="176">
        <v>0</v>
      </c>
      <c r="CQ121" s="232">
        <v>1185</v>
      </c>
      <c r="CR121" s="232">
        <v>19</v>
      </c>
      <c r="CS121" s="176">
        <v>0</v>
      </c>
      <c r="CT121" s="92">
        <v>0</v>
      </c>
      <c r="CU121" s="184">
        <v>146</v>
      </c>
      <c r="CV121" s="184">
        <v>145</v>
      </c>
      <c r="CW121" s="184">
        <v>0</v>
      </c>
      <c r="DE121" s="184">
        <v>894</v>
      </c>
      <c r="DF121" s="186">
        <v>0.24556962025316456</v>
      </c>
      <c r="DG121" s="92" t="s">
        <v>212</v>
      </c>
      <c r="DH121" s="92">
        <v>1</v>
      </c>
      <c r="DI121" s="184">
        <v>1.7897091722595078</v>
      </c>
      <c r="DN121" s="92"/>
      <c r="DO121" s="92"/>
      <c r="DP121" s="92"/>
      <c r="DQ121" s="92"/>
      <c r="DR121" s="92"/>
      <c r="DS121" s="92"/>
      <c r="DT121" s="92"/>
      <c r="DU121" s="92"/>
      <c r="DZ121" s="139">
        <v>6</v>
      </c>
      <c r="EA121" s="139">
        <v>894</v>
      </c>
      <c r="EB121" s="139">
        <v>1</v>
      </c>
      <c r="EC121" s="139">
        <v>40</v>
      </c>
      <c r="ED121" s="139">
        <v>0</v>
      </c>
      <c r="EE121" s="139">
        <v>7</v>
      </c>
      <c r="EF121" s="143">
        <v>0</v>
      </c>
      <c r="EG121" s="143">
        <v>15</v>
      </c>
      <c r="EH121" s="143">
        <v>9</v>
      </c>
    </row>
    <row r="122" spans="1:138">
      <c r="A122" s="175">
        <v>5407</v>
      </c>
      <c r="B122" s="92" t="s">
        <v>382</v>
      </c>
      <c r="C122" s="184">
        <v>115</v>
      </c>
      <c r="D122" s="176">
        <v>188</v>
      </c>
      <c r="E122" s="177">
        <v>0</v>
      </c>
      <c r="F122" s="176">
        <v>0</v>
      </c>
      <c r="G122" s="178">
        <v>105.37819113202734</v>
      </c>
      <c r="H122" s="176">
        <v>352.04074074074094</v>
      </c>
      <c r="I122" s="176">
        <v>0</v>
      </c>
      <c r="J122" s="176">
        <v>0</v>
      </c>
      <c r="K122" s="178">
        <v>490</v>
      </c>
      <c r="L122" s="176">
        <v>0</v>
      </c>
      <c r="M122" s="137">
        <v>0</v>
      </c>
      <c r="N122" s="137">
        <v>0</v>
      </c>
      <c r="O122" s="137">
        <v>0</v>
      </c>
      <c r="P122" s="137">
        <v>0</v>
      </c>
      <c r="Q122" s="137">
        <v>0</v>
      </c>
      <c r="R122" s="137">
        <v>0</v>
      </c>
      <c r="S122" s="185">
        <v>180</v>
      </c>
      <c r="T122" s="185">
        <v>184</v>
      </c>
      <c r="U122" s="185">
        <v>181</v>
      </c>
      <c r="V122" s="185">
        <v>180</v>
      </c>
      <c r="W122" s="185">
        <v>177</v>
      </c>
      <c r="X122" s="137">
        <v>0</v>
      </c>
      <c r="Y122" s="137"/>
      <c r="Z122" s="137">
        <v>0</v>
      </c>
      <c r="AA122" s="137">
        <v>0</v>
      </c>
      <c r="AB122" s="176"/>
      <c r="AC122" s="176">
        <v>0</v>
      </c>
      <c r="AE122" s="179">
        <v>0</v>
      </c>
      <c r="AJ122" s="184">
        <v>115</v>
      </c>
      <c r="AK122" s="176"/>
      <c r="AL122" s="176"/>
      <c r="AM122" s="176"/>
      <c r="AO122" s="176"/>
      <c r="AP122" s="176"/>
      <c r="AQ122" s="176">
        <v>234</v>
      </c>
      <c r="AR122" s="176">
        <v>0</v>
      </c>
      <c r="AS122" s="176">
        <v>0</v>
      </c>
      <c r="AT122" s="178">
        <v>1</v>
      </c>
      <c r="AU122" s="176"/>
      <c r="AV122" s="178">
        <v>5</v>
      </c>
      <c r="AW122" s="177"/>
      <c r="AX122" s="176">
        <v>0</v>
      </c>
      <c r="AY122" s="176"/>
      <c r="AZ122" s="178">
        <v>0</v>
      </c>
      <c r="BA122" s="176"/>
      <c r="BB122" s="176">
        <v>0</v>
      </c>
      <c r="BC122" s="176">
        <v>0</v>
      </c>
      <c r="BD122" s="180" t="s">
        <v>597</v>
      </c>
      <c r="BE122" s="176"/>
      <c r="BF122" s="178">
        <v>0</v>
      </c>
      <c r="BG122" s="176">
        <v>309</v>
      </c>
      <c r="BJ122" s="176"/>
      <c r="BL122" s="176"/>
      <c r="BM122" s="176"/>
      <c r="BN122" s="176"/>
      <c r="BO122" s="176">
        <v>0</v>
      </c>
      <c r="BP122" s="176">
        <v>0</v>
      </c>
      <c r="BQ122" s="176"/>
      <c r="BR122" s="176"/>
      <c r="BS122" s="176"/>
      <c r="BT122" s="176"/>
      <c r="BU122" s="176"/>
      <c r="BV122" s="176"/>
      <c r="BW122" s="178">
        <v>0</v>
      </c>
      <c r="BX122" s="178">
        <v>1038.6500000000001</v>
      </c>
      <c r="BY122" s="92">
        <v>70406</v>
      </c>
      <c r="BZ122" s="92">
        <v>15558</v>
      </c>
      <c r="CA122" s="92">
        <v>0</v>
      </c>
      <c r="CB122" s="176"/>
      <c r="CC122" s="92">
        <v>9389</v>
      </c>
      <c r="CD122" s="92">
        <v>0</v>
      </c>
      <c r="CE122" s="176"/>
      <c r="CF122" s="176"/>
      <c r="CG122" s="176">
        <v>1122464.6666666667</v>
      </c>
      <c r="CH122" s="176"/>
      <c r="CI122" s="176"/>
      <c r="CJ122" s="176">
        <v>0</v>
      </c>
      <c r="CK122" s="176">
        <v>0</v>
      </c>
      <c r="CQ122" s="232">
        <v>1107</v>
      </c>
      <c r="CR122" s="232">
        <v>129</v>
      </c>
      <c r="CS122" s="176">
        <v>53.4</v>
      </c>
      <c r="CT122" s="92">
        <v>188</v>
      </c>
      <c r="CU122" s="184">
        <v>126</v>
      </c>
      <c r="CV122" s="184">
        <v>79</v>
      </c>
      <c r="CW122" s="184">
        <v>0</v>
      </c>
      <c r="DE122" s="184">
        <v>902</v>
      </c>
      <c r="DF122" s="186">
        <v>0.18518518518518517</v>
      </c>
      <c r="DG122" s="92" t="s">
        <v>212</v>
      </c>
      <c r="DH122" s="92">
        <v>1</v>
      </c>
      <c r="DI122" s="184">
        <v>12.749445676274945</v>
      </c>
      <c r="DN122" s="92"/>
      <c r="DO122" s="92"/>
      <c r="DP122" s="92"/>
      <c r="DQ122" s="92"/>
      <c r="DR122" s="92"/>
      <c r="DS122" s="92"/>
      <c r="DT122" s="92"/>
      <c r="DU122" s="92"/>
      <c r="DZ122" s="139">
        <v>2</v>
      </c>
      <c r="EA122" s="139">
        <v>902</v>
      </c>
      <c r="EB122" s="139">
        <v>40</v>
      </c>
      <c r="EC122" s="139">
        <v>123</v>
      </c>
      <c r="ED122" s="139">
        <v>9</v>
      </c>
      <c r="EE122" s="139">
        <v>39</v>
      </c>
      <c r="EF122" s="143">
        <v>1</v>
      </c>
      <c r="EG122" s="143">
        <v>1</v>
      </c>
      <c r="EH122" s="143">
        <v>59</v>
      </c>
    </row>
    <row r="123" spans="1:138">
      <c r="A123" s="175">
        <v>5403</v>
      </c>
      <c r="B123" s="92" t="s">
        <v>383</v>
      </c>
      <c r="C123" s="184">
        <v>136</v>
      </c>
      <c r="D123" s="176">
        <v>262</v>
      </c>
      <c r="E123" s="177">
        <v>0</v>
      </c>
      <c r="F123" s="176">
        <v>132</v>
      </c>
      <c r="G123" s="178">
        <v>210.69405436299374</v>
      </c>
      <c r="H123" s="176">
        <v>198.16619799139193</v>
      </c>
      <c r="I123" s="176">
        <v>0</v>
      </c>
      <c r="J123" s="176">
        <v>0</v>
      </c>
      <c r="K123" s="178">
        <v>231.66666666666666</v>
      </c>
      <c r="L123" s="176">
        <v>0</v>
      </c>
      <c r="M123" s="137">
        <v>0</v>
      </c>
      <c r="N123" s="137">
        <v>0</v>
      </c>
      <c r="O123" s="137">
        <v>0</v>
      </c>
      <c r="P123" s="137">
        <v>0</v>
      </c>
      <c r="Q123" s="137">
        <v>0</v>
      </c>
      <c r="R123" s="137">
        <v>0</v>
      </c>
      <c r="S123" s="185">
        <v>74</v>
      </c>
      <c r="T123" s="185">
        <v>93</v>
      </c>
      <c r="U123" s="185">
        <v>119</v>
      </c>
      <c r="V123" s="185">
        <v>137</v>
      </c>
      <c r="W123" s="185">
        <v>161</v>
      </c>
      <c r="X123" s="137">
        <v>0</v>
      </c>
      <c r="Y123" s="137"/>
      <c r="Z123" s="137">
        <v>0</v>
      </c>
      <c r="AA123" s="137">
        <v>0</v>
      </c>
      <c r="AB123" s="176"/>
      <c r="AC123" s="176">
        <v>0</v>
      </c>
      <c r="AE123" s="179">
        <v>0</v>
      </c>
      <c r="AJ123" s="184">
        <v>136</v>
      </c>
      <c r="AK123" s="176"/>
      <c r="AL123" s="176"/>
      <c r="AM123" s="176"/>
      <c r="AO123" s="176"/>
      <c r="AP123" s="176"/>
      <c r="AQ123" s="176">
        <v>242</v>
      </c>
      <c r="AR123" s="176">
        <v>0</v>
      </c>
      <c r="AS123" s="176">
        <v>0</v>
      </c>
      <c r="AT123" s="178">
        <v>1</v>
      </c>
      <c r="AU123" s="176"/>
      <c r="AV123" s="178">
        <v>5</v>
      </c>
      <c r="AW123" s="177"/>
      <c r="AX123" s="176">
        <v>0</v>
      </c>
      <c r="AY123" s="176"/>
      <c r="AZ123" s="178">
        <v>0</v>
      </c>
      <c r="BA123" s="176"/>
      <c r="BB123" s="176">
        <v>1</v>
      </c>
      <c r="BC123" s="176">
        <v>0.2</v>
      </c>
      <c r="BD123" s="180" t="s">
        <v>597</v>
      </c>
      <c r="BE123" s="176"/>
      <c r="BF123" s="178">
        <v>0</v>
      </c>
      <c r="BG123" s="176">
        <v>394</v>
      </c>
      <c r="BJ123" s="176"/>
      <c r="BL123" s="176"/>
      <c r="BM123" s="176"/>
      <c r="BN123" s="176"/>
      <c r="BO123" s="176">
        <v>2</v>
      </c>
      <c r="BP123" s="176">
        <v>0</v>
      </c>
      <c r="BQ123" s="176"/>
      <c r="BR123" s="176"/>
      <c r="BS123" s="176"/>
      <c r="BT123" s="176"/>
      <c r="BU123" s="176"/>
      <c r="BV123" s="176"/>
      <c r="BW123" s="178">
        <v>0</v>
      </c>
      <c r="BX123" s="178">
        <v>1739.25</v>
      </c>
      <c r="BY123" s="92">
        <v>20300</v>
      </c>
      <c r="BZ123" s="92">
        <v>15783</v>
      </c>
      <c r="CA123" s="92">
        <v>0</v>
      </c>
      <c r="CB123" s="176"/>
      <c r="CC123" s="92">
        <v>8083</v>
      </c>
      <c r="CD123" s="92">
        <v>0</v>
      </c>
      <c r="CE123" s="176"/>
      <c r="CF123" s="176"/>
      <c r="CG123" s="176">
        <v>706453.66666666663</v>
      </c>
      <c r="CH123" s="176"/>
      <c r="CI123" s="176"/>
      <c r="CJ123" s="176">
        <v>0</v>
      </c>
      <c r="CK123" s="176">
        <v>0</v>
      </c>
      <c r="CQ123" s="232">
        <v>696</v>
      </c>
      <c r="CR123" s="232">
        <v>150</v>
      </c>
      <c r="CS123" s="176">
        <v>64.86</v>
      </c>
      <c r="CT123" s="92">
        <v>262</v>
      </c>
      <c r="CU123" s="184">
        <v>69</v>
      </c>
      <c r="CV123" s="184">
        <v>43</v>
      </c>
      <c r="CW123" s="184">
        <v>0</v>
      </c>
      <c r="CZ123" s="92">
        <v>1</v>
      </c>
      <c r="DE123" s="184">
        <v>584</v>
      </c>
      <c r="DF123" s="186">
        <v>0.16091954022988506</v>
      </c>
      <c r="DG123" s="92" t="s">
        <v>212</v>
      </c>
      <c r="DH123" s="92">
        <v>1</v>
      </c>
      <c r="DI123" s="184">
        <v>23.287671232876711</v>
      </c>
      <c r="DN123" s="92"/>
      <c r="DO123" s="92"/>
      <c r="DP123" s="92"/>
      <c r="DQ123" s="92"/>
      <c r="DR123" s="92"/>
      <c r="DS123" s="92"/>
      <c r="DT123" s="92"/>
      <c r="DU123" s="92"/>
      <c r="DZ123" s="139">
        <v>132</v>
      </c>
      <c r="EA123" s="139">
        <v>585</v>
      </c>
      <c r="EB123" s="139">
        <v>58</v>
      </c>
      <c r="EC123" s="139">
        <v>177</v>
      </c>
      <c r="ED123" s="139">
        <v>9</v>
      </c>
      <c r="EE123" s="139">
        <v>16</v>
      </c>
      <c r="EF123" s="143">
        <v>0</v>
      </c>
      <c r="EG123" s="143">
        <v>1</v>
      </c>
      <c r="EH123" s="143">
        <v>86</v>
      </c>
    </row>
    <row r="124" spans="1:138">
      <c r="A124" s="175">
        <v>5404</v>
      </c>
      <c r="B124" s="92" t="s">
        <v>384</v>
      </c>
      <c r="C124" s="184">
        <v>19</v>
      </c>
      <c r="D124" s="176">
        <v>44</v>
      </c>
      <c r="E124" s="177">
        <v>0</v>
      </c>
      <c r="F124" s="176">
        <v>0</v>
      </c>
      <c r="G124" s="178">
        <v>0</v>
      </c>
      <c r="H124" s="176">
        <v>105.21524310118264</v>
      </c>
      <c r="I124" s="176">
        <v>0</v>
      </c>
      <c r="J124" s="176">
        <v>0</v>
      </c>
      <c r="K124" s="178">
        <v>0</v>
      </c>
      <c r="L124" s="176">
        <v>0</v>
      </c>
      <c r="M124" s="137">
        <v>0</v>
      </c>
      <c r="N124" s="137">
        <v>0</v>
      </c>
      <c r="O124" s="137">
        <v>0</v>
      </c>
      <c r="P124" s="137">
        <v>0</v>
      </c>
      <c r="Q124" s="137">
        <v>0</v>
      </c>
      <c r="R124" s="137">
        <v>0</v>
      </c>
      <c r="S124" s="185">
        <v>96</v>
      </c>
      <c r="T124" s="185">
        <v>96</v>
      </c>
      <c r="U124" s="185">
        <v>97</v>
      </c>
      <c r="V124" s="185">
        <v>96</v>
      </c>
      <c r="W124" s="185">
        <v>95</v>
      </c>
      <c r="X124" s="137">
        <v>0</v>
      </c>
      <c r="Y124" s="137"/>
      <c r="Z124" s="137">
        <v>0</v>
      </c>
      <c r="AA124" s="137">
        <v>0</v>
      </c>
      <c r="AB124" s="176"/>
      <c r="AC124" s="176">
        <v>0</v>
      </c>
      <c r="AE124" s="179">
        <v>0</v>
      </c>
      <c r="AJ124" s="184">
        <v>19</v>
      </c>
      <c r="AK124" s="176"/>
      <c r="AL124" s="176"/>
      <c r="AM124" s="176"/>
      <c r="AO124" s="176"/>
      <c r="AP124" s="176"/>
      <c r="AQ124" s="176">
        <v>40</v>
      </c>
      <c r="AR124" s="176">
        <v>0</v>
      </c>
      <c r="AS124" s="176">
        <v>0</v>
      </c>
      <c r="AT124" s="178">
        <v>1</v>
      </c>
      <c r="AU124" s="176"/>
      <c r="AV124" s="178">
        <v>3</v>
      </c>
      <c r="AW124" s="177"/>
      <c r="AX124" s="176">
        <v>0</v>
      </c>
      <c r="AY124" s="176"/>
      <c r="AZ124" s="178">
        <v>0</v>
      </c>
      <c r="BA124" s="176"/>
      <c r="BB124" s="176">
        <v>0</v>
      </c>
      <c r="BC124" s="176">
        <v>0</v>
      </c>
      <c r="BD124" s="180" t="s">
        <v>597</v>
      </c>
      <c r="BE124" s="176"/>
      <c r="BF124" s="178">
        <v>0</v>
      </c>
      <c r="BG124" s="176">
        <v>133</v>
      </c>
      <c r="BJ124" s="176"/>
      <c r="BL124" s="176"/>
      <c r="BM124" s="176"/>
      <c r="BN124" s="176"/>
      <c r="BO124" s="176">
        <v>2</v>
      </c>
      <c r="BP124" s="176">
        <v>0</v>
      </c>
      <c r="BQ124" s="176"/>
      <c r="BR124" s="176"/>
      <c r="BS124" s="176"/>
      <c r="BT124" s="176"/>
      <c r="BU124" s="176"/>
      <c r="BV124" s="176"/>
      <c r="BW124" s="178">
        <v>0</v>
      </c>
      <c r="BX124" s="178">
        <v>1739.25</v>
      </c>
      <c r="BY124" s="92">
        <v>9972</v>
      </c>
      <c r="BZ124" s="92">
        <v>12573</v>
      </c>
      <c r="CA124" s="92">
        <v>0</v>
      </c>
      <c r="CB124" s="176"/>
      <c r="CC124" s="92">
        <v>6864</v>
      </c>
      <c r="CD124" s="92">
        <v>0</v>
      </c>
      <c r="CE124" s="176"/>
      <c r="CF124" s="176"/>
      <c r="CG124" s="176">
        <v>1548193.3333333333</v>
      </c>
      <c r="CH124" s="176"/>
      <c r="CI124" s="176"/>
      <c r="CJ124" s="176">
        <v>0</v>
      </c>
      <c r="CK124" s="176">
        <v>0</v>
      </c>
      <c r="CQ124" s="232">
        <v>761</v>
      </c>
      <c r="CR124" s="232">
        <v>22</v>
      </c>
      <c r="CS124" s="176">
        <v>0</v>
      </c>
      <c r="CT124" s="92">
        <v>44</v>
      </c>
      <c r="CU124" s="184">
        <v>154</v>
      </c>
      <c r="CV124" s="184">
        <v>127</v>
      </c>
      <c r="CW124" s="184">
        <v>0</v>
      </c>
      <c r="DE124" s="184">
        <v>480</v>
      </c>
      <c r="DF124" s="186">
        <v>0.36925098554533509</v>
      </c>
      <c r="DG124" s="92" t="s">
        <v>212</v>
      </c>
      <c r="DH124" s="92">
        <v>1</v>
      </c>
      <c r="DI124" s="184">
        <v>3.958333333333333</v>
      </c>
      <c r="DN124" s="92"/>
      <c r="DO124" s="92"/>
      <c r="DP124" s="92"/>
      <c r="DQ124" s="92"/>
      <c r="DR124" s="92"/>
      <c r="DS124" s="92"/>
      <c r="DT124" s="92"/>
      <c r="DU124" s="92"/>
      <c r="DZ124" s="139">
        <v>4</v>
      </c>
      <c r="EA124" s="139">
        <v>480</v>
      </c>
      <c r="EB124" s="139">
        <v>4</v>
      </c>
      <c r="EC124" s="139">
        <v>82</v>
      </c>
      <c r="ED124" s="139">
        <v>4</v>
      </c>
      <c r="EE124" s="139">
        <v>27</v>
      </c>
      <c r="EF124" s="143">
        <v>0</v>
      </c>
      <c r="EG124" s="143">
        <v>2</v>
      </c>
      <c r="EH124" s="143">
        <v>12</v>
      </c>
    </row>
    <row r="125" spans="1:138">
      <c r="A125" s="175" t="s">
        <v>447</v>
      </c>
      <c r="B125" s="92" t="s">
        <v>448</v>
      </c>
      <c r="C125" s="184">
        <v>0</v>
      </c>
      <c r="D125" s="176">
        <v>0</v>
      </c>
      <c r="E125" s="177">
        <v>0</v>
      </c>
      <c r="F125" s="176">
        <v>0</v>
      </c>
      <c r="G125" s="178">
        <v>0</v>
      </c>
      <c r="H125" s="176">
        <v>0</v>
      </c>
      <c r="I125" s="176">
        <v>0</v>
      </c>
      <c r="J125" s="176">
        <v>0</v>
      </c>
      <c r="K125" s="178">
        <v>0</v>
      </c>
      <c r="L125" s="176">
        <v>0</v>
      </c>
      <c r="M125" s="137">
        <v>0</v>
      </c>
      <c r="N125" s="137">
        <v>0</v>
      </c>
      <c r="O125" s="137">
        <v>0</v>
      </c>
      <c r="P125" s="137">
        <v>0</v>
      </c>
      <c r="Q125" s="137">
        <v>0</v>
      </c>
      <c r="R125" s="137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37">
        <v>0</v>
      </c>
      <c r="Y125" s="137"/>
      <c r="Z125" s="137">
        <v>0</v>
      </c>
      <c r="AA125" s="137">
        <v>0</v>
      </c>
      <c r="AB125" s="176"/>
      <c r="AC125" s="176">
        <v>0</v>
      </c>
      <c r="AE125" s="179">
        <v>0</v>
      </c>
      <c r="AJ125" s="184">
        <v>0</v>
      </c>
      <c r="AK125" s="176"/>
      <c r="AL125" s="176"/>
      <c r="AM125" s="176"/>
      <c r="AO125" s="176"/>
      <c r="AP125" s="176"/>
      <c r="AQ125" s="176">
        <v>0</v>
      </c>
      <c r="AR125" s="176">
        <v>0</v>
      </c>
      <c r="AS125" s="176">
        <v>0</v>
      </c>
      <c r="AT125" s="178">
        <v>1</v>
      </c>
      <c r="AU125" s="176"/>
      <c r="AV125" s="178">
        <v>0</v>
      </c>
      <c r="AW125" s="177"/>
      <c r="AX125" s="176">
        <v>0</v>
      </c>
      <c r="AY125" s="176"/>
      <c r="AZ125" s="178">
        <v>0</v>
      </c>
      <c r="BA125" s="176"/>
      <c r="BB125" s="176">
        <v>0</v>
      </c>
      <c r="BC125" s="176">
        <v>0</v>
      </c>
      <c r="BD125" s="180" t="s">
        <v>597</v>
      </c>
      <c r="BE125" s="176"/>
      <c r="BF125" s="178">
        <v>0</v>
      </c>
      <c r="BG125" s="176">
        <v>0</v>
      </c>
      <c r="BJ125" s="176"/>
      <c r="BL125" s="176"/>
      <c r="BM125" s="176"/>
      <c r="BN125" s="176"/>
      <c r="BO125" s="176">
        <v>0</v>
      </c>
      <c r="BP125" s="176">
        <v>0</v>
      </c>
      <c r="BQ125" s="176"/>
      <c r="BR125" s="176"/>
      <c r="BS125" s="176"/>
      <c r="BT125" s="176"/>
      <c r="BU125" s="176"/>
      <c r="BV125" s="176"/>
      <c r="BW125" s="178">
        <v>0</v>
      </c>
      <c r="BX125" s="178">
        <v>0</v>
      </c>
      <c r="BZ125" s="92">
        <v>0</v>
      </c>
      <c r="CA125" s="92">
        <v>0</v>
      </c>
      <c r="CB125" s="176"/>
      <c r="CC125" s="92">
        <v>0</v>
      </c>
      <c r="CD125" s="92">
        <v>0</v>
      </c>
      <c r="CE125" s="176"/>
      <c r="CF125" s="176"/>
      <c r="CG125" s="176"/>
      <c r="CH125" s="176"/>
      <c r="CI125" s="176"/>
      <c r="CJ125" s="176">
        <v>0</v>
      </c>
      <c r="CK125" s="176">
        <v>0</v>
      </c>
      <c r="CQ125" s="232">
        <v>0</v>
      </c>
      <c r="CR125" s="232">
        <v>0</v>
      </c>
      <c r="CS125" s="176">
        <v>0</v>
      </c>
      <c r="CT125" s="92">
        <v>0</v>
      </c>
      <c r="CU125" s="184">
        <v>0</v>
      </c>
      <c r="CV125" s="184">
        <v>0</v>
      </c>
      <c r="CW125" s="184">
        <v>0</v>
      </c>
      <c r="DE125" s="184">
        <v>0</v>
      </c>
      <c r="DF125" s="186">
        <v>0</v>
      </c>
      <c r="DG125" s="92" t="s">
        <v>212</v>
      </c>
      <c r="DI125" s="184">
        <v>0</v>
      </c>
      <c r="DN125" s="92"/>
      <c r="DO125" s="92"/>
      <c r="DP125" s="92"/>
      <c r="DQ125" s="92"/>
      <c r="DR125" s="92"/>
      <c r="DS125" s="92"/>
      <c r="DT125" s="92"/>
      <c r="DU125" s="92"/>
      <c r="DZ125" s="139">
        <v>0</v>
      </c>
      <c r="EA125" s="139">
        <v>0</v>
      </c>
      <c r="EB125" s="139">
        <v>0</v>
      </c>
      <c r="EC125" s="139">
        <v>0</v>
      </c>
      <c r="ED125" s="139">
        <v>0</v>
      </c>
      <c r="EE125" s="139">
        <v>0</v>
      </c>
    </row>
    <row r="126" spans="1:138">
      <c r="A126" s="175">
        <v>4215</v>
      </c>
      <c r="B126" s="92" t="s">
        <v>615</v>
      </c>
      <c r="C126" s="184">
        <v>142</v>
      </c>
      <c r="D126" s="176">
        <v>257</v>
      </c>
      <c r="E126" s="177">
        <v>0</v>
      </c>
      <c r="F126" s="176">
        <v>0</v>
      </c>
      <c r="G126" s="178">
        <v>211.1351332174759</v>
      </c>
      <c r="H126" s="176">
        <v>254.62</v>
      </c>
      <c r="I126" s="176">
        <v>0</v>
      </c>
      <c r="J126" s="176">
        <v>0</v>
      </c>
      <c r="K126" s="178">
        <v>925</v>
      </c>
      <c r="L126" s="176">
        <v>0</v>
      </c>
      <c r="M126" s="137">
        <v>0</v>
      </c>
      <c r="N126" s="137">
        <v>0</v>
      </c>
      <c r="O126" s="137">
        <v>0</v>
      </c>
      <c r="P126" s="137">
        <v>0</v>
      </c>
      <c r="Q126" s="137">
        <v>0</v>
      </c>
      <c r="R126" s="137">
        <v>0</v>
      </c>
      <c r="S126" s="185">
        <v>180</v>
      </c>
      <c r="T126" s="185">
        <v>181</v>
      </c>
      <c r="U126" s="185">
        <v>180</v>
      </c>
      <c r="V126" s="185">
        <v>180</v>
      </c>
      <c r="W126" s="185">
        <v>174</v>
      </c>
      <c r="X126" s="137">
        <v>0</v>
      </c>
      <c r="Y126" s="137"/>
      <c r="Z126" s="137">
        <v>0</v>
      </c>
      <c r="AA126" s="137">
        <v>0</v>
      </c>
      <c r="AB126" s="176"/>
      <c r="AC126" s="176">
        <v>0</v>
      </c>
      <c r="AE126" s="179">
        <v>0</v>
      </c>
      <c r="AJ126" s="184">
        <v>142</v>
      </c>
      <c r="AK126" s="176"/>
      <c r="AL126" s="176"/>
      <c r="AM126" s="176"/>
      <c r="AO126" s="176"/>
      <c r="AP126" s="176"/>
      <c r="AQ126" s="176">
        <v>286</v>
      </c>
      <c r="AR126" s="176">
        <v>3</v>
      </c>
      <c r="AS126" s="176">
        <v>0</v>
      </c>
      <c r="AT126" s="178">
        <v>1.2</v>
      </c>
      <c r="AU126" s="176"/>
      <c r="AV126" s="178">
        <v>10</v>
      </c>
      <c r="AW126" s="177"/>
      <c r="AX126" s="176">
        <v>0</v>
      </c>
      <c r="AY126" s="176"/>
      <c r="AZ126" s="178">
        <v>0</v>
      </c>
      <c r="BA126" s="176"/>
      <c r="BB126" s="176">
        <v>0</v>
      </c>
      <c r="BC126" s="176">
        <v>0</v>
      </c>
      <c r="BD126" s="180" t="s">
        <v>604</v>
      </c>
      <c r="BE126" s="176"/>
      <c r="BF126" s="178">
        <v>0</v>
      </c>
      <c r="BG126" s="176">
        <v>217</v>
      </c>
      <c r="BJ126" s="176"/>
      <c r="BL126" s="176"/>
      <c r="BM126" s="176"/>
      <c r="BN126" s="176"/>
      <c r="BO126" s="176">
        <v>0</v>
      </c>
      <c r="BP126" s="176">
        <v>0</v>
      </c>
      <c r="BQ126" s="176"/>
      <c r="BR126" s="176"/>
      <c r="BS126" s="176"/>
      <c r="BT126" s="176"/>
      <c r="BU126" s="176"/>
      <c r="BV126" s="176"/>
      <c r="BW126" s="178">
        <v>0</v>
      </c>
      <c r="BX126" s="178">
        <v>1264.9100000000001</v>
      </c>
      <c r="BY126" s="92">
        <v>26461</v>
      </c>
      <c r="BZ126" s="92">
        <v>0</v>
      </c>
      <c r="CA126" s="92">
        <v>0</v>
      </c>
      <c r="CB126" s="176"/>
      <c r="CC126" s="92">
        <v>8052</v>
      </c>
      <c r="CD126" s="92">
        <v>0</v>
      </c>
      <c r="CE126" s="176"/>
      <c r="CF126" s="176"/>
      <c r="CG126" s="176"/>
      <c r="CH126" s="176"/>
      <c r="CI126" s="176"/>
      <c r="CJ126" s="176">
        <v>0</v>
      </c>
      <c r="CK126" s="176">
        <v>0</v>
      </c>
      <c r="CQ126" s="232">
        <v>895</v>
      </c>
      <c r="CR126" s="232">
        <v>142</v>
      </c>
      <c r="CS126" s="176">
        <v>62.65</v>
      </c>
      <c r="CT126" s="92">
        <v>257</v>
      </c>
      <c r="CU126" s="184">
        <v>0</v>
      </c>
      <c r="CV126" s="184">
        <v>0</v>
      </c>
      <c r="CW126" s="184">
        <v>0</v>
      </c>
      <c r="CZ126" s="92">
        <v>1</v>
      </c>
      <c r="DE126" s="184">
        <v>895</v>
      </c>
      <c r="DF126" s="186">
        <v>0</v>
      </c>
      <c r="DG126" s="92" t="s">
        <v>212</v>
      </c>
      <c r="DH126" s="92">
        <v>1</v>
      </c>
      <c r="DI126" s="184">
        <v>15.865921787709498</v>
      </c>
      <c r="DN126" s="92"/>
      <c r="DO126" s="92"/>
      <c r="DP126" s="92"/>
      <c r="DQ126" s="92"/>
      <c r="DR126" s="92"/>
      <c r="DS126" s="92"/>
      <c r="DT126" s="92"/>
      <c r="DU126" s="92"/>
      <c r="DY126" s="139">
        <v>1</v>
      </c>
      <c r="DZ126" s="139">
        <v>42</v>
      </c>
      <c r="EA126" s="139">
        <v>895</v>
      </c>
      <c r="EB126" s="139">
        <v>32</v>
      </c>
      <c r="EC126" s="139">
        <v>82</v>
      </c>
      <c r="ED126" s="139">
        <v>6</v>
      </c>
      <c r="EE126" s="139">
        <v>21</v>
      </c>
      <c r="EF126" s="143">
        <v>1</v>
      </c>
      <c r="EG126" s="143">
        <v>10</v>
      </c>
      <c r="EH126" s="143">
        <v>70</v>
      </c>
    </row>
    <row r="127" spans="1:138">
      <c r="A127" s="175">
        <v>4752</v>
      </c>
      <c r="B127" s="92" t="s">
        <v>385</v>
      </c>
      <c r="C127" s="184">
        <v>12</v>
      </c>
      <c r="D127" s="176">
        <v>37</v>
      </c>
      <c r="E127" s="177">
        <v>0</v>
      </c>
      <c r="F127" s="176">
        <v>0</v>
      </c>
      <c r="G127" s="178">
        <v>0</v>
      </c>
      <c r="H127" s="176">
        <v>90.6150429799427</v>
      </c>
      <c r="I127" s="176">
        <v>0</v>
      </c>
      <c r="J127" s="176">
        <v>0</v>
      </c>
      <c r="K127" s="178">
        <v>5</v>
      </c>
      <c r="L127" s="176">
        <v>0</v>
      </c>
      <c r="M127" s="137">
        <v>0</v>
      </c>
      <c r="N127" s="137">
        <v>0</v>
      </c>
      <c r="O127" s="137">
        <v>0</v>
      </c>
      <c r="P127" s="137">
        <v>0</v>
      </c>
      <c r="Q127" s="137">
        <v>0</v>
      </c>
      <c r="R127" s="137">
        <v>0</v>
      </c>
      <c r="S127" s="185">
        <v>93</v>
      </c>
      <c r="T127" s="185">
        <v>93</v>
      </c>
      <c r="U127" s="185">
        <v>93</v>
      </c>
      <c r="V127" s="185">
        <v>93</v>
      </c>
      <c r="W127" s="185">
        <v>93</v>
      </c>
      <c r="X127" s="137">
        <v>0</v>
      </c>
      <c r="Y127" s="137"/>
      <c r="Z127" s="137">
        <v>0</v>
      </c>
      <c r="AA127" s="137">
        <v>0</v>
      </c>
      <c r="AB127" s="176"/>
      <c r="AC127" s="176">
        <v>0</v>
      </c>
      <c r="AE127" s="179">
        <v>0</v>
      </c>
      <c r="AJ127" s="184">
        <v>12</v>
      </c>
      <c r="AK127" s="176"/>
      <c r="AL127" s="176"/>
      <c r="AM127" s="176"/>
      <c r="AO127" s="176"/>
      <c r="AP127" s="176"/>
      <c r="AQ127" s="176">
        <v>25</v>
      </c>
      <c r="AR127" s="176">
        <v>0</v>
      </c>
      <c r="AS127" s="176">
        <v>0</v>
      </c>
      <c r="AT127" s="178">
        <v>1</v>
      </c>
      <c r="AU127" s="176"/>
      <c r="AV127" s="178">
        <v>1</v>
      </c>
      <c r="AW127" s="177"/>
      <c r="AX127" s="176">
        <v>0</v>
      </c>
      <c r="AY127" s="176"/>
      <c r="AZ127" s="178">
        <v>0</v>
      </c>
      <c r="BA127" s="176"/>
      <c r="BB127" s="176">
        <v>0</v>
      </c>
      <c r="BC127" s="176">
        <v>0</v>
      </c>
      <c r="BD127" s="180" t="s">
        <v>597</v>
      </c>
      <c r="BE127" s="176"/>
      <c r="BF127" s="178">
        <v>0</v>
      </c>
      <c r="BG127" s="176">
        <v>0</v>
      </c>
      <c r="BJ127" s="176"/>
      <c r="BL127" s="176"/>
      <c r="BM127" s="176"/>
      <c r="BN127" s="176"/>
      <c r="BO127" s="176">
        <v>0</v>
      </c>
      <c r="BP127" s="176">
        <v>0</v>
      </c>
      <c r="BQ127" s="176"/>
      <c r="BR127" s="176"/>
      <c r="BS127" s="176"/>
      <c r="BT127" s="176"/>
      <c r="BU127" s="176"/>
      <c r="BV127" s="176"/>
      <c r="BW127" s="178">
        <v>0</v>
      </c>
      <c r="BX127" s="178">
        <v>0</v>
      </c>
      <c r="BY127" s="92">
        <v>8782</v>
      </c>
      <c r="BZ127" s="92">
        <v>1339</v>
      </c>
      <c r="CA127" s="92">
        <v>0</v>
      </c>
      <c r="CB127" s="176"/>
      <c r="CC127" s="92">
        <v>6333</v>
      </c>
      <c r="CD127" s="92">
        <v>0</v>
      </c>
      <c r="CE127" s="176"/>
      <c r="CF127" s="176"/>
      <c r="CG127" s="176">
        <v>1189203.6666666667</v>
      </c>
      <c r="CH127" s="176"/>
      <c r="CI127" s="176"/>
      <c r="CJ127" s="176">
        <v>0</v>
      </c>
      <c r="CK127" s="176">
        <v>0</v>
      </c>
      <c r="CQ127" s="232">
        <v>698</v>
      </c>
      <c r="CR127" s="232">
        <v>16</v>
      </c>
      <c r="CS127" s="176">
        <v>0</v>
      </c>
      <c r="CT127" s="92">
        <v>0</v>
      </c>
      <c r="CU127" s="184">
        <v>122</v>
      </c>
      <c r="CV127" s="184">
        <v>111</v>
      </c>
      <c r="CW127" s="184">
        <v>0</v>
      </c>
      <c r="DE127" s="184">
        <v>465</v>
      </c>
      <c r="DF127" s="186">
        <v>0.333810888252149</v>
      </c>
      <c r="DG127" s="92" t="s">
        <v>212</v>
      </c>
      <c r="DH127" s="92">
        <v>1</v>
      </c>
      <c r="DI127" s="184">
        <v>2.5806451612903225</v>
      </c>
      <c r="DN127" s="92"/>
      <c r="DO127" s="92"/>
      <c r="DP127" s="92"/>
      <c r="DQ127" s="92"/>
      <c r="DR127" s="92"/>
      <c r="DS127" s="92"/>
      <c r="DT127" s="92"/>
      <c r="DU127" s="92"/>
      <c r="DZ127" s="139">
        <v>5</v>
      </c>
      <c r="EA127" s="139">
        <v>465</v>
      </c>
      <c r="EB127" s="139">
        <v>3</v>
      </c>
      <c r="EC127" s="139">
        <v>33</v>
      </c>
      <c r="ED127" s="139">
        <v>0</v>
      </c>
      <c r="EE127" s="139">
        <v>3</v>
      </c>
      <c r="EF127" s="143">
        <v>0</v>
      </c>
      <c r="EG127" s="143">
        <v>4</v>
      </c>
      <c r="EH127" s="143">
        <v>7</v>
      </c>
    </row>
    <row r="128" spans="1:138">
      <c r="A128" s="175" t="s">
        <v>443</v>
      </c>
      <c r="B128" s="92" t="s">
        <v>616</v>
      </c>
      <c r="C128" s="184">
        <v>0</v>
      </c>
      <c r="D128" s="176">
        <v>0</v>
      </c>
      <c r="E128" s="177">
        <v>0</v>
      </c>
      <c r="F128" s="176">
        <v>0</v>
      </c>
      <c r="G128" s="178">
        <v>0</v>
      </c>
      <c r="H128" s="176">
        <v>0</v>
      </c>
      <c r="I128" s="176">
        <v>0</v>
      </c>
      <c r="J128" s="176">
        <v>0</v>
      </c>
      <c r="K128" s="178">
        <v>0</v>
      </c>
      <c r="L128" s="176">
        <v>0</v>
      </c>
      <c r="M128" s="137">
        <v>0</v>
      </c>
      <c r="N128" s="137">
        <v>0</v>
      </c>
      <c r="O128" s="137">
        <v>0</v>
      </c>
      <c r="P128" s="137">
        <v>0</v>
      </c>
      <c r="Q128" s="137">
        <v>0</v>
      </c>
      <c r="R128" s="137">
        <v>0</v>
      </c>
      <c r="S128" s="185">
        <v>0</v>
      </c>
      <c r="T128" s="185">
        <v>0</v>
      </c>
      <c r="U128" s="185">
        <v>0</v>
      </c>
      <c r="V128" s="185">
        <v>0</v>
      </c>
      <c r="W128" s="185">
        <v>0</v>
      </c>
      <c r="X128" s="137">
        <v>0</v>
      </c>
      <c r="Y128" s="137"/>
      <c r="Z128" s="137">
        <v>0</v>
      </c>
      <c r="AA128" s="137">
        <v>0</v>
      </c>
      <c r="AB128" s="176"/>
      <c r="AC128" s="176">
        <v>0</v>
      </c>
      <c r="AE128" s="179">
        <v>0</v>
      </c>
      <c r="AJ128" s="184">
        <v>0</v>
      </c>
      <c r="AK128" s="176"/>
      <c r="AL128" s="176"/>
      <c r="AM128" s="176"/>
      <c r="AO128" s="176"/>
      <c r="AP128" s="176"/>
      <c r="AQ128" s="176">
        <v>0</v>
      </c>
      <c r="AR128" s="176">
        <v>0</v>
      </c>
      <c r="AS128" s="176">
        <v>0</v>
      </c>
      <c r="AT128" s="178">
        <v>1</v>
      </c>
      <c r="AU128" s="176"/>
      <c r="AV128" s="178">
        <v>0</v>
      </c>
      <c r="AW128" s="177"/>
      <c r="AX128" s="176">
        <v>0</v>
      </c>
      <c r="AY128" s="176"/>
      <c r="AZ128" s="178">
        <v>0</v>
      </c>
      <c r="BA128" s="176"/>
      <c r="BB128" s="176">
        <v>0</v>
      </c>
      <c r="BC128" s="176">
        <v>0</v>
      </c>
      <c r="BD128" s="180" t="s">
        <v>604</v>
      </c>
      <c r="BE128" s="176"/>
      <c r="BF128" s="178">
        <v>0</v>
      </c>
      <c r="BG128" s="176">
        <v>0</v>
      </c>
      <c r="BJ128" s="176"/>
      <c r="BL128" s="176"/>
      <c r="BM128" s="176"/>
      <c r="BN128" s="176"/>
      <c r="BO128" s="176">
        <v>0</v>
      </c>
      <c r="BP128" s="176">
        <v>0</v>
      </c>
      <c r="BQ128" s="176"/>
      <c r="BR128" s="176"/>
      <c r="BS128" s="176"/>
      <c r="BT128" s="176"/>
      <c r="BU128" s="176"/>
      <c r="BV128" s="176"/>
      <c r="BW128" s="178">
        <v>0</v>
      </c>
      <c r="BX128" s="178">
        <v>0</v>
      </c>
      <c r="BZ128" s="92">
        <v>0</v>
      </c>
      <c r="CA128" s="92">
        <v>0</v>
      </c>
      <c r="CB128" s="176"/>
      <c r="CC128" s="92">
        <v>0</v>
      </c>
      <c r="CD128" s="92">
        <v>0</v>
      </c>
      <c r="CE128" s="176"/>
      <c r="CF128" s="176"/>
      <c r="CG128" s="176"/>
      <c r="CH128" s="176"/>
      <c r="CI128" s="176"/>
      <c r="CJ128" s="176">
        <v>0</v>
      </c>
      <c r="CK128" s="176">
        <v>0</v>
      </c>
      <c r="CQ128" s="232">
        <v>0</v>
      </c>
      <c r="CR128" s="232">
        <v>0</v>
      </c>
      <c r="CS128" s="176">
        <v>0</v>
      </c>
      <c r="CT128" s="92">
        <v>0</v>
      </c>
      <c r="CU128" s="184">
        <v>0</v>
      </c>
      <c r="CV128" s="184">
        <v>0</v>
      </c>
      <c r="CW128" s="184">
        <v>0</v>
      </c>
      <c r="DE128" s="184">
        <v>0</v>
      </c>
      <c r="DF128" s="186">
        <v>0</v>
      </c>
      <c r="DG128" s="92" t="s">
        <v>212</v>
      </c>
      <c r="DI128" s="184">
        <v>0</v>
      </c>
      <c r="DN128" s="92"/>
      <c r="DO128" s="92"/>
      <c r="DP128" s="92"/>
      <c r="DQ128" s="92"/>
      <c r="DR128" s="92"/>
      <c r="DS128" s="92"/>
      <c r="DT128" s="92"/>
      <c r="DU128" s="92"/>
      <c r="DZ128" s="139">
        <v>0</v>
      </c>
      <c r="EA128" s="139">
        <v>0</v>
      </c>
      <c r="EB128" s="139">
        <v>0</v>
      </c>
      <c r="EC128" s="139">
        <v>0</v>
      </c>
      <c r="ED128" s="139">
        <v>0</v>
      </c>
      <c r="EE128" s="139">
        <v>0</v>
      </c>
    </row>
    <row r="129" spans="1:139">
      <c r="A129" s="175">
        <v>4009</v>
      </c>
      <c r="B129" s="92" t="s">
        <v>407</v>
      </c>
      <c r="C129" s="184">
        <v>254</v>
      </c>
      <c r="D129" s="176">
        <v>532</v>
      </c>
      <c r="E129" s="177">
        <v>0</v>
      </c>
      <c r="F129" s="176">
        <v>135</v>
      </c>
      <c r="G129" s="178">
        <v>199.26697295832932</v>
      </c>
      <c r="H129" s="176">
        <v>209.73615384615377</v>
      </c>
      <c r="I129" s="176">
        <v>81863.72</v>
      </c>
      <c r="J129" s="176">
        <v>0</v>
      </c>
      <c r="K129" s="178">
        <v>340</v>
      </c>
      <c r="L129" s="176">
        <v>0</v>
      </c>
      <c r="M129" s="137">
        <v>0</v>
      </c>
      <c r="N129" s="137">
        <v>0</v>
      </c>
      <c r="O129" s="137">
        <v>0</v>
      </c>
      <c r="P129" s="137">
        <v>0</v>
      </c>
      <c r="Q129" s="137">
        <v>0</v>
      </c>
      <c r="R129" s="137">
        <v>0</v>
      </c>
      <c r="S129" s="185">
        <v>131</v>
      </c>
      <c r="T129" s="185">
        <v>115</v>
      </c>
      <c r="U129" s="185">
        <v>125</v>
      </c>
      <c r="V129" s="185">
        <v>154</v>
      </c>
      <c r="W129" s="185">
        <v>168</v>
      </c>
      <c r="X129" s="137">
        <v>0</v>
      </c>
      <c r="Y129" s="137"/>
      <c r="Z129" s="137">
        <v>0</v>
      </c>
      <c r="AA129" s="137">
        <v>0</v>
      </c>
      <c r="AB129" s="176"/>
      <c r="AC129" s="176">
        <v>0</v>
      </c>
      <c r="AE129" s="179">
        <v>0</v>
      </c>
      <c r="AJ129" s="184">
        <v>254</v>
      </c>
      <c r="AK129" s="176"/>
      <c r="AL129" s="176"/>
      <c r="AM129" s="176"/>
      <c r="AO129" s="176"/>
      <c r="AP129" s="176"/>
      <c r="AQ129" s="176">
        <v>340</v>
      </c>
      <c r="AR129" s="176">
        <v>7</v>
      </c>
      <c r="AS129" s="176">
        <v>3</v>
      </c>
      <c r="AT129" s="178">
        <v>1</v>
      </c>
      <c r="AU129" s="176"/>
      <c r="AV129" s="178">
        <v>3</v>
      </c>
      <c r="AW129" s="177"/>
      <c r="AX129" s="176">
        <v>0</v>
      </c>
      <c r="AY129" s="176"/>
      <c r="AZ129" s="178">
        <v>0</v>
      </c>
      <c r="BA129" s="176"/>
      <c r="BB129" s="176">
        <v>0</v>
      </c>
      <c r="BC129" s="176">
        <v>0</v>
      </c>
      <c r="BD129" s="180" t="s">
        <v>604</v>
      </c>
      <c r="BE129" s="176"/>
      <c r="BF129" s="178">
        <v>0</v>
      </c>
      <c r="BG129" s="176">
        <v>322</v>
      </c>
      <c r="BJ129" s="176"/>
      <c r="BL129" s="176"/>
      <c r="BM129" s="176"/>
      <c r="BN129" s="176"/>
      <c r="BO129" s="176">
        <v>1</v>
      </c>
      <c r="BP129" s="176">
        <v>276030.59223363164</v>
      </c>
      <c r="BQ129" s="176"/>
      <c r="BR129" s="176"/>
      <c r="BS129" s="176"/>
      <c r="BT129" s="176"/>
      <c r="BU129" s="176"/>
      <c r="BV129" s="176"/>
      <c r="BW129" s="178">
        <v>0</v>
      </c>
      <c r="BX129" s="178">
        <v>1423.02</v>
      </c>
      <c r="BY129" s="92">
        <v>77200</v>
      </c>
      <c r="BZ129" s="92">
        <v>0</v>
      </c>
      <c r="CA129" s="92">
        <v>0</v>
      </c>
      <c r="CB129" s="176"/>
      <c r="CC129" s="92">
        <v>9870</v>
      </c>
      <c r="CD129" s="92">
        <v>0</v>
      </c>
      <c r="CE129" s="176"/>
      <c r="CF129" s="176"/>
      <c r="CG129" s="176"/>
      <c r="CH129" s="176"/>
      <c r="CI129" s="176"/>
      <c r="CJ129" s="176">
        <v>0</v>
      </c>
      <c r="CK129" s="176">
        <v>0</v>
      </c>
      <c r="CQ129" s="232">
        <v>819</v>
      </c>
      <c r="CR129" s="232">
        <v>300</v>
      </c>
      <c r="CS129" s="176">
        <v>86.19</v>
      </c>
      <c r="CT129" s="92">
        <v>532</v>
      </c>
      <c r="CU129" s="184">
        <v>83</v>
      </c>
      <c r="CV129" s="184">
        <v>43</v>
      </c>
      <c r="CW129" s="184">
        <v>0</v>
      </c>
      <c r="CZ129" s="92">
        <v>1</v>
      </c>
      <c r="DE129" s="184">
        <v>693</v>
      </c>
      <c r="DF129" s="186">
        <v>0.15384615384615385</v>
      </c>
      <c r="DG129" s="92" t="s">
        <v>212</v>
      </c>
      <c r="DH129" s="92">
        <v>1</v>
      </c>
      <c r="DI129" s="184">
        <v>36.652236652236653</v>
      </c>
      <c r="DN129" s="92"/>
      <c r="DO129" s="92"/>
      <c r="DP129" s="92"/>
      <c r="DQ129" s="92"/>
      <c r="DR129" s="92"/>
      <c r="DS129" s="92"/>
      <c r="DT129" s="92"/>
      <c r="DU129" s="92"/>
      <c r="DZ129" s="139">
        <v>135</v>
      </c>
      <c r="EA129" s="139">
        <v>693</v>
      </c>
      <c r="EB129" s="139">
        <v>70</v>
      </c>
      <c r="EC129" s="139">
        <v>46</v>
      </c>
      <c r="ED129" s="139">
        <v>18</v>
      </c>
      <c r="EE129" s="139">
        <v>12</v>
      </c>
      <c r="EF129" s="143">
        <v>4</v>
      </c>
      <c r="EG129" s="143">
        <v>15</v>
      </c>
      <c r="EH129" s="143">
        <v>148</v>
      </c>
    </row>
    <row r="130" spans="1:139">
      <c r="A130" s="175" t="s">
        <v>436</v>
      </c>
      <c r="B130" s="92" t="s">
        <v>407</v>
      </c>
      <c r="C130" s="184">
        <v>0</v>
      </c>
      <c r="D130" s="176">
        <v>0</v>
      </c>
      <c r="E130" s="177">
        <v>0</v>
      </c>
      <c r="F130" s="176">
        <v>0</v>
      </c>
      <c r="G130" s="178">
        <v>0</v>
      </c>
      <c r="H130" s="176">
        <v>0</v>
      </c>
      <c r="I130" s="176">
        <v>0</v>
      </c>
      <c r="J130" s="176">
        <v>0</v>
      </c>
      <c r="K130" s="178">
        <v>0</v>
      </c>
      <c r="L130" s="176">
        <v>0</v>
      </c>
      <c r="M130" s="137">
        <v>0</v>
      </c>
      <c r="N130" s="137">
        <v>0</v>
      </c>
      <c r="O130" s="137">
        <v>0</v>
      </c>
      <c r="P130" s="137">
        <v>0</v>
      </c>
      <c r="Q130" s="137">
        <v>0</v>
      </c>
      <c r="R130" s="137">
        <v>0</v>
      </c>
      <c r="S130" s="185">
        <v>0</v>
      </c>
      <c r="T130" s="185">
        <v>0</v>
      </c>
      <c r="U130" s="185">
        <v>0</v>
      </c>
      <c r="V130" s="185">
        <v>0</v>
      </c>
      <c r="W130" s="185">
        <v>0</v>
      </c>
      <c r="X130" s="137">
        <v>0</v>
      </c>
      <c r="Y130" s="137"/>
      <c r="Z130" s="137">
        <v>0</v>
      </c>
      <c r="AA130" s="137">
        <v>0</v>
      </c>
      <c r="AB130" s="176"/>
      <c r="AC130" s="176">
        <v>0</v>
      </c>
      <c r="AE130" s="179">
        <v>0</v>
      </c>
      <c r="AJ130" s="184">
        <v>0</v>
      </c>
      <c r="AK130" s="176"/>
      <c r="AL130" s="176"/>
      <c r="AM130" s="176"/>
      <c r="AO130" s="176"/>
      <c r="AP130" s="176"/>
      <c r="AQ130" s="176">
        <v>0</v>
      </c>
      <c r="AR130" s="176">
        <v>0</v>
      </c>
      <c r="AS130" s="176">
        <v>0</v>
      </c>
      <c r="AT130" s="178">
        <v>1</v>
      </c>
      <c r="AU130" s="176"/>
      <c r="AV130" s="178">
        <v>0</v>
      </c>
      <c r="AW130" s="177"/>
      <c r="AX130" s="176">
        <v>0</v>
      </c>
      <c r="AY130" s="176"/>
      <c r="AZ130" s="178">
        <v>0</v>
      </c>
      <c r="BA130" s="176"/>
      <c r="BB130" s="176">
        <v>0</v>
      </c>
      <c r="BC130" s="176">
        <v>0</v>
      </c>
      <c r="BD130" s="180" t="s">
        <v>604</v>
      </c>
      <c r="BE130" s="176"/>
      <c r="BF130" s="178">
        <v>0</v>
      </c>
      <c r="BG130" s="176">
        <v>0</v>
      </c>
      <c r="BJ130" s="176"/>
      <c r="BL130" s="176"/>
      <c r="BM130" s="176"/>
      <c r="BN130" s="176"/>
      <c r="BO130" s="176">
        <v>0</v>
      </c>
      <c r="BP130" s="176">
        <v>0</v>
      </c>
      <c r="BQ130" s="176"/>
      <c r="BR130" s="176"/>
      <c r="BS130" s="176"/>
      <c r="BT130" s="176"/>
      <c r="BU130" s="176"/>
      <c r="BV130" s="176"/>
      <c r="BW130" s="178">
        <v>0</v>
      </c>
      <c r="BX130" s="178">
        <v>0</v>
      </c>
      <c r="BZ130" s="92">
        <v>0</v>
      </c>
      <c r="CA130" s="92">
        <v>0</v>
      </c>
      <c r="CB130" s="176"/>
      <c r="CC130" s="92">
        <v>0</v>
      </c>
      <c r="CD130" s="92">
        <v>0</v>
      </c>
      <c r="CE130" s="176"/>
      <c r="CF130" s="176"/>
      <c r="CG130" s="176">
        <v>0</v>
      </c>
      <c r="CH130" s="176"/>
      <c r="CI130" s="176"/>
      <c r="CJ130" s="176">
        <v>0</v>
      </c>
      <c r="CK130" s="176">
        <v>0</v>
      </c>
      <c r="CQ130" s="232">
        <v>0</v>
      </c>
      <c r="CR130" s="232">
        <v>0</v>
      </c>
      <c r="CS130" s="176">
        <v>0</v>
      </c>
      <c r="CT130" s="92">
        <v>0</v>
      </c>
      <c r="CU130" s="184">
        <v>0</v>
      </c>
      <c r="CV130" s="184">
        <v>0</v>
      </c>
      <c r="CW130" s="184">
        <v>0</v>
      </c>
      <c r="DE130" s="184">
        <v>0</v>
      </c>
      <c r="DF130" s="186">
        <v>0</v>
      </c>
      <c r="DG130" s="92" t="s">
        <v>212</v>
      </c>
      <c r="DI130" s="184">
        <v>0</v>
      </c>
      <c r="DN130" s="92"/>
      <c r="DO130" s="92"/>
      <c r="DP130" s="92"/>
      <c r="DQ130" s="92"/>
      <c r="DR130" s="92"/>
      <c r="DS130" s="92"/>
      <c r="DT130" s="92"/>
      <c r="DU130" s="92"/>
      <c r="DZ130" s="139">
        <v>0</v>
      </c>
      <c r="EA130" s="139">
        <v>0</v>
      </c>
      <c r="EB130" s="139">
        <v>0</v>
      </c>
      <c r="EC130" s="139">
        <v>0</v>
      </c>
      <c r="ED130" s="139">
        <v>0</v>
      </c>
      <c r="EE130" s="139">
        <v>0</v>
      </c>
    </row>
    <row r="131" spans="1:139">
      <c r="A131" s="175">
        <v>4012</v>
      </c>
      <c r="B131" s="92" t="s">
        <v>128</v>
      </c>
      <c r="C131" s="184">
        <v>230</v>
      </c>
      <c r="D131" s="176">
        <v>680</v>
      </c>
      <c r="E131" s="177">
        <v>0</v>
      </c>
      <c r="F131" s="176">
        <v>166</v>
      </c>
      <c r="G131" s="178">
        <v>231.96998535757004</v>
      </c>
      <c r="H131" s="176">
        <v>212.85484575835508</v>
      </c>
      <c r="I131" s="176">
        <v>108527.86689999998</v>
      </c>
      <c r="J131" s="176">
        <v>0</v>
      </c>
      <c r="K131" s="178">
        <v>128.33392984967787</v>
      </c>
      <c r="L131" s="176">
        <v>0</v>
      </c>
      <c r="M131" s="137">
        <v>0</v>
      </c>
      <c r="N131" s="137">
        <v>0</v>
      </c>
      <c r="O131" s="137">
        <v>0</v>
      </c>
      <c r="P131" s="137">
        <v>0</v>
      </c>
      <c r="Q131" s="137">
        <v>0</v>
      </c>
      <c r="R131" s="137">
        <v>0</v>
      </c>
      <c r="S131" s="185">
        <v>109</v>
      </c>
      <c r="T131" s="185">
        <v>106</v>
      </c>
      <c r="U131" s="185">
        <v>119</v>
      </c>
      <c r="V131" s="185">
        <v>137</v>
      </c>
      <c r="W131" s="185">
        <v>148</v>
      </c>
      <c r="X131" s="137">
        <v>0</v>
      </c>
      <c r="Y131" s="137"/>
      <c r="Z131" s="137">
        <v>0</v>
      </c>
      <c r="AA131" s="137">
        <v>0</v>
      </c>
      <c r="AB131" s="176"/>
      <c r="AC131" s="176">
        <v>0</v>
      </c>
      <c r="AE131" s="179">
        <v>0</v>
      </c>
      <c r="AJ131" s="184">
        <v>230</v>
      </c>
      <c r="AK131" s="176"/>
      <c r="AL131" s="176"/>
      <c r="AM131" s="176"/>
      <c r="AO131" s="176"/>
      <c r="AP131" s="176"/>
      <c r="AQ131" s="176">
        <v>312</v>
      </c>
      <c r="AR131" s="176">
        <v>1</v>
      </c>
      <c r="AS131" s="176">
        <v>0</v>
      </c>
      <c r="AT131" s="178">
        <v>1</v>
      </c>
      <c r="AU131" s="176"/>
      <c r="AV131" s="178">
        <v>7</v>
      </c>
      <c r="AW131" s="177"/>
      <c r="AX131" s="176">
        <v>0</v>
      </c>
      <c r="AY131" s="176"/>
      <c r="AZ131" s="178">
        <v>0</v>
      </c>
      <c r="BA131" s="176"/>
      <c r="BB131" s="176">
        <v>0</v>
      </c>
      <c r="BC131" s="176">
        <v>0</v>
      </c>
      <c r="BD131" s="180" t="s">
        <v>604</v>
      </c>
      <c r="BE131" s="176"/>
      <c r="BF131" s="178">
        <v>0</v>
      </c>
      <c r="BG131" s="176">
        <v>400</v>
      </c>
      <c r="BJ131" s="176"/>
      <c r="BL131" s="176"/>
      <c r="BM131" s="176"/>
      <c r="BN131" s="176"/>
      <c r="BO131" s="176">
        <v>0</v>
      </c>
      <c r="BP131" s="176">
        <v>266779.93111687008</v>
      </c>
      <c r="BQ131" s="176"/>
      <c r="BR131" s="176"/>
      <c r="BS131" s="176"/>
      <c r="BT131" s="176"/>
      <c r="BU131" s="176"/>
      <c r="BV131" s="176"/>
      <c r="BW131" s="178">
        <v>0</v>
      </c>
      <c r="BX131" s="178">
        <v>1067.26</v>
      </c>
      <c r="BY131" s="92">
        <v>40200</v>
      </c>
      <c r="BZ131" s="92">
        <v>0</v>
      </c>
      <c r="CA131" s="92">
        <v>0</v>
      </c>
      <c r="CB131" s="176"/>
      <c r="CC131" s="92">
        <v>7988</v>
      </c>
      <c r="CD131" s="92">
        <v>0</v>
      </c>
      <c r="CE131" s="176"/>
      <c r="CF131" s="176"/>
      <c r="CG131" s="176"/>
      <c r="CH131" s="176"/>
      <c r="CI131" s="176"/>
      <c r="CJ131" s="176">
        <v>0</v>
      </c>
      <c r="CK131" s="176">
        <v>0</v>
      </c>
      <c r="CQ131" s="232">
        <v>778</v>
      </c>
      <c r="CR131" s="232">
        <v>291</v>
      </c>
      <c r="CS131" s="176">
        <v>61.71</v>
      </c>
      <c r="CT131" s="92">
        <v>680</v>
      </c>
      <c r="CU131" s="184">
        <v>122</v>
      </c>
      <c r="CV131" s="184">
        <v>37</v>
      </c>
      <c r="CW131" s="184">
        <v>0</v>
      </c>
      <c r="CZ131" s="92">
        <v>1</v>
      </c>
      <c r="DE131" s="184">
        <v>619</v>
      </c>
      <c r="DF131" s="186">
        <v>0.20437017994858611</v>
      </c>
      <c r="DG131" s="92" t="s">
        <v>212</v>
      </c>
      <c r="DH131" s="92">
        <v>1</v>
      </c>
      <c r="DI131" s="184">
        <v>37.156704361873985</v>
      </c>
      <c r="DN131" s="92"/>
      <c r="DO131" s="92"/>
      <c r="DP131" s="92"/>
      <c r="DQ131" s="92"/>
      <c r="DR131" s="92"/>
      <c r="DS131" s="92"/>
      <c r="DT131" s="92"/>
      <c r="DU131" s="92"/>
      <c r="DZ131" s="139">
        <v>166</v>
      </c>
      <c r="EA131" s="139">
        <v>619</v>
      </c>
      <c r="EB131" s="139">
        <v>90</v>
      </c>
      <c r="EC131" s="139">
        <v>109</v>
      </c>
      <c r="ED131" s="139">
        <v>4</v>
      </c>
      <c r="EE131" s="139">
        <v>9</v>
      </c>
      <c r="EF131" s="143">
        <v>9</v>
      </c>
      <c r="EG131" s="143">
        <v>17</v>
      </c>
      <c r="EH131" s="143">
        <v>183</v>
      </c>
    </row>
    <row r="132" spans="1:139">
      <c r="A132" s="175" t="s">
        <v>437</v>
      </c>
      <c r="B132" s="92" t="s">
        <v>617</v>
      </c>
      <c r="C132" s="184">
        <v>0</v>
      </c>
      <c r="D132" s="176">
        <v>0</v>
      </c>
      <c r="E132" s="177">
        <v>0</v>
      </c>
      <c r="F132" s="176">
        <v>0</v>
      </c>
      <c r="G132" s="178">
        <v>0</v>
      </c>
      <c r="H132" s="176">
        <v>0</v>
      </c>
      <c r="I132" s="176">
        <v>0</v>
      </c>
      <c r="J132" s="176">
        <v>0</v>
      </c>
      <c r="K132" s="178">
        <v>0</v>
      </c>
      <c r="L132" s="176">
        <v>0</v>
      </c>
      <c r="M132" s="137">
        <v>0</v>
      </c>
      <c r="N132" s="137">
        <v>0</v>
      </c>
      <c r="O132" s="137">
        <v>0</v>
      </c>
      <c r="P132" s="137">
        <v>0</v>
      </c>
      <c r="Q132" s="137">
        <v>0</v>
      </c>
      <c r="R132" s="137">
        <v>0</v>
      </c>
      <c r="S132" s="185">
        <v>0</v>
      </c>
      <c r="T132" s="185">
        <v>0</v>
      </c>
      <c r="U132" s="185">
        <v>0</v>
      </c>
      <c r="V132" s="185">
        <v>0</v>
      </c>
      <c r="W132" s="185">
        <v>0</v>
      </c>
      <c r="X132" s="137">
        <v>0</v>
      </c>
      <c r="Y132" s="137"/>
      <c r="Z132" s="137">
        <v>0</v>
      </c>
      <c r="AA132" s="137">
        <v>0</v>
      </c>
      <c r="AB132" s="176"/>
      <c r="AC132" s="176">
        <v>0</v>
      </c>
      <c r="AE132" s="179">
        <v>0</v>
      </c>
      <c r="AJ132" s="184">
        <v>0</v>
      </c>
      <c r="AK132" s="176"/>
      <c r="AL132" s="176"/>
      <c r="AM132" s="176"/>
      <c r="AO132" s="176"/>
      <c r="AP132" s="176"/>
      <c r="AQ132" s="176">
        <v>0</v>
      </c>
      <c r="AR132" s="176">
        <v>0</v>
      </c>
      <c r="AS132" s="176">
        <v>0</v>
      </c>
      <c r="AT132" s="178">
        <v>1</v>
      </c>
      <c r="AU132" s="176"/>
      <c r="AV132" s="178">
        <v>0</v>
      </c>
      <c r="AW132" s="177"/>
      <c r="AX132" s="176">
        <v>0</v>
      </c>
      <c r="AY132" s="176"/>
      <c r="AZ132" s="178">
        <v>0</v>
      </c>
      <c r="BA132" s="176"/>
      <c r="BB132" s="176">
        <v>0</v>
      </c>
      <c r="BC132" s="176">
        <v>0</v>
      </c>
      <c r="BD132" s="180" t="s">
        <v>604</v>
      </c>
      <c r="BE132" s="176"/>
      <c r="BF132" s="178">
        <v>0</v>
      </c>
      <c r="BG132" s="176">
        <v>0</v>
      </c>
      <c r="BJ132" s="176"/>
      <c r="BL132" s="176"/>
      <c r="BM132" s="176"/>
      <c r="BN132" s="176"/>
      <c r="BO132" s="176">
        <v>0</v>
      </c>
      <c r="BP132" s="176">
        <v>0</v>
      </c>
      <c r="BQ132" s="176"/>
      <c r="BR132" s="176"/>
      <c r="BS132" s="176"/>
      <c r="BT132" s="176"/>
      <c r="BU132" s="176"/>
      <c r="BV132" s="176"/>
      <c r="BW132" s="178">
        <v>0</v>
      </c>
      <c r="BX132" s="178">
        <v>0</v>
      </c>
      <c r="BZ132" s="92">
        <v>0</v>
      </c>
      <c r="CA132" s="92">
        <v>0</v>
      </c>
      <c r="CB132" s="176"/>
      <c r="CC132" s="92">
        <v>0</v>
      </c>
      <c r="CD132" s="92">
        <v>0</v>
      </c>
      <c r="CE132" s="176"/>
      <c r="CF132" s="176"/>
      <c r="CG132" s="176">
        <v>0</v>
      </c>
      <c r="CH132" s="176"/>
      <c r="CI132" s="176"/>
      <c r="CJ132" s="176">
        <v>0</v>
      </c>
      <c r="CK132" s="176">
        <v>0</v>
      </c>
      <c r="CQ132" s="232">
        <v>0</v>
      </c>
      <c r="CR132" s="232">
        <v>0</v>
      </c>
      <c r="CS132" s="176">
        <v>0</v>
      </c>
      <c r="CT132" s="92">
        <v>0</v>
      </c>
      <c r="CU132" s="184">
        <v>0</v>
      </c>
      <c r="CV132" s="184">
        <v>0</v>
      </c>
      <c r="CW132" s="184">
        <v>0</v>
      </c>
      <c r="DE132" s="184">
        <v>0</v>
      </c>
      <c r="DF132" s="186">
        <v>0</v>
      </c>
      <c r="DG132" s="92" t="s">
        <v>212</v>
      </c>
      <c r="DI132" s="184">
        <v>0</v>
      </c>
      <c r="DN132" s="92"/>
      <c r="DO132" s="92"/>
      <c r="DP132" s="92"/>
      <c r="DQ132" s="92"/>
      <c r="DR132" s="92"/>
      <c r="DS132" s="92"/>
      <c r="DT132" s="92"/>
      <c r="DU132" s="92"/>
      <c r="DZ132" s="139">
        <v>0</v>
      </c>
      <c r="EA132" s="139">
        <v>0</v>
      </c>
      <c r="EB132" s="139">
        <v>0</v>
      </c>
      <c r="EC132" s="139">
        <v>0</v>
      </c>
      <c r="ED132" s="139">
        <v>0</v>
      </c>
      <c r="EE132" s="139">
        <v>0</v>
      </c>
    </row>
    <row r="133" spans="1:139">
      <c r="A133" s="175">
        <v>6905</v>
      </c>
      <c r="B133" s="92" t="s">
        <v>434</v>
      </c>
      <c r="C133" s="184">
        <v>0</v>
      </c>
      <c r="D133" s="176">
        <v>0</v>
      </c>
      <c r="E133" s="177">
        <v>0</v>
      </c>
      <c r="F133" s="176">
        <v>0</v>
      </c>
      <c r="G133" s="178">
        <v>0</v>
      </c>
      <c r="H133" s="176">
        <v>0</v>
      </c>
      <c r="I133" s="176">
        <v>331101.47881428577</v>
      </c>
      <c r="J133" s="176">
        <v>0</v>
      </c>
      <c r="K133" s="178">
        <v>0</v>
      </c>
      <c r="L133" s="176">
        <v>0</v>
      </c>
      <c r="M133" s="137">
        <v>0</v>
      </c>
      <c r="N133" s="137">
        <v>0</v>
      </c>
      <c r="O133" s="137">
        <v>0</v>
      </c>
      <c r="P133" s="137">
        <v>0</v>
      </c>
      <c r="Q133" s="137">
        <v>0</v>
      </c>
      <c r="R133" s="137">
        <v>0</v>
      </c>
      <c r="S133" s="185">
        <v>0</v>
      </c>
      <c r="T133" s="185">
        <v>0</v>
      </c>
      <c r="U133" s="185">
        <v>0</v>
      </c>
      <c r="V133" s="185">
        <v>0</v>
      </c>
      <c r="W133" s="185">
        <v>0</v>
      </c>
      <c r="X133" s="137">
        <v>0</v>
      </c>
      <c r="Y133" s="137"/>
      <c r="Z133" s="137">
        <v>0</v>
      </c>
      <c r="AA133" s="137">
        <v>0</v>
      </c>
      <c r="AB133" s="176"/>
      <c r="AC133" s="176">
        <v>0</v>
      </c>
      <c r="AE133" s="179">
        <v>0</v>
      </c>
      <c r="AJ133" s="184">
        <v>0</v>
      </c>
      <c r="AK133" s="176"/>
      <c r="AL133" s="176"/>
      <c r="AM133" s="176"/>
      <c r="AO133" s="176"/>
      <c r="AP133" s="176"/>
      <c r="AQ133" s="176">
        <v>0</v>
      </c>
      <c r="AR133" s="176">
        <v>2</v>
      </c>
      <c r="AS133" s="176">
        <v>0</v>
      </c>
      <c r="AT133" s="178">
        <v>1</v>
      </c>
      <c r="AU133" s="176"/>
      <c r="AV133" s="178">
        <v>13</v>
      </c>
      <c r="AW133" s="177"/>
      <c r="AX133" s="176">
        <v>0</v>
      </c>
      <c r="AY133" s="176"/>
      <c r="AZ133" s="178">
        <v>0</v>
      </c>
      <c r="BA133" s="176"/>
      <c r="BB133" s="176">
        <v>0</v>
      </c>
      <c r="BC133" s="176">
        <v>0</v>
      </c>
      <c r="BD133" s="180" t="s">
        <v>604</v>
      </c>
      <c r="BE133" s="176"/>
      <c r="BF133" s="178">
        <v>0</v>
      </c>
      <c r="BG133" s="176">
        <v>0</v>
      </c>
      <c r="BJ133" s="176"/>
      <c r="BL133" s="176"/>
      <c r="BM133" s="176"/>
      <c r="BN133" s="176"/>
      <c r="BO133" s="176">
        <v>0</v>
      </c>
      <c r="BP133" s="176">
        <v>0</v>
      </c>
      <c r="BQ133" s="176"/>
      <c r="BR133" s="176"/>
      <c r="BS133" s="176"/>
      <c r="BT133" s="176"/>
      <c r="BU133" s="176"/>
      <c r="BV133" s="176"/>
      <c r="BW133" s="178">
        <v>0</v>
      </c>
      <c r="BX133" s="178">
        <v>0</v>
      </c>
      <c r="BZ133" s="92">
        <v>0</v>
      </c>
      <c r="CA133" s="92">
        <v>0</v>
      </c>
      <c r="CB133" s="176"/>
      <c r="CC133" s="92">
        <v>0</v>
      </c>
      <c r="CD133" s="92">
        <v>0</v>
      </c>
      <c r="CE133" s="176"/>
      <c r="CF133" s="176"/>
      <c r="CG133" s="176"/>
      <c r="CH133" s="176"/>
      <c r="CI133" s="176"/>
      <c r="CJ133" s="176">
        <v>0</v>
      </c>
      <c r="CK133" s="176">
        <v>0</v>
      </c>
      <c r="CQ133" s="232">
        <v>0</v>
      </c>
      <c r="CR133" s="232">
        <v>0</v>
      </c>
      <c r="CS133" s="176">
        <v>0</v>
      </c>
      <c r="CT133" s="92">
        <v>0</v>
      </c>
      <c r="CU133" s="184">
        <v>0</v>
      </c>
      <c r="CV133" s="184">
        <v>0</v>
      </c>
      <c r="CW133" s="184">
        <v>0</v>
      </c>
      <c r="DE133" s="184">
        <v>0</v>
      </c>
      <c r="DF133" s="186">
        <v>0</v>
      </c>
      <c r="DG133" s="92" t="s">
        <v>212</v>
      </c>
      <c r="DI133" s="184">
        <v>0</v>
      </c>
      <c r="DN133" s="92"/>
      <c r="DO133" s="92"/>
      <c r="DP133" s="92"/>
      <c r="DQ133" s="92"/>
      <c r="DR133" s="92"/>
      <c r="DS133" s="92"/>
      <c r="DT133" s="92"/>
      <c r="DU133" s="92"/>
      <c r="DZ133" s="139">
        <v>0</v>
      </c>
      <c r="EA133" s="139">
        <v>0</v>
      </c>
      <c r="EB133" s="139">
        <v>0</v>
      </c>
      <c r="EC133" s="139">
        <v>0</v>
      </c>
      <c r="ED133" s="139">
        <v>0</v>
      </c>
      <c r="EE133" s="139">
        <v>0</v>
      </c>
    </row>
    <row r="134" spans="1:139">
      <c r="A134" s="175">
        <v>6906</v>
      </c>
      <c r="B134" s="92" t="s">
        <v>435</v>
      </c>
      <c r="C134" s="184">
        <v>0</v>
      </c>
      <c r="D134" s="176">
        <v>0</v>
      </c>
      <c r="E134" s="177">
        <v>0</v>
      </c>
      <c r="F134" s="176">
        <v>0</v>
      </c>
      <c r="G134" s="178">
        <v>0</v>
      </c>
      <c r="H134" s="176">
        <v>0</v>
      </c>
      <c r="I134" s="176">
        <v>0</v>
      </c>
      <c r="J134" s="176">
        <v>0</v>
      </c>
      <c r="K134" s="178">
        <v>0</v>
      </c>
      <c r="L134" s="176">
        <v>0</v>
      </c>
      <c r="M134" s="137">
        <v>0</v>
      </c>
      <c r="N134" s="137">
        <v>0</v>
      </c>
      <c r="O134" s="137">
        <v>0</v>
      </c>
      <c r="P134" s="137">
        <v>0</v>
      </c>
      <c r="Q134" s="137">
        <v>0</v>
      </c>
      <c r="R134" s="137">
        <v>0</v>
      </c>
      <c r="S134" s="185">
        <v>0</v>
      </c>
      <c r="T134" s="185">
        <v>0</v>
      </c>
      <c r="U134" s="185">
        <v>0</v>
      </c>
      <c r="V134" s="185">
        <v>0</v>
      </c>
      <c r="W134" s="185">
        <v>0</v>
      </c>
      <c r="X134" s="137">
        <v>0</v>
      </c>
      <c r="Y134" s="137"/>
      <c r="Z134" s="137">
        <v>0</v>
      </c>
      <c r="AA134" s="137">
        <v>0</v>
      </c>
      <c r="AB134" s="176"/>
      <c r="AC134" s="176">
        <v>0</v>
      </c>
      <c r="AE134" s="179">
        <v>0</v>
      </c>
      <c r="AJ134" s="184">
        <v>0</v>
      </c>
      <c r="AK134" s="176"/>
      <c r="AL134" s="176"/>
      <c r="AM134" s="176"/>
      <c r="AO134" s="176"/>
      <c r="AP134" s="176"/>
      <c r="AQ134" s="176">
        <v>0</v>
      </c>
      <c r="AR134" s="176">
        <v>2</v>
      </c>
      <c r="AS134" s="176">
        <v>0</v>
      </c>
      <c r="AT134" s="178">
        <v>1</v>
      </c>
      <c r="AU134" s="176"/>
      <c r="AV134" s="178">
        <v>9</v>
      </c>
      <c r="AW134" s="177"/>
      <c r="AX134" s="176">
        <v>0</v>
      </c>
      <c r="AY134" s="176"/>
      <c r="AZ134" s="178">
        <v>0</v>
      </c>
      <c r="BA134" s="176"/>
      <c r="BB134" s="176">
        <v>0</v>
      </c>
      <c r="BC134" s="176">
        <v>0</v>
      </c>
      <c r="BD134" s="180" t="s">
        <v>604</v>
      </c>
      <c r="BE134" s="176"/>
      <c r="BF134" s="178">
        <v>0</v>
      </c>
      <c r="BG134" s="176">
        <v>0</v>
      </c>
      <c r="BJ134" s="176"/>
      <c r="BL134" s="176"/>
      <c r="BM134" s="176"/>
      <c r="BN134" s="176"/>
      <c r="BO134" s="176">
        <v>0</v>
      </c>
      <c r="BP134" s="176">
        <v>0</v>
      </c>
      <c r="BQ134" s="176"/>
      <c r="BR134" s="176"/>
      <c r="BS134" s="176"/>
      <c r="BT134" s="176"/>
      <c r="BU134" s="176"/>
      <c r="BV134" s="176"/>
      <c r="BW134" s="178">
        <v>0</v>
      </c>
      <c r="BX134" s="178">
        <v>0</v>
      </c>
      <c r="BZ134" s="92">
        <v>0</v>
      </c>
      <c r="CA134" s="92">
        <v>0</v>
      </c>
      <c r="CB134" s="176"/>
      <c r="CC134" s="92">
        <v>0</v>
      </c>
      <c r="CD134" s="92">
        <v>0</v>
      </c>
      <c r="CE134" s="176"/>
      <c r="CF134" s="176"/>
      <c r="CG134" s="176"/>
      <c r="CH134" s="176"/>
      <c r="CI134" s="176"/>
      <c r="CJ134" s="176">
        <v>0</v>
      </c>
      <c r="CK134" s="176">
        <v>0</v>
      </c>
      <c r="CQ134" s="232">
        <v>0</v>
      </c>
      <c r="CR134" s="232">
        <v>0</v>
      </c>
      <c r="CS134" s="176">
        <v>0</v>
      </c>
      <c r="CT134" s="92">
        <v>0</v>
      </c>
      <c r="CU134" s="184">
        <v>0</v>
      </c>
      <c r="CV134" s="184">
        <v>0</v>
      </c>
      <c r="CW134" s="184">
        <v>0</v>
      </c>
      <c r="DE134" s="184">
        <v>0</v>
      </c>
      <c r="DF134" s="186">
        <v>0</v>
      </c>
      <c r="DG134" s="92" t="s">
        <v>212</v>
      </c>
      <c r="DI134" s="184">
        <v>0</v>
      </c>
      <c r="DN134" s="92"/>
      <c r="DO134" s="92"/>
      <c r="DP134" s="92"/>
      <c r="DQ134" s="92"/>
      <c r="DR134" s="92"/>
      <c r="DS134" s="92"/>
      <c r="DT134" s="92"/>
      <c r="DU134" s="92"/>
      <c r="DZ134" s="139">
        <v>0</v>
      </c>
      <c r="EA134" s="139">
        <v>0</v>
      </c>
      <c r="EB134" s="139">
        <v>0</v>
      </c>
      <c r="EC134" s="139">
        <v>0</v>
      </c>
      <c r="ED134" s="139">
        <v>0</v>
      </c>
      <c r="EE134" s="139">
        <v>0</v>
      </c>
    </row>
    <row r="135" spans="1:139">
      <c r="A135" s="175"/>
      <c r="B135" s="92" t="s">
        <v>618</v>
      </c>
      <c r="C135" s="176">
        <v>0</v>
      </c>
      <c r="D135" s="176">
        <v>0</v>
      </c>
      <c r="F135" s="177"/>
      <c r="G135" s="177"/>
      <c r="H135" s="176">
        <v>0</v>
      </c>
      <c r="I135" s="177"/>
      <c r="J135" s="177"/>
      <c r="K135" s="178">
        <v>0</v>
      </c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6">
        <v>0</v>
      </c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8">
        <v>0</v>
      </c>
      <c r="BG135" s="176">
        <v>0</v>
      </c>
      <c r="BH135" s="177"/>
      <c r="BI135" s="177"/>
      <c r="BJ135" s="177"/>
      <c r="BK135" s="177"/>
      <c r="BL135" s="177"/>
      <c r="BM135" s="177"/>
      <c r="BN135" s="177"/>
      <c r="BO135" s="176">
        <v>0</v>
      </c>
      <c r="BP135" s="177"/>
      <c r="BQ135" s="177"/>
      <c r="BR135" s="177"/>
      <c r="BS135" s="177"/>
      <c r="BT135" s="177"/>
      <c r="BU135" s="177"/>
      <c r="BV135" s="177"/>
      <c r="BW135" s="178">
        <v>0</v>
      </c>
      <c r="BX135" s="177"/>
      <c r="BY135" s="92">
        <v>0</v>
      </c>
      <c r="BZ135" s="177"/>
      <c r="CA135" s="177"/>
      <c r="CB135" s="177"/>
      <c r="CC135" s="92">
        <v>0</v>
      </c>
      <c r="CD135" s="177"/>
      <c r="CE135" s="177"/>
      <c r="CF135" s="177"/>
      <c r="CG135" s="177"/>
      <c r="CH135" s="177"/>
      <c r="CI135" s="177"/>
      <c r="CJ135" s="177"/>
      <c r="CK135" s="177"/>
      <c r="CL135" s="177"/>
      <c r="CM135" s="177"/>
      <c r="CN135" s="177"/>
      <c r="CO135" s="177"/>
      <c r="CP135" s="177"/>
      <c r="CR135" s="232">
        <v>0</v>
      </c>
      <c r="CS135" s="177"/>
      <c r="CT135" s="92">
        <v>0</v>
      </c>
      <c r="CU135" s="177"/>
      <c r="CV135" s="177"/>
      <c r="CW135" s="177"/>
      <c r="CX135" s="177"/>
      <c r="CY135" s="177"/>
      <c r="CZ135" s="177"/>
      <c r="DA135" s="177"/>
      <c r="DB135" s="177"/>
      <c r="DC135" s="177"/>
      <c r="DD135" s="177"/>
      <c r="DE135" s="92">
        <v>0</v>
      </c>
      <c r="DF135" s="177"/>
      <c r="DG135" s="177"/>
      <c r="DH135" s="177"/>
      <c r="DI135" s="92">
        <v>0</v>
      </c>
      <c r="DN135" s="92"/>
      <c r="DO135" s="92"/>
      <c r="DP135" s="92"/>
      <c r="DQ135" s="92"/>
      <c r="DR135" s="92"/>
      <c r="DS135" s="92"/>
      <c r="DT135" s="92"/>
      <c r="DU135" s="92"/>
      <c r="DZ135" s="139">
        <v>0</v>
      </c>
      <c r="EA135" s="139">
        <v>0</v>
      </c>
      <c r="EB135" s="139">
        <v>0</v>
      </c>
      <c r="EC135" s="139">
        <v>0</v>
      </c>
      <c r="ED135" s="139">
        <v>0</v>
      </c>
      <c r="EE135" s="139">
        <v>0</v>
      </c>
    </row>
    <row r="136" spans="1:139">
      <c r="A136" s="175">
        <v>7000</v>
      </c>
      <c r="B136" s="92" t="s">
        <v>131</v>
      </c>
      <c r="C136" s="176">
        <v>41</v>
      </c>
      <c r="D136" s="176">
        <v>51</v>
      </c>
      <c r="E136" s="177">
        <v>0</v>
      </c>
      <c r="F136" s="176">
        <v>0</v>
      </c>
      <c r="G136" s="178">
        <v>0</v>
      </c>
      <c r="H136" s="176">
        <v>0</v>
      </c>
      <c r="I136" s="176">
        <v>0</v>
      </c>
      <c r="J136" s="176">
        <v>0</v>
      </c>
      <c r="K136" s="178">
        <v>0</v>
      </c>
      <c r="L136" s="176">
        <v>0</v>
      </c>
      <c r="M136" s="137">
        <v>0</v>
      </c>
      <c r="N136" s="137">
        <v>0</v>
      </c>
      <c r="O136" s="137">
        <v>0</v>
      </c>
      <c r="P136" s="137">
        <v>0</v>
      </c>
      <c r="Q136" s="137">
        <v>0</v>
      </c>
      <c r="R136" s="137">
        <v>0</v>
      </c>
      <c r="S136" s="137">
        <v>0</v>
      </c>
      <c r="T136" s="137">
        <v>0</v>
      </c>
      <c r="U136" s="137">
        <v>0</v>
      </c>
      <c r="V136" s="137">
        <v>0</v>
      </c>
      <c r="W136" s="137">
        <v>0</v>
      </c>
      <c r="X136" s="137">
        <v>0</v>
      </c>
      <c r="Y136" s="137"/>
      <c r="Z136" s="137">
        <v>0</v>
      </c>
      <c r="AA136" s="137">
        <v>165</v>
      </c>
      <c r="AB136" s="176"/>
      <c r="AC136" s="176">
        <v>0</v>
      </c>
      <c r="AE136" s="179">
        <v>0</v>
      </c>
      <c r="AJ136" s="187">
        <v>57</v>
      </c>
      <c r="AK136" s="176"/>
      <c r="AL136" s="176"/>
      <c r="AM136" s="176"/>
      <c r="AO136" s="176"/>
      <c r="AP136" s="176"/>
      <c r="AQ136" s="176">
        <v>51</v>
      </c>
      <c r="AR136" s="176">
        <v>0</v>
      </c>
      <c r="AS136" s="176">
        <v>0</v>
      </c>
      <c r="AT136" s="178">
        <v>1</v>
      </c>
      <c r="AU136" s="176"/>
      <c r="AV136" s="178">
        <v>0</v>
      </c>
      <c r="AW136" s="177"/>
      <c r="AX136" s="176">
        <v>0</v>
      </c>
      <c r="AY136" s="176"/>
      <c r="AZ136" s="178">
        <v>0</v>
      </c>
      <c r="BA136" s="176"/>
      <c r="BB136" s="176">
        <v>0</v>
      </c>
      <c r="BC136" s="176">
        <v>0</v>
      </c>
      <c r="BD136" s="180" t="s">
        <v>214</v>
      </c>
      <c r="BE136" s="176"/>
      <c r="BF136" s="178">
        <v>165</v>
      </c>
      <c r="BG136" s="176">
        <v>88</v>
      </c>
      <c r="BJ136" s="176"/>
      <c r="BL136" s="176"/>
      <c r="BM136" s="176"/>
      <c r="BN136" s="176"/>
      <c r="BO136" s="176">
        <v>0</v>
      </c>
      <c r="BP136" s="176">
        <v>0</v>
      </c>
      <c r="BQ136" s="176"/>
      <c r="BR136" s="176"/>
      <c r="BS136" s="176">
        <v>0</v>
      </c>
      <c r="BT136" s="176"/>
      <c r="BU136" s="176"/>
      <c r="BV136" s="176"/>
      <c r="BW136" s="178">
        <v>0</v>
      </c>
      <c r="BX136" s="178">
        <v>1423.02</v>
      </c>
      <c r="BY136" s="92">
        <v>13799</v>
      </c>
      <c r="BZ136" s="92">
        <v>3042</v>
      </c>
      <c r="CA136" s="92">
        <v>0</v>
      </c>
      <c r="CB136" s="176"/>
      <c r="CC136" s="92">
        <v>2701</v>
      </c>
      <c r="CD136" s="92">
        <v>1</v>
      </c>
      <c r="CE136" s="176"/>
      <c r="CF136" s="176"/>
      <c r="CG136" s="176"/>
      <c r="CH136" s="176"/>
      <c r="CI136" s="176"/>
      <c r="CJ136" s="176">
        <v>452228.23912352225</v>
      </c>
      <c r="CK136" s="176">
        <v>1754792.0585961398</v>
      </c>
      <c r="CQ136" s="232">
        <v>165</v>
      </c>
      <c r="CR136" s="232">
        <v>57</v>
      </c>
      <c r="CS136" s="176">
        <v>0</v>
      </c>
      <c r="CT136" s="92">
        <v>51</v>
      </c>
      <c r="CU136" s="92">
        <v>13</v>
      </c>
      <c r="CV136" s="92">
        <v>32</v>
      </c>
      <c r="CW136" s="92">
        <v>14</v>
      </c>
      <c r="DE136" s="92">
        <v>0</v>
      </c>
      <c r="DF136" s="135">
        <v>0.3575757575757576</v>
      </c>
      <c r="DG136" s="92" t="s">
        <v>619</v>
      </c>
      <c r="DH136" s="176">
        <v>2.4257450980300002</v>
      </c>
      <c r="DI136" s="92">
        <v>38.679245283018872</v>
      </c>
      <c r="DN136" s="92"/>
      <c r="DO136" s="92"/>
      <c r="DP136" s="92"/>
      <c r="DQ136" s="92"/>
      <c r="DR136" s="92"/>
      <c r="DS136" s="92"/>
      <c r="DT136" s="92"/>
      <c r="DU136" s="92"/>
      <c r="DZ136" s="139">
        <v>0</v>
      </c>
      <c r="EA136" s="139">
        <v>0</v>
      </c>
      <c r="EB136" s="139">
        <v>17</v>
      </c>
      <c r="EC136" s="139">
        <v>16</v>
      </c>
      <c r="ED136" s="139">
        <v>6</v>
      </c>
      <c r="EE136" s="139">
        <v>3</v>
      </c>
      <c r="EF136" s="143">
        <v>0</v>
      </c>
      <c r="EG136" s="143">
        <v>0</v>
      </c>
      <c r="EH136" s="143">
        <v>17</v>
      </c>
      <c r="EI136" s="143">
        <v>0</v>
      </c>
    </row>
    <row r="137" spans="1:139">
      <c r="A137" s="175">
        <v>7005</v>
      </c>
      <c r="B137" s="92" t="s">
        <v>130</v>
      </c>
      <c r="C137" s="176">
        <v>26</v>
      </c>
      <c r="D137" s="176">
        <v>34</v>
      </c>
      <c r="E137" s="177">
        <v>0</v>
      </c>
      <c r="F137" s="176">
        <v>0</v>
      </c>
      <c r="G137" s="178">
        <v>0</v>
      </c>
      <c r="H137" s="176">
        <v>35.21638554216868</v>
      </c>
      <c r="I137" s="176">
        <v>0</v>
      </c>
      <c r="J137" s="176">
        <v>0</v>
      </c>
      <c r="K137" s="178">
        <v>0</v>
      </c>
      <c r="L137" s="176">
        <v>0</v>
      </c>
      <c r="M137" s="137">
        <v>11</v>
      </c>
      <c r="N137" s="137">
        <v>12</v>
      </c>
      <c r="O137" s="137">
        <v>11</v>
      </c>
      <c r="P137" s="137">
        <v>11</v>
      </c>
      <c r="Q137" s="137">
        <v>18</v>
      </c>
      <c r="R137" s="137">
        <v>12</v>
      </c>
      <c r="S137" s="137">
        <v>0</v>
      </c>
      <c r="T137" s="137">
        <v>0</v>
      </c>
      <c r="U137" s="137">
        <v>8</v>
      </c>
      <c r="V137" s="137">
        <v>11</v>
      </c>
      <c r="W137" s="137">
        <v>12</v>
      </c>
      <c r="X137" s="137">
        <v>0</v>
      </c>
      <c r="Y137" s="137"/>
      <c r="Z137" s="137">
        <v>8</v>
      </c>
      <c r="AA137" s="137">
        <v>83</v>
      </c>
      <c r="AB137" s="176"/>
      <c r="AC137" s="176">
        <v>0</v>
      </c>
      <c r="AE137" s="179">
        <v>0</v>
      </c>
      <c r="AJ137" s="178">
        <v>26</v>
      </c>
      <c r="AK137" s="176"/>
      <c r="AL137" s="176"/>
      <c r="AM137" s="176"/>
      <c r="AO137" s="176"/>
      <c r="AP137" s="176"/>
      <c r="AQ137" s="176">
        <v>43</v>
      </c>
      <c r="AR137" s="176">
        <v>0</v>
      </c>
      <c r="AS137" s="176">
        <v>0</v>
      </c>
      <c r="AT137" s="178">
        <v>1</v>
      </c>
      <c r="AU137" s="176"/>
      <c r="AV137" s="178">
        <v>0</v>
      </c>
      <c r="AW137" s="177"/>
      <c r="AX137" s="176">
        <v>0</v>
      </c>
      <c r="AY137" s="176"/>
      <c r="AZ137" s="178">
        <v>0</v>
      </c>
      <c r="BA137" s="176"/>
      <c r="BB137" s="176">
        <v>0</v>
      </c>
      <c r="BC137" s="176">
        <v>0</v>
      </c>
      <c r="BD137" s="180" t="s">
        <v>214</v>
      </c>
      <c r="BE137" s="176"/>
      <c r="BF137" s="178">
        <v>83</v>
      </c>
      <c r="BG137" s="176">
        <v>48</v>
      </c>
      <c r="BJ137" s="176"/>
      <c r="BL137" s="176"/>
      <c r="BM137" s="176"/>
      <c r="BN137" s="176"/>
      <c r="BO137" s="176">
        <v>0</v>
      </c>
      <c r="BP137" s="176">
        <v>0</v>
      </c>
      <c r="BQ137" s="176"/>
      <c r="BR137" s="176"/>
      <c r="BS137" s="176"/>
      <c r="BT137" s="176"/>
      <c r="BU137" s="176"/>
      <c r="BV137" s="176"/>
      <c r="BW137" s="178">
        <v>0</v>
      </c>
      <c r="BX137" s="178">
        <v>0</v>
      </c>
      <c r="BY137" s="92">
        <v>12182.774937913908</v>
      </c>
      <c r="BZ137" s="92">
        <v>1647</v>
      </c>
      <c r="CA137" s="92">
        <v>0</v>
      </c>
      <c r="CB137" s="176"/>
      <c r="CC137" s="92">
        <v>3460</v>
      </c>
      <c r="CD137" s="92">
        <v>1</v>
      </c>
      <c r="CE137" s="176"/>
      <c r="CF137" s="176"/>
      <c r="CG137" s="176"/>
      <c r="CH137" s="176"/>
      <c r="CI137" s="176"/>
      <c r="CJ137" s="176">
        <v>108743.97986364689</v>
      </c>
      <c r="CK137" s="176">
        <v>1039748.4792492193</v>
      </c>
      <c r="CQ137" s="232">
        <v>83</v>
      </c>
      <c r="CR137" s="232">
        <v>26</v>
      </c>
      <c r="CS137" s="176">
        <v>0</v>
      </c>
      <c r="CT137" s="92">
        <v>34</v>
      </c>
      <c r="CU137" s="92">
        <v>0</v>
      </c>
      <c r="CV137" s="92">
        <v>0</v>
      </c>
      <c r="CW137" s="92">
        <v>0</v>
      </c>
      <c r="DE137" s="92">
        <v>114</v>
      </c>
      <c r="DF137" s="135">
        <v>0</v>
      </c>
      <c r="DG137" s="92" t="s">
        <v>619</v>
      </c>
      <c r="DH137" s="92">
        <v>1</v>
      </c>
      <c r="DI137" s="92">
        <v>31.325301204819279</v>
      </c>
      <c r="DN137" s="92"/>
      <c r="DO137" s="92"/>
      <c r="DP137" s="92"/>
      <c r="DQ137" s="92"/>
      <c r="DR137" s="92"/>
      <c r="DS137" s="92"/>
      <c r="DT137" s="92"/>
      <c r="DU137" s="92"/>
      <c r="DZ137" s="139">
        <v>0</v>
      </c>
      <c r="EA137" s="139">
        <v>0</v>
      </c>
      <c r="EB137" s="139">
        <v>11</v>
      </c>
      <c r="EC137" s="139">
        <v>15</v>
      </c>
      <c r="ED137" s="139">
        <v>0</v>
      </c>
      <c r="EE137" s="139">
        <v>0</v>
      </c>
      <c r="EF137" s="143">
        <v>0</v>
      </c>
      <c r="EG137" s="143">
        <v>0</v>
      </c>
      <c r="EH137" s="143">
        <v>11</v>
      </c>
      <c r="EI137" s="143">
        <v>1</v>
      </c>
    </row>
    <row r="138" spans="1:139">
      <c r="A138" s="175">
        <v>7009</v>
      </c>
      <c r="B138" s="92" t="s">
        <v>132</v>
      </c>
      <c r="C138" s="176">
        <v>18</v>
      </c>
      <c r="D138" s="176">
        <v>62</v>
      </c>
      <c r="E138" s="177">
        <v>0</v>
      </c>
      <c r="F138" s="176">
        <v>0</v>
      </c>
      <c r="G138" s="178">
        <v>0</v>
      </c>
      <c r="H138" s="176">
        <v>39.160754716981138</v>
      </c>
      <c r="I138" s="176">
        <v>0</v>
      </c>
      <c r="J138" s="176">
        <v>0</v>
      </c>
      <c r="K138" s="178">
        <v>0</v>
      </c>
      <c r="L138" s="176">
        <v>0</v>
      </c>
      <c r="M138" s="137">
        <v>13</v>
      </c>
      <c r="N138" s="137">
        <v>8</v>
      </c>
      <c r="O138" s="137">
        <v>8</v>
      </c>
      <c r="P138" s="137">
        <v>8</v>
      </c>
      <c r="Q138" s="137">
        <v>3</v>
      </c>
      <c r="R138" s="137">
        <v>10</v>
      </c>
      <c r="S138" s="137">
        <v>25</v>
      </c>
      <c r="T138" s="137">
        <v>17</v>
      </c>
      <c r="U138" s="137">
        <v>14</v>
      </c>
      <c r="V138" s="137">
        <v>13</v>
      </c>
      <c r="W138" s="137">
        <v>8</v>
      </c>
      <c r="X138" s="137">
        <v>42</v>
      </c>
      <c r="Y138" s="137"/>
      <c r="Z138" s="137">
        <v>14</v>
      </c>
      <c r="AA138" s="137">
        <v>106</v>
      </c>
      <c r="AB138" s="176"/>
      <c r="AC138" s="176">
        <v>0</v>
      </c>
      <c r="AE138" s="179">
        <v>0</v>
      </c>
      <c r="AJ138" s="178">
        <v>18</v>
      </c>
      <c r="AK138" s="176"/>
      <c r="AL138" s="176"/>
      <c r="AM138" s="176"/>
      <c r="AO138" s="176"/>
      <c r="AP138" s="176"/>
      <c r="AQ138" s="176">
        <v>23</v>
      </c>
      <c r="AR138" s="176">
        <v>0</v>
      </c>
      <c r="AS138" s="176">
        <v>0</v>
      </c>
      <c r="AT138" s="178">
        <v>1</v>
      </c>
      <c r="AU138" s="176"/>
      <c r="AV138" s="178">
        <v>1</v>
      </c>
      <c r="AW138" s="177"/>
      <c r="AX138" s="176">
        <v>0</v>
      </c>
      <c r="AY138" s="176"/>
      <c r="AZ138" s="178">
        <v>0</v>
      </c>
      <c r="BA138" s="176"/>
      <c r="BB138" s="176">
        <v>0</v>
      </c>
      <c r="BC138" s="176">
        <v>0</v>
      </c>
      <c r="BD138" s="180" t="s">
        <v>214</v>
      </c>
      <c r="BE138" s="176"/>
      <c r="BF138" s="178">
        <v>89.2</v>
      </c>
      <c r="BG138" s="176">
        <v>40</v>
      </c>
      <c r="BJ138" s="176"/>
      <c r="BL138" s="176"/>
      <c r="BM138" s="176"/>
      <c r="BN138" s="176"/>
      <c r="BO138" s="176">
        <v>0</v>
      </c>
      <c r="BP138" s="176">
        <v>0</v>
      </c>
      <c r="BQ138" s="176"/>
      <c r="BR138" s="176"/>
      <c r="BS138" s="176"/>
      <c r="BT138" s="176"/>
      <c r="BU138" s="176"/>
      <c r="BV138" s="176"/>
      <c r="BW138" s="178">
        <v>0</v>
      </c>
      <c r="BX138" s="178">
        <v>0</v>
      </c>
      <c r="BY138" s="92">
        <v>5639</v>
      </c>
      <c r="BZ138" s="92">
        <v>2376</v>
      </c>
      <c r="CA138" s="92">
        <v>0</v>
      </c>
      <c r="CB138" s="176"/>
      <c r="CC138" s="92">
        <v>1409</v>
      </c>
      <c r="CD138" s="92">
        <v>1</v>
      </c>
      <c r="CE138" s="176"/>
      <c r="CF138" s="176"/>
      <c r="CG138" s="176"/>
      <c r="CH138" s="176"/>
      <c r="CI138" s="176"/>
      <c r="CJ138" s="176">
        <v>157391.75127488247</v>
      </c>
      <c r="CK138" s="176">
        <v>1748111.5091105457</v>
      </c>
      <c r="CQ138" s="232">
        <v>89.2</v>
      </c>
      <c r="CR138" s="232">
        <v>18</v>
      </c>
      <c r="CS138" s="176">
        <v>0</v>
      </c>
      <c r="CT138" s="92">
        <v>62</v>
      </c>
      <c r="CU138" s="92">
        <v>0</v>
      </c>
      <c r="CV138" s="92">
        <v>0</v>
      </c>
      <c r="CW138" s="92">
        <v>0</v>
      </c>
      <c r="DE138" s="92">
        <v>141</v>
      </c>
      <c r="DF138" s="135">
        <v>0</v>
      </c>
      <c r="DG138" s="92" t="s">
        <v>619</v>
      </c>
      <c r="DH138" s="92">
        <v>1</v>
      </c>
      <c r="DI138" s="92">
        <v>28.125</v>
      </c>
      <c r="DN138" s="92"/>
      <c r="DO138" s="92"/>
      <c r="DP138" s="92"/>
      <c r="DQ138" s="92"/>
      <c r="DR138" s="92"/>
      <c r="DS138" s="92"/>
      <c r="DT138" s="92"/>
      <c r="DU138" s="92"/>
      <c r="DZ138" s="139">
        <v>0</v>
      </c>
      <c r="EA138" s="139">
        <v>0</v>
      </c>
      <c r="EB138" s="139">
        <v>7</v>
      </c>
      <c r="EC138" s="139">
        <v>12</v>
      </c>
      <c r="ED138" s="139">
        <v>1</v>
      </c>
      <c r="EE138" s="139">
        <v>4</v>
      </c>
      <c r="EF138" s="143">
        <v>0</v>
      </c>
      <c r="EG138" s="143">
        <v>0</v>
      </c>
      <c r="EH138" s="143">
        <v>12</v>
      </c>
      <c r="EI138" s="143">
        <v>26</v>
      </c>
    </row>
    <row r="139" spans="1:139">
      <c r="A139" s="175">
        <v>7010</v>
      </c>
      <c r="B139" s="92" t="s">
        <v>129</v>
      </c>
      <c r="C139" s="176">
        <v>15</v>
      </c>
      <c r="D139" s="176">
        <v>39</v>
      </c>
      <c r="E139" s="177">
        <v>0</v>
      </c>
      <c r="F139" s="176">
        <v>0</v>
      </c>
      <c r="G139" s="178">
        <v>0</v>
      </c>
      <c r="H139" s="176">
        <v>0</v>
      </c>
      <c r="I139" s="176">
        <v>0</v>
      </c>
      <c r="J139" s="176">
        <v>0</v>
      </c>
      <c r="K139" s="178">
        <v>0</v>
      </c>
      <c r="L139" s="176">
        <v>0</v>
      </c>
      <c r="M139" s="137">
        <v>0</v>
      </c>
      <c r="N139" s="137">
        <v>0</v>
      </c>
      <c r="O139" s="137">
        <v>0</v>
      </c>
      <c r="P139" s="137">
        <v>0</v>
      </c>
      <c r="Q139" s="137">
        <v>0</v>
      </c>
      <c r="R139" s="137">
        <v>0</v>
      </c>
      <c r="S139" s="137">
        <v>0</v>
      </c>
      <c r="T139" s="137">
        <v>0</v>
      </c>
      <c r="U139" s="137">
        <v>0</v>
      </c>
      <c r="V139" s="137">
        <v>0</v>
      </c>
      <c r="W139" s="137">
        <v>0</v>
      </c>
      <c r="X139" s="137">
        <v>0</v>
      </c>
      <c r="Y139" s="137"/>
      <c r="Z139" s="137">
        <v>0</v>
      </c>
      <c r="AA139" s="137">
        <v>60</v>
      </c>
      <c r="AB139" s="176"/>
      <c r="AC139" s="176">
        <v>0</v>
      </c>
      <c r="AE139" s="179">
        <v>0</v>
      </c>
      <c r="AJ139" s="187">
        <v>21</v>
      </c>
      <c r="AK139" s="176"/>
      <c r="AL139" s="176"/>
      <c r="AM139" s="176"/>
      <c r="AO139" s="176"/>
      <c r="AP139" s="176"/>
      <c r="AQ139" s="176">
        <v>24</v>
      </c>
      <c r="AR139" s="176">
        <v>0</v>
      </c>
      <c r="AS139" s="176">
        <v>0</v>
      </c>
      <c r="AT139" s="178">
        <v>1</v>
      </c>
      <c r="AU139" s="176"/>
      <c r="AV139" s="178">
        <v>0</v>
      </c>
      <c r="AW139" s="177"/>
      <c r="AX139" s="176">
        <v>0</v>
      </c>
      <c r="AY139" s="176"/>
      <c r="AZ139" s="178">
        <v>0</v>
      </c>
      <c r="BA139" s="176"/>
      <c r="BB139" s="176">
        <v>0</v>
      </c>
      <c r="BC139" s="176">
        <v>0</v>
      </c>
      <c r="BD139" s="180" t="s">
        <v>214</v>
      </c>
      <c r="BE139" s="176"/>
      <c r="BF139" s="178">
        <v>60</v>
      </c>
      <c r="BG139" s="176">
        <v>30</v>
      </c>
      <c r="BJ139" s="176"/>
      <c r="BL139" s="176"/>
      <c r="BM139" s="176"/>
      <c r="BN139" s="176"/>
      <c r="BO139" s="176">
        <v>0</v>
      </c>
      <c r="BP139" s="176">
        <v>0</v>
      </c>
      <c r="BQ139" s="176"/>
      <c r="BR139" s="176"/>
      <c r="BS139" s="176">
        <v>0</v>
      </c>
      <c r="BT139" s="176"/>
      <c r="BU139" s="176"/>
      <c r="BV139" s="176"/>
      <c r="BW139" s="178">
        <v>0</v>
      </c>
      <c r="BX139" s="178">
        <v>1739.25</v>
      </c>
      <c r="BY139" s="92">
        <v>10500</v>
      </c>
      <c r="BZ139" s="92">
        <v>2820</v>
      </c>
      <c r="CA139" s="92">
        <v>0</v>
      </c>
      <c r="CB139" s="176"/>
      <c r="CC139" s="92">
        <v>1709</v>
      </c>
      <c r="CD139" s="92">
        <v>1</v>
      </c>
      <c r="CE139" s="176"/>
      <c r="CF139" s="176"/>
      <c r="CG139" s="176"/>
      <c r="CH139" s="176"/>
      <c r="CI139" s="176"/>
      <c r="CJ139" s="176">
        <v>143495.33589530422</v>
      </c>
      <c r="CK139" s="176">
        <v>1507263.9632813665</v>
      </c>
      <c r="CQ139" s="232">
        <v>60</v>
      </c>
      <c r="CR139" s="232">
        <v>21</v>
      </c>
      <c r="CS139" s="176">
        <v>0</v>
      </c>
      <c r="CT139" s="92">
        <v>39</v>
      </c>
      <c r="CU139" s="92">
        <v>5</v>
      </c>
      <c r="CV139" s="92">
        <v>5</v>
      </c>
      <c r="CW139" s="92">
        <v>7</v>
      </c>
      <c r="DE139" s="92">
        <v>0</v>
      </c>
      <c r="DF139" s="135">
        <v>0.28333333333333333</v>
      </c>
      <c r="DG139" s="92" t="s">
        <v>619</v>
      </c>
      <c r="DH139" s="176">
        <v>2.4257450980300002</v>
      </c>
      <c r="DI139" s="92">
        <v>34.883720930232556</v>
      </c>
      <c r="DN139" s="92"/>
      <c r="DO139" s="92"/>
      <c r="DP139" s="92"/>
      <c r="DQ139" s="92"/>
      <c r="DR139" s="92"/>
      <c r="DS139" s="92"/>
      <c r="DT139" s="92"/>
      <c r="DU139" s="92"/>
      <c r="DZ139" s="139">
        <v>0</v>
      </c>
      <c r="EA139" s="139">
        <v>0</v>
      </c>
      <c r="EB139" s="139">
        <v>7</v>
      </c>
      <c r="EC139" s="139">
        <v>8</v>
      </c>
      <c r="ED139" s="139">
        <v>0</v>
      </c>
      <c r="EE139" s="139">
        <v>1</v>
      </c>
      <c r="EF139" s="143">
        <v>0</v>
      </c>
      <c r="EG139" s="143">
        <v>0</v>
      </c>
      <c r="EH139" s="143">
        <v>13</v>
      </c>
      <c r="EI139" s="143">
        <v>0</v>
      </c>
    </row>
    <row r="140" spans="1:139">
      <c r="A140" s="177"/>
      <c r="B140" s="177"/>
      <c r="C140" s="176">
        <v>0</v>
      </c>
      <c r="D140" s="176">
        <v>0</v>
      </c>
      <c r="F140" s="177"/>
      <c r="G140" s="177"/>
      <c r="H140" s="177"/>
      <c r="I140" s="177"/>
      <c r="J140" s="177"/>
      <c r="K140" s="178">
        <v>0</v>
      </c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177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6">
        <v>0</v>
      </c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8">
        <v>0</v>
      </c>
      <c r="BG140" s="176">
        <v>0</v>
      </c>
      <c r="BH140" s="177"/>
      <c r="BI140" s="177"/>
      <c r="BJ140" s="177"/>
      <c r="BK140" s="177"/>
      <c r="BL140" s="177"/>
      <c r="BM140" s="177"/>
      <c r="BN140" s="177"/>
      <c r="BO140" s="176">
        <v>0</v>
      </c>
      <c r="BP140" s="177"/>
      <c r="BQ140" s="177"/>
      <c r="BR140" s="177"/>
      <c r="BS140" s="177"/>
      <c r="BT140" s="177"/>
      <c r="BU140" s="177"/>
      <c r="BV140" s="177"/>
      <c r="BW140" s="178">
        <v>0</v>
      </c>
      <c r="BX140" s="177"/>
      <c r="BY140" s="92">
        <v>0</v>
      </c>
      <c r="BZ140" s="177"/>
      <c r="CA140" s="177"/>
      <c r="CB140" s="177"/>
      <c r="CC140" s="92">
        <v>0</v>
      </c>
      <c r="CD140" s="177"/>
      <c r="CE140" s="177"/>
      <c r="CF140" s="177"/>
      <c r="CG140" s="177"/>
      <c r="CH140" s="177"/>
      <c r="CI140" s="177"/>
      <c r="CJ140" s="177"/>
      <c r="CK140" s="177"/>
      <c r="CL140" s="177"/>
      <c r="CM140" s="177"/>
      <c r="CN140" s="177"/>
      <c r="CO140" s="177"/>
      <c r="CP140" s="177"/>
      <c r="CR140" s="232">
        <v>0</v>
      </c>
      <c r="CS140" s="177"/>
      <c r="CT140" s="92">
        <v>0</v>
      </c>
      <c r="CU140" s="177"/>
      <c r="CV140" s="177"/>
      <c r="CW140" s="177"/>
      <c r="CX140" s="177"/>
      <c r="CY140" s="177"/>
      <c r="CZ140" s="177"/>
      <c r="DA140" s="177"/>
      <c r="DB140" s="177"/>
      <c r="DC140" s="177"/>
      <c r="DD140" s="177"/>
      <c r="DE140" s="92">
        <v>0</v>
      </c>
      <c r="DF140" s="177"/>
      <c r="DG140" s="177"/>
      <c r="DH140" s="177"/>
      <c r="DI140" s="92">
        <v>0</v>
      </c>
      <c r="DN140" s="92"/>
      <c r="DO140" s="92"/>
      <c r="DP140" s="92"/>
      <c r="DQ140" s="92"/>
      <c r="DR140" s="92"/>
      <c r="DS140" s="92"/>
      <c r="DT140" s="92"/>
      <c r="DU140" s="92"/>
      <c r="DZ140" s="139">
        <v>0</v>
      </c>
      <c r="EA140" s="139">
        <v>0</v>
      </c>
      <c r="EB140" s="139">
        <v>0</v>
      </c>
      <c r="EC140" s="139">
        <v>0</v>
      </c>
      <c r="ED140" s="139">
        <v>0</v>
      </c>
      <c r="EE140" s="139">
        <v>0</v>
      </c>
    </row>
    <row r="141" spans="1:139">
      <c r="A141" s="175">
        <v>1100</v>
      </c>
      <c r="B141" s="92" t="s">
        <v>451</v>
      </c>
      <c r="C141" s="176">
        <v>24</v>
      </c>
      <c r="D141" s="176">
        <v>0</v>
      </c>
      <c r="E141" s="177">
        <v>0</v>
      </c>
      <c r="F141" s="176"/>
      <c r="G141" s="178">
        <v>0</v>
      </c>
      <c r="H141" s="176">
        <v>0</v>
      </c>
      <c r="I141" s="176">
        <v>0</v>
      </c>
      <c r="J141" s="176">
        <v>0</v>
      </c>
      <c r="K141" s="178">
        <v>0</v>
      </c>
      <c r="L141" s="176">
        <v>0</v>
      </c>
      <c r="M141" s="137">
        <v>0</v>
      </c>
      <c r="N141" s="137">
        <v>0</v>
      </c>
      <c r="O141" s="137">
        <v>0</v>
      </c>
      <c r="P141" s="137">
        <v>0</v>
      </c>
      <c r="Q141" s="137">
        <v>0</v>
      </c>
      <c r="R141" s="137">
        <v>0</v>
      </c>
      <c r="S141" s="137">
        <v>0</v>
      </c>
      <c r="T141" s="137">
        <v>0</v>
      </c>
      <c r="U141" s="137">
        <v>0</v>
      </c>
      <c r="V141" s="137">
        <v>0</v>
      </c>
      <c r="W141" s="137">
        <v>0</v>
      </c>
      <c r="X141" s="137">
        <v>0</v>
      </c>
      <c r="Y141" s="137"/>
      <c r="Z141" s="137">
        <v>0</v>
      </c>
      <c r="AA141" s="137">
        <v>65</v>
      </c>
      <c r="AB141" s="176"/>
      <c r="AC141" s="176">
        <v>0</v>
      </c>
      <c r="AE141" s="179">
        <v>0</v>
      </c>
      <c r="AJ141" s="178">
        <v>24</v>
      </c>
      <c r="AK141" s="176"/>
      <c r="AL141" s="176"/>
      <c r="AM141" s="176"/>
      <c r="AO141" s="176"/>
      <c r="AP141" s="176"/>
      <c r="AQ141" s="176">
        <v>0</v>
      </c>
      <c r="AR141" s="176">
        <v>2</v>
      </c>
      <c r="AS141" s="176">
        <v>0</v>
      </c>
      <c r="AT141" s="178">
        <v>1</v>
      </c>
      <c r="AU141" s="176"/>
      <c r="AV141" s="178">
        <v>0</v>
      </c>
      <c r="AW141" s="177"/>
      <c r="AX141" s="176">
        <v>0</v>
      </c>
      <c r="AY141" s="176"/>
      <c r="AZ141" s="178">
        <v>0</v>
      </c>
      <c r="BA141" s="176"/>
      <c r="BB141" s="176">
        <v>0</v>
      </c>
      <c r="BC141" s="176">
        <v>0</v>
      </c>
      <c r="BD141" s="180" t="s">
        <v>214</v>
      </c>
      <c r="BE141" s="176"/>
      <c r="BF141" s="178">
        <v>65</v>
      </c>
      <c r="BG141" s="176">
        <v>0</v>
      </c>
      <c r="BJ141" s="176"/>
      <c r="BL141" s="176"/>
      <c r="BM141" s="176"/>
      <c r="BN141" s="176"/>
      <c r="BO141" s="176">
        <v>0</v>
      </c>
      <c r="BP141" s="176">
        <v>0</v>
      </c>
      <c r="BQ141" s="176"/>
      <c r="BR141" s="176"/>
      <c r="BS141" s="176"/>
      <c r="BT141" s="176"/>
      <c r="BU141" s="176"/>
      <c r="BV141" s="176"/>
      <c r="BW141" s="178">
        <v>0</v>
      </c>
      <c r="BX141" s="178">
        <v>0</v>
      </c>
      <c r="BZ141" s="92">
        <v>0</v>
      </c>
      <c r="CA141" s="92">
        <v>0</v>
      </c>
      <c r="CB141" s="176"/>
      <c r="CC141" s="92">
        <v>0</v>
      </c>
      <c r="CD141" s="92">
        <v>0</v>
      </c>
      <c r="CE141" s="176"/>
      <c r="CF141" s="176"/>
      <c r="CG141" s="176"/>
      <c r="CH141" s="176"/>
      <c r="CI141" s="176"/>
      <c r="CJ141" s="176">
        <v>0</v>
      </c>
      <c r="CK141" s="176">
        <v>0</v>
      </c>
      <c r="CQ141" s="232">
        <v>65</v>
      </c>
      <c r="CR141" s="232">
        <v>24</v>
      </c>
      <c r="CS141" s="176">
        <v>0</v>
      </c>
      <c r="CT141" s="92">
        <v>0</v>
      </c>
      <c r="CU141" s="92">
        <v>0</v>
      </c>
      <c r="CV141" s="92">
        <v>0</v>
      </c>
      <c r="CW141" s="92">
        <v>0</v>
      </c>
      <c r="DE141" s="92">
        <v>0</v>
      </c>
      <c r="DF141" s="135">
        <v>0</v>
      </c>
      <c r="DG141" s="92" t="s">
        <v>620</v>
      </c>
      <c r="DH141" s="92">
        <v>1</v>
      </c>
      <c r="DI141" s="92">
        <v>36.923076923076927</v>
      </c>
      <c r="DN141" s="92"/>
      <c r="DO141" s="92"/>
      <c r="DP141" s="92"/>
      <c r="DQ141" s="92"/>
      <c r="DR141" s="92"/>
      <c r="DS141" s="92"/>
      <c r="DT141" s="92"/>
      <c r="DU141" s="92"/>
      <c r="DZ141" s="139">
        <v>0</v>
      </c>
      <c r="EA141" s="139">
        <v>0</v>
      </c>
      <c r="EB141" s="139">
        <v>0</v>
      </c>
      <c r="EC141" s="139">
        <v>0</v>
      </c>
      <c r="ED141" s="139">
        <v>0</v>
      </c>
      <c r="EE141" s="139">
        <v>0</v>
      </c>
    </row>
    <row r="142" spans="1:139">
      <c r="A142" s="175">
        <v>1102</v>
      </c>
      <c r="B142" s="92" t="s">
        <v>453</v>
      </c>
      <c r="C142" s="176">
        <v>4</v>
      </c>
      <c r="D142" s="176">
        <v>0</v>
      </c>
      <c r="E142" s="177">
        <v>0</v>
      </c>
      <c r="F142" s="176"/>
      <c r="G142" s="178">
        <v>0</v>
      </c>
      <c r="H142" s="176">
        <v>0</v>
      </c>
      <c r="I142" s="176">
        <v>0</v>
      </c>
      <c r="J142" s="176">
        <v>0</v>
      </c>
      <c r="K142" s="178">
        <v>0</v>
      </c>
      <c r="L142" s="176">
        <v>0</v>
      </c>
      <c r="M142" s="137">
        <v>0</v>
      </c>
      <c r="N142" s="137">
        <v>0</v>
      </c>
      <c r="O142" s="137">
        <v>0</v>
      </c>
      <c r="P142" s="137">
        <v>0</v>
      </c>
      <c r="Q142" s="137">
        <v>0</v>
      </c>
      <c r="R142" s="137">
        <v>0</v>
      </c>
      <c r="S142" s="137">
        <v>0</v>
      </c>
      <c r="T142" s="137">
        <v>0</v>
      </c>
      <c r="U142" s="137">
        <v>0</v>
      </c>
      <c r="V142" s="137">
        <v>0</v>
      </c>
      <c r="W142" s="137">
        <v>0</v>
      </c>
      <c r="X142" s="137">
        <v>0</v>
      </c>
      <c r="Y142" s="137"/>
      <c r="Z142" s="137">
        <v>0</v>
      </c>
      <c r="AA142" s="137">
        <v>14</v>
      </c>
      <c r="AB142" s="176"/>
      <c r="AC142" s="176">
        <v>0</v>
      </c>
      <c r="AE142" s="179">
        <v>0</v>
      </c>
      <c r="AJ142" s="178">
        <v>4</v>
      </c>
      <c r="AK142" s="176"/>
      <c r="AL142" s="176"/>
      <c r="AM142" s="176"/>
      <c r="AO142" s="176"/>
      <c r="AP142" s="176"/>
      <c r="AQ142" s="176">
        <v>0</v>
      </c>
      <c r="AR142" s="176">
        <v>0</v>
      </c>
      <c r="AS142" s="176">
        <v>0</v>
      </c>
      <c r="AT142" s="178">
        <v>1</v>
      </c>
      <c r="AU142" s="176"/>
      <c r="AV142" s="178">
        <v>0</v>
      </c>
      <c r="AW142" s="177"/>
      <c r="AX142" s="176">
        <v>0</v>
      </c>
      <c r="AY142" s="176"/>
      <c r="AZ142" s="178">
        <v>0</v>
      </c>
      <c r="BA142" s="176"/>
      <c r="BB142" s="176">
        <v>0</v>
      </c>
      <c r="BC142" s="176">
        <v>0</v>
      </c>
      <c r="BD142" s="180" t="s">
        <v>214</v>
      </c>
      <c r="BE142" s="176"/>
      <c r="BF142" s="178">
        <v>14</v>
      </c>
      <c r="BG142" s="176">
        <v>0</v>
      </c>
      <c r="BJ142" s="176"/>
      <c r="BL142" s="176"/>
      <c r="BM142" s="176"/>
      <c r="BN142" s="176"/>
      <c r="BO142" s="176">
        <v>0</v>
      </c>
      <c r="BP142" s="176">
        <v>0</v>
      </c>
      <c r="BQ142" s="176"/>
      <c r="BR142" s="176"/>
      <c r="BS142" s="176"/>
      <c r="BT142" s="176"/>
      <c r="BU142" s="176"/>
      <c r="BV142" s="176"/>
      <c r="BW142" s="178">
        <v>0</v>
      </c>
      <c r="BX142" s="178">
        <v>0</v>
      </c>
      <c r="BZ142" s="92">
        <v>0</v>
      </c>
      <c r="CA142" s="92">
        <v>0</v>
      </c>
      <c r="CB142" s="176"/>
      <c r="CC142" s="92">
        <v>0</v>
      </c>
      <c r="CD142" s="92">
        <v>0</v>
      </c>
      <c r="CE142" s="176"/>
      <c r="CF142" s="176"/>
      <c r="CG142" s="176"/>
      <c r="CH142" s="176"/>
      <c r="CI142" s="176"/>
      <c r="CJ142" s="176">
        <v>0</v>
      </c>
      <c r="CK142" s="176">
        <v>0</v>
      </c>
      <c r="CQ142" s="232">
        <v>14</v>
      </c>
      <c r="CR142" s="232">
        <v>4</v>
      </c>
      <c r="CS142" s="176">
        <v>0</v>
      </c>
      <c r="CT142" s="92">
        <v>0</v>
      </c>
      <c r="CU142" s="92">
        <v>2</v>
      </c>
      <c r="CV142" s="92">
        <v>3</v>
      </c>
      <c r="CW142" s="92">
        <v>0</v>
      </c>
      <c r="DE142" s="92">
        <v>0</v>
      </c>
      <c r="DF142" s="135">
        <v>0.35714285714285715</v>
      </c>
      <c r="DG142" s="92" t="s">
        <v>620</v>
      </c>
      <c r="DH142" s="92">
        <v>1</v>
      </c>
      <c r="DI142" s="92">
        <v>44.444444444444443</v>
      </c>
      <c r="DN142" s="92"/>
      <c r="DO142" s="92"/>
      <c r="DP142" s="92"/>
      <c r="DQ142" s="92"/>
      <c r="DR142" s="92"/>
      <c r="DS142" s="92"/>
      <c r="DT142" s="92"/>
      <c r="DU142" s="92"/>
      <c r="DZ142" s="139">
        <v>0</v>
      </c>
      <c r="EA142" s="139">
        <v>0</v>
      </c>
      <c r="EB142" s="139">
        <v>0</v>
      </c>
      <c r="EC142" s="139">
        <v>0</v>
      </c>
      <c r="ED142" s="139">
        <v>0</v>
      </c>
      <c r="EE142" s="139">
        <v>0</v>
      </c>
    </row>
    <row r="143" spans="1:139">
      <c r="A143" s="175">
        <v>1103</v>
      </c>
      <c r="B143" s="92" t="s">
        <v>452</v>
      </c>
      <c r="C143" s="176">
        <v>4</v>
      </c>
      <c r="D143" s="176">
        <v>0</v>
      </c>
      <c r="E143" s="177">
        <v>0</v>
      </c>
      <c r="F143" s="176"/>
      <c r="G143" s="178">
        <v>0</v>
      </c>
      <c r="H143" s="176">
        <v>0</v>
      </c>
      <c r="I143" s="176">
        <v>0</v>
      </c>
      <c r="J143" s="176">
        <v>0</v>
      </c>
      <c r="K143" s="178">
        <v>0</v>
      </c>
      <c r="L143" s="176">
        <v>0</v>
      </c>
      <c r="M143" s="137">
        <v>0</v>
      </c>
      <c r="N143" s="137">
        <v>0</v>
      </c>
      <c r="O143" s="137">
        <v>0</v>
      </c>
      <c r="P143" s="137">
        <v>0</v>
      </c>
      <c r="Q143" s="137">
        <v>0</v>
      </c>
      <c r="R143" s="137">
        <v>0</v>
      </c>
      <c r="S143" s="137">
        <v>0</v>
      </c>
      <c r="T143" s="137">
        <v>0</v>
      </c>
      <c r="U143" s="137">
        <v>0</v>
      </c>
      <c r="V143" s="137">
        <v>0</v>
      </c>
      <c r="W143" s="137">
        <v>0</v>
      </c>
      <c r="X143" s="137">
        <v>0</v>
      </c>
      <c r="Y143" s="137"/>
      <c r="Z143" s="137">
        <v>0</v>
      </c>
      <c r="AA143" s="137">
        <v>14</v>
      </c>
      <c r="AB143" s="176"/>
      <c r="AC143" s="176">
        <v>0</v>
      </c>
      <c r="AE143" s="179">
        <v>0</v>
      </c>
      <c r="AJ143" s="178">
        <v>4</v>
      </c>
      <c r="AK143" s="176"/>
      <c r="AL143" s="176"/>
      <c r="AM143" s="176"/>
      <c r="AO143" s="176"/>
      <c r="AP143" s="176"/>
      <c r="AQ143" s="176">
        <v>0</v>
      </c>
      <c r="AR143" s="176">
        <v>0</v>
      </c>
      <c r="AS143" s="176">
        <v>0</v>
      </c>
      <c r="AT143" s="178">
        <v>1</v>
      </c>
      <c r="AU143" s="176"/>
      <c r="AV143" s="178">
        <v>0</v>
      </c>
      <c r="AW143" s="177"/>
      <c r="AX143" s="176">
        <v>0</v>
      </c>
      <c r="AY143" s="176"/>
      <c r="AZ143" s="178">
        <v>0</v>
      </c>
      <c r="BA143" s="176"/>
      <c r="BB143" s="176">
        <v>0</v>
      </c>
      <c r="BC143" s="176">
        <v>0</v>
      </c>
      <c r="BD143" s="180" t="s">
        <v>214</v>
      </c>
      <c r="BE143" s="176"/>
      <c r="BF143" s="178">
        <v>14</v>
      </c>
      <c r="BG143" s="176">
        <v>0</v>
      </c>
      <c r="BJ143" s="176"/>
      <c r="BL143" s="176"/>
      <c r="BM143" s="176"/>
      <c r="BN143" s="176"/>
      <c r="BO143" s="176">
        <v>0</v>
      </c>
      <c r="BP143" s="176">
        <v>0</v>
      </c>
      <c r="BQ143" s="176"/>
      <c r="BR143" s="176"/>
      <c r="BS143" s="176"/>
      <c r="BT143" s="176"/>
      <c r="BU143" s="176"/>
      <c r="BV143" s="176"/>
      <c r="BW143" s="178">
        <v>0</v>
      </c>
      <c r="BX143" s="178">
        <v>0</v>
      </c>
      <c r="BZ143" s="92">
        <v>0</v>
      </c>
      <c r="CA143" s="92">
        <v>0</v>
      </c>
      <c r="CB143" s="176"/>
      <c r="CC143" s="92">
        <v>0</v>
      </c>
      <c r="CD143" s="92">
        <v>0</v>
      </c>
      <c r="CE143" s="176"/>
      <c r="CF143" s="176"/>
      <c r="CG143" s="176"/>
      <c r="CH143" s="176"/>
      <c r="CI143" s="176"/>
      <c r="CJ143" s="176">
        <v>0</v>
      </c>
      <c r="CK143" s="176">
        <v>0</v>
      </c>
      <c r="CQ143" s="232">
        <v>14</v>
      </c>
      <c r="CR143" s="232">
        <v>4</v>
      </c>
      <c r="CS143" s="176">
        <v>0</v>
      </c>
      <c r="CT143" s="92">
        <v>0</v>
      </c>
      <c r="CU143" s="92">
        <v>2</v>
      </c>
      <c r="CV143" s="92">
        <v>3</v>
      </c>
      <c r="CW143" s="92">
        <v>0</v>
      </c>
      <c r="DE143" s="92">
        <v>0</v>
      </c>
      <c r="DF143" s="135">
        <v>0.35714285714285715</v>
      </c>
      <c r="DG143" s="92" t="s">
        <v>620</v>
      </c>
      <c r="DH143" s="92">
        <v>1</v>
      </c>
      <c r="DI143" s="92">
        <v>44.444444444444443</v>
      </c>
      <c r="DN143" s="92"/>
      <c r="DO143" s="92"/>
      <c r="DP143" s="92"/>
      <c r="DQ143" s="92"/>
      <c r="DR143" s="92"/>
      <c r="DS143" s="92"/>
      <c r="DT143" s="92"/>
      <c r="DU143" s="92"/>
      <c r="DZ143" s="139">
        <v>0</v>
      </c>
      <c r="EA143" s="139">
        <v>0</v>
      </c>
      <c r="EB143" s="139">
        <v>0</v>
      </c>
      <c r="EC143" s="139">
        <v>0</v>
      </c>
      <c r="ED143" s="139">
        <v>0</v>
      </c>
      <c r="EE143" s="139">
        <v>0</v>
      </c>
    </row>
    <row r="144" spans="1:139">
      <c r="A144" s="175">
        <v>9000</v>
      </c>
      <c r="B144" s="92" t="s">
        <v>621</v>
      </c>
      <c r="C144" s="176">
        <v>0</v>
      </c>
      <c r="D144" s="176">
        <v>0</v>
      </c>
      <c r="E144" s="177">
        <v>0</v>
      </c>
      <c r="F144" s="176"/>
      <c r="G144" s="178">
        <v>0</v>
      </c>
      <c r="H144" s="176">
        <v>0</v>
      </c>
      <c r="I144" s="176">
        <v>0</v>
      </c>
      <c r="J144" s="176">
        <v>0</v>
      </c>
      <c r="K144" s="178">
        <v>0</v>
      </c>
      <c r="L144" s="176">
        <v>0</v>
      </c>
      <c r="M144" s="137">
        <v>0</v>
      </c>
      <c r="N144" s="137">
        <v>0</v>
      </c>
      <c r="O144" s="137">
        <v>0</v>
      </c>
      <c r="P144" s="137">
        <v>0</v>
      </c>
      <c r="Q144" s="137">
        <v>0</v>
      </c>
      <c r="R144" s="137">
        <v>0</v>
      </c>
      <c r="S144" s="137">
        <v>0</v>
      </c>
      <c r="T144" s="137">
        <v>0</v>
      </c>
      <c r="U144" s="137">
        <v>0</v>
      </c>
      <c r="V144" s="137">
        <v>0</v>
      </c>
      <c r="W144" s="137">
        <v>0</v>
      </c>
      <c r="X144" s="137">
        <v>1</v>
      </c>
      <c r="Y144" s="137"/>
      <c r="Z144" s="137">
        <v>0</v>
      </c>
      <c r="AA144" s="137">
        <v>0</v>
      </c>
      <c r="AB144" s="176"/>
      <c r="AC144" s="176">
        <v>0</v>
      </c>
      <c r="AE144" s="179">
        <v>2229.9842105263156</v>
      </c>
      <c r="AF144" s="179">
        <v>4044.3368421052633</v>
      </c>
      <c r="AG144" s="179">
        <v>1398756</v>
      </c>
      <c r="AH144" s="179">
        <v>496.95534228862596</v>
      </c>
      <c r="AJ144" s="178">
        <v>0</v>
      </c>
      <c r="AK144" s="176"/>
      <c r="AL144" s="176"/>
      <c r="AM144" s="176"/>
      <c r="AO144" s="176"/>
      <c r="AP144" s="176"/>
      <c r="AQ144" s="176">
        <v>0</v>
      </c>
      <c r="AR144" s="176">
        <v>0</v>
      </c>
      <c r="AS144" s="176">
        <v>0</v>
      </c>
      <c r="AT144" s="178">
        <v>1</v>
      </c>
      <c r="AU144" s="176"/>
      <c r="AV144" s="178">
        <v>0</v>
      </c>
      <c r="AW144" s="177"/>
      <c r="AX144" s="176">
        <v>0</v>
      </c>
      <c r="AY144" s="176"/>
      <c r="AZ144" s="178">
        <v>0</v>
      </c>
      <c r="BA144" s="176"/>
      <c r="BB144" s="176">
        <v>0</v>
      </c>
      <c r="BC144" s="176">
        <v>0</v>
      </c>
      <c r="BD144" s="180" t="s">
        <v>622</v>
      </c>
      <c r="BE144" s="176"/>
      <c r="BF144" s="178">
        <v>0</v>
      </c>
      <c r="BG144" s="176">
        <v>0</v>
      </c>
      <c r="BJ144" s="176"/>
      <c r="BL144" s="176"/>
      <c r="BM144" s="176"/>
      <c r="BN144" s="176"/>
      <c r="BO144" s="176">
        <v>0</v>
      </c>
      <c r="BP144" s="176">
        <v>0</v>
      </c>
      <c r="BQ144" s="176"/>
      <c r="BR144" s="176"/>
      <c r="BS144" s="176"/>
      <c r="BT144" s="176"/>
      <c r="BU144" s="176"/>
      <c r="BV144" s="176"/>
      <c r="BW144" s="178">
        <v>0</v>
      </c>
      <c r="BX144" s="178">
        <v>0</v>
      </c>
      <c r="BZ144" s="92">
        <v>0</v>
      </c>
      <c r="CA144" s="92">
        <v>0</v>
      </c>
      <c r="CB144" s="176"/>
      <c r="CC144" s="92">
        <v>0</v>
      </c>
      <c r="CD144" s="92">
        <v>0</v>
      </c>
      <c r="CE144" s="176"/>
      <c r="CF144" s="176"/>
      <c r="CG144" s="176"/>
      <c r="CH144" s="176"/>
      <c r="CI144" s="176"/>
      <c r="CJ144" s="176">
        <v>0</v>
      </c>
      <c r="CK144" s="176">
        <v>0</v>
      </c>
      <c r="CQ144" s="232">
        <v>0</v>
      </c>
      <c r="CR144" s="232">
        <v>0</v>
      </c>
      <c r="CS144" s="176">
        <v>0</v>
      </c>
      <c r="CT144" s="92">
        <v>0</v>
      </c>
      <c r="CU144" s="92">
        <v>0</v>
      </c>
      <c r="CV144" s="92">
        <v>0</v>
      </c>
      <c r="CW144" s="92">
        <v>0</v>
      </c>
      <c r="DE144" s="92">
        <v>0</v>
      </c>
      <c r="DF144" s="135">
        <v>0</v>
      </c>
      <c r="DG144" s="92" t="s">
        <v>601</v>
      </c>
      <c r="DI144" s="92">
        <v>0</v>
      </c>
      <c r="DJ144" s="92">
        <v>873.73684210526289</v>
      </c>
      <c r="DK144" s="92">
        <v>708.25263157894733</v>
      </c>
      <c r="DL144" s="92">
        <v>647.99473684210545</v>
      </c>
      <c r="DM144" s="92">
        <v>556920</v>
      </c>
      <c r="DN144" s="92">
        <v>434160</v>
      </c>
      <c r="DO144" s="92">
        <v>407676</v>
      </c>
      <c r="DP144" s="92">
        <v>1592.1578947368421</v>
      </c>
      <c r="DQ144" s="92">
        <v>1277.8105263157895</v>
      </c>
      <c r="DR144" s="92">
        <v>1174.3684210526317</v>
      </c>
      <c r="DS144" s="92">
        <v>197.94371103549921</v>
      </c>
      <c r="DT144" s="92">
        <v>152.09547753514263</v>
      </c>
      <c r="DU144" s="92">
        <v>146.91615371798414</v>
      </c>
      <c r="DZ144" s="139">
        <v>0</v>
      </c>
      <c r="EA144" s="139">
        <v>0</v>
      </c>
      <c r="EB144" s="139">
        <v>0</v>
      </c>
      <c r="EC144" s="139">
        <v>0</v>
      </c>
      <c r="ED144" s="139">
        <v>0</v>
      </c>
      <c r="EE144" s="139">
        <v>0</v>
      </c>
    </row>
    <row r="145" spans="1:142">
      <c r="A145" s="175">
        <v>8001</v>
      </c>
      <c r="B145" s="92" t="s">
        <v>623</v>
      </c>
      <c r="C145" s="176">
        <v>0</v>
      </c>
      <c r="D145" s="176">
        <v>0</v>
      </c>
      <c r="E145" s="177">
        <v>0</v>
      </c>
      <c r="F145" s="176"/>
      <c r="G145" s="178">
        <v>0</v>
      </c>
      <c r="H145" s="176">
        <v>0</v>
      </c>
      <c r="I145" s="176">
        <v>0</v>
      </c>
      <c r="J145" s="176">
        <v>0</v>
      </c>
      <c r="K145" s="178">
        <v>0</v>
      </c>
      <c r="L145" s="176">
        <v>0</v>
      </c>
      <c r="M145" s="137">
        <v>0</v>
      </c>
      <c r="N145" s="137">
        <v>0</v>
      </c>
      <c r="O145" s="137">
        <v>0</v>
      </c>
      <c r="P145" s="137">
        <v>0</v>
      </c>
      <c r="Q145" s="137">
        <v>0</v>
      </c>
      <c r="R145" s="137">
        <v>0</v>
      </c>
      <c r="S145" s="137">
        <v>0</v>
      </c>
      <c r="T145" s="137">
        <v>0</v>
      </c>
      <c r="U145" s="137">
        <v>0</v>
      </c>
      <c r="V145" s="137">
        <v>0</v>
      </c>
      <c r="W145" s="137">
        <v>0</v>
      </c>
      <c r="X145" s="137">
        <v>0</v>
      </c>
      <c r="Y145" s="137"/>
      <c r="Z145" s="137">
        <v>0</v>
      </c>
      <c r="AA145" s="137">
        <v>0</v>
      </c>
      <c r="AB145" s="176"/>
      <c r="AC145" s="176">
        <v>0</v>
      </c>
      <c r="AE145" s="179">
        <v>0</v>
      </c>
      <c r="AJ145" s="178">
        <v>0</v>
      </c>
      <c r="AK145" s="176"/>
      <c r="AL145" s="176"/>
      <c r="AM145" s="176"/>
      <c r="AO145" s="176"/>
      <c r="AP145" s="176"/>
      <c r="AQ145" s="176">
        <v>0</v>
      </c>
      <c r="AR145" s="176">
        <v>0</v>
      </c>
      <c r="AS145" s="176">
        <v>0</v>
      </c>
      <c r="AT145" s="178">
        <v>1</v>
      </c>
      <c r="AU145" s="176"/>
      <c r="AV145" s="178">
        <v>0</v>
      </c>
      <c r="AW145" s="177"/>
      <c r="AX145" s="176">
        <v>0</v>
      </c>
      <c r="AY145" s="176"/>
      <c r="AZ145" s="178">
        <v>0</v>
      </c>
      <c r="BA145" s="176"/>
      <c r="BB145" s="176">
        <v>0</v>
      </c>
      <c r="BC145" s="176">
        <v>0</v>
      </c>
      <c r="BD145" s="180" t="s">
        <v>622</v>
      </c>
      <c r="BE145" s="176"/>
      <c r="BF145" s="178">
        <v>0</v>
      </c>
      <c r="BG145" s="176">
        <v>0</v>
      </c>
      <c r="BJ145" s="176"/>
      <c r="BL145" s="176"/>
      <c r="BM145" s="176"/>
      <c r="BN145" s="176"/>
      <c r="BO145" s="176">
        <v>0</v>
      </c>
      <c r="BP145" s="176">
        <v>0</v>
      </c>
      <c r="BQ145" s="176"/>
      <c r="BR145" s="176"/>
      <c r="BS145" s="176"/>
      <c r="BT145" s="176"/>
      <c r="BU145" s="176"/>
      <c r="BV145" s="176"/>
      <c r="BW145" s="178">
        <v>0</v>
      </c>
      <c r="BX145" s="178">
        <v>0</v>
      </c>
      <c r="BZ145" s="92">
        <v>0</v>
      </c>
      <c r="CA145" s="92">
        <v>0</v>
      </c>
      <c r="CB145" s="176"/>
      <c r="CC145" s="92">
        <v>0</v>
      </c>
      <c r="CD145" s="92">
        <v>0</v>
      </c>
      <c r="CE145" s="176"/>
      <c r="CF145" s="176"/>
      <c r="CG145" s="176"/>
      <c r="CH145" s="176"/>
      <c r="CI145" s="176"/>
      <c r="CJ145" s="176">
        <v>0</v>
      </c>
      <c r="CK145" s="176">
        <v>0</v>
      </c>
      <c r="CQ145" s="232">
        <v>0</v>
      </c>
      <c r="CR145" s="232">
        <v>0</v>
      </c>
      <c r="CS145" s="176">
        <v>0</v>
      </c>
      <c r="CT145" s="92">
        <v>0</v>
      </c>
      <c r="CU145" s="92">
        <v>0</v>
      </c>
      <c r="CV145" s="92">
        <v>0</v>
      </c>
      <c r="CW145" s="92">
        <v>0</v>
      </c>
      <c r="DE145" s="92">
        <v>0</v>
      </c>
      <c r="DF145" s="135">
        <v>0</v>
      </c>
      <c r="DG145" s="92" t="s">
        <v>601</v>
      </c>
      <c r="DI145" s="92">
        <v>0</v>
      </c>
      <c r="DJ145" s="92">
        <v>0</v>
      </c>
      <c r="DK145" s="92">
        <v>0</v>
      </c>
      <c r="DL145" s="92">
        <v>0</v>
      </c>
      <c r="DN145" s="92"/>
      <c r="DO145" s="92"/>
      <c r="DP145" s="92"/>
      <c r="DQ145" s="92"/>
      <c r="DR145" s="92"/>
      <c r="DS145" s="92"/>
      <c r="DT145" s="92"/>
      <c r="DU145" s="92"/>
      <c r="DZ145" s="139">
        <v>0</v>
      </c>
      <c r="EA145" s="139">
        <v>0</v>
      </c>
      <c r="EB145" s="139">
        <v>0</v>
      </c>
      <c r="EC145" s="139">
        <v>0</v>
      </c>
      <c r="ED145" s="139">
        <v>0</v>
      </c>
      <c r="EE145" s="139">
        <v>0</v>
      </c>
    </row>
    <row r="146" spans="1:142">
      <c r="A146" s="175">
        <v>8000</v>
      </c>
      <c r="B146" s="92" t="s">
        <v>624</v>
      </c>
      <c r="C146" s="176">
        <v>0</v>
      </c>
      <c r="D146" s="176">
        <v>0</v>
      </c>
      <c r="E146" s="177">
        <v>0</v>
      </c>
      <c r="F146" s="176"/>
      <c r="G146" s="178">
        <v>0</v>
      </c>
      <c r="H146" s="176">
        <v>0</v>
      </c>
      <c r="I146" s="176">
        <v>0</v>
      </c>
      <c r="J146" s="176">
        <v>0</v>
      </c>
      <c r="K146" s="178">
        <v>0</v>
      </c>
      <c r="L146" s="176">
        <v>0</v>
      </c>
      <c r="M146" s="137">
        <v>0</v>
      </c>
      <c r="N146" s="137">
        <v>0</v>
      </c>
      <c r="O146" s="137">
        <v>0</v>
      </c>
      <c r="P146" s="137">
        <v>0</v>
      </c>
      <c r="Q146" s="137">
        <v>0</v>
      </c>
      <c r="R146" s="137">
        <v>0</v>
      </c>
      <c r="S146" s="137">
        <v>0</v>
      </c>
      <c r="T146" s="137">
        <v>0</v>
      </c>
      <c r="U146" s="137">
        <v>0</v>
      </c>
      <c r="V146" s="137">
        <v>0</v>
      </c>
      <c r="W146" s="137">
        <v>0</v>
      </c>
      <c r="X146" s="137">
        <v>0</v>
      </c>
      <c r="Y146" s="137"/>
      <c r="Z146" s="137">
        <v>0</v>
      </c>
      <c r="AA146" s="137">
        <v>0</v>
      </c>
      <c r="AB146" s="176"/>
      <c r="AC146" s="176">
        <v>0</v>
      </c>
      <c r="AE146" s="179">
        <v>0</v>
      </c>
      <c r="AJ146" s="178">
        <v>0</v>
      </c>
      <c r="AK146" s="176"/>
      <c r="AL146" s="176"/>
      <c r="AM146" s="176"/>
      <c r="AO146" s="176"/>
      <c r="AP146" s="176"/>
      <c r="AQ146" s="176">
        <v>0</v>
      </c>
      <c r="AR146" s="176">
        <v>0</v>
      </c>
      <c r="AS146" s="176">
        <v>0</v>
      </c>
      <c r="AT146" s="178">
        <v>1</v>
      </c>
      <c r="AU146" s="176"/>
      <c r="AV146" s="178">
        <v>0</v>
      </c>
      <c r="AW146" s="177"/>
      <c r="AX146" s="176">
        <v>0</v>
      </c>
      <c r="AY146" s="176"/>
      <c r="AZ146" s="178">
        <v>0</v>
      </c>
      <c r="BA146" s="176"/>
      <c r="BB146" s="176">
        <v>0</v>
      </c>
      <c r="BC146" s="176">
        <v>0</v>
      </c>
      <c r="BD146" s="180" t="s">
        <v>622</v>
      </c>
      <c r="BE146" s="176"/>
      <c r="BF146" s="178">
        <v>0</v>
      </c>
      <c r="BG146" s="176">
        <v>0</v>
      </c>
      <c r="BJ146" s="176"/>
      <c r="BL146" s="176"/>
      <c r="BM146" s="176"/>
      <c r="BN146" s="176"/>
      <c r="BO146" s="176">
        <v>0</v>
      </c>
      <c r="BP146" s="176">
        <v>0</v>
      </c>
      <c r="BQ146" s="176"/>
      <c r="BR146" s="176"/>
      <c r="BS146" s="176"/>
      <c r="BT146" s="176"/>
      <c r="BU146" s="176"/>
      <c r="BV146" s="176"/>
      <c r="BW146" s="178">
        <v>0</v>
      </c>
      <c r="BX146" s="178">
        <v>0</v>
      </c>
      <c r="BZ146" s="92">
        <v>0</v>
      </c>
      <c r="CA146" s="92">
        <v>0</v>
      </c>
      <c r="CB146" s="176"/>
      <c r="CC146" s="92">
        <v>0</v>
      </c>
      <c r="CD146" s="92">
        <v>0</v>
      </c>
      <c r="CE146" s="176"/>
      <c r="CF146" s="176"/>
      <c r="CG146" s="176"/>
      <c r="CH146" s="176"/>
      <c r="CI146" s="176"/>
      <c r="CJ146" s="176">
        <v>0</v>
      </c>
      <c r="CK146" s="176">
        <v>0</v>
      </c>
      <c r="CQ146" s="232">
        <v>0</v>
      </c>
      <c r="CR146" s="232">
        <v>0</v>
      </c>
      <c r="CS146" s="176">
        <v>0</v>
      </c>
      <c r="CT146" s="92">
        <v>0</v>
      </c>
      <c r="CU146" s="92">
        <v>0</v>
      </c>
      <c r="CV146" s="92">
        <v>0</v>
      </c>
      <c r="CW146" s="92">
        <v>0</v>
      </c>
      <c r="DE146" s="92">
        <v>0</v>
      </c>
      <c r="DF146" s="135">
        <v>0</v>
      </c>
      <c r="DG146" s="92" t="s">
        <v>601</v>
      </c>
      <c r="DI146" s="92">
        <v>0</v>
      </c>
      <c r="DJ146" s="92">
        <v>0</v>
      </c>
      <c r="DK146" s="92">
        <v>0</v>
      </c>
      <c r="DL146" s="92">
        <v>0</v>
      </c>
      <c r="DN146" s="92"/>
      <c r="DO146" s="92"/>
      <c r="DP146" s="92"/>
      <c r="DQ146" s="92"/>
      <c r="DR146" s="92"/>
      <c r="DS146" s="92"/>
      <c r="DT146" s="92"/>
      <c r="DU146" s="92"/>
      <c r="DZ146" s="139">
        <v>0</v>
      </c>
      <c r="EA146" s="139">
        <v>0</v>
      </c>
      <c r="EB146" s="139">
        <v>0</v>
      </c>
      <c r="EC146" s="139">
        <v>0</v>
      </c>
      <c r="ED146" s="139">
        <v>0</v>
      </c>
      <c r="EE146" s="139">
        <v>0</v>
      </c>
    </row>
    <row r="147" spans="1:142">
      <c r="A147" s="175"/>
      <c r="B147" s="92" t="s">
        <v>625</v>
      </c>
      <c r="C147" s="176"/>
      <c r="D147" s="176">
        <v>0</v>
      </c>
      <c r="H147" s="176">
        <v>0</v>
      </c>
      <c r="K147" s="178">
        <v>0</v>
      </c>
      <c r="Y147" s="137"/>
      <c r="AB147" s="176"/>
      <c r="AC147" s="176"/>
      <c r="AJ147" s="178">
        <v>0</v>
      </c>
      <c r="AK147" s="176"/>
      <c r="AL147" s="176"/>
      <c r="AM147" s="176"/>
      <c r="AQ147" s="176">
        <v>0</v>
      </c>
      <c r="AR147" s="176">
        <v>0</v>
      </c>
      <c r="AS147" s="176">
        <v>0</v>
      </c>
      <c r="AV147" s="178">
        <v>0</v>
      </c>
      <c r="AW147" s="177"/>
      <c r="AY147" s="176"/>
      <c r="BE147" s="176"/>
      <c r="BF147" s="178">
        <v>0</v>
      </c>
      <c r="BG147" s="176">
        <v>0</v>
      </c>
      <c r="BO147" s="176">
        <v>0</v>
      </c>
      <c r="BP147" s="176">
        <v>0</v>
      </c>
      <c r="BW147" s="178">
        <v>0</v>
      </c>
      <c r="BX147" s="178">
        <v>0</v>
      </c>
      <c r="BY147" s="92">
        <v>0</v>
      </c>
      <c r="BZ147" s="92">
        <v>0</v>
      </c>
      <c r="CA147" s="92">
        <v>0</v>
      </c>
      <c r="CB147" s="176"/>
      <c r="CC147" s="92">
        <v>0</v>
      </c>
      <c r="CD147" s="92">
        <v>0</v>
      </c>
      <c r="CQ147" s="232">
        <v>0</v>
      </c>
      <c r="CR147" s="232">
        <v>0</v>
      </c>
      <c r="CS147" s="176">
        <v>0</v>
      </c>
      <c r="CT147" s="92">
        <v>0</v>
      </c>
      <c r="CU147" s="92">
        <v>0</v>
      </c>
      <c r="CV147" s="92">
        <v>0</v>
      </c>
      <c r="CW147" s="92">
        <v>0</v>
      </c>
      <c r="DE147" s="92">
        <v>0</v>
      </c>
      <c r="DF147" s="135">
        <v>0</v>
      </c>
      <c r="DI147" s="92">
        <v>0</v>
      </c>
      <c r="DJ147" s="92">
        <v>0</v>
      </c>
      <c r="DK147" s="92">
        <v>0</v>
      </c>
      <c r="DL147" s="92">
        <v>0</v>
      </c>
      <c r="DN147" s="92"/>
      <c r="DO147" s="92"/>
      <c r="DP147" s="92"/>
      <c r="DQ147" s="92"/>
      <c r="DR147" s="92"/>
      <c r="DS147" s="92"/>
      <c r="DT147" s="92"/>
      <c r="DU147" s="92"/>
      <c r="DZ147" s="139">
        <v>0</v>
      </c>
      <c r="EA147" s="139">
        <v>0</v>
      </c>
      <c r="EB147" s="139">
        <v>0</v>
      </c>
      <c r="EC147" s="139">
        <v>0</v>
      </c>
      <c r="ED147" s="139">
        <v>0</v>
      </c>
      <c r="EE147" s="139">
        <v>0</v>
      </c>
    </row>
    <row r="148" spans="1:142" s="134" customFormat="1">
      <c r="A148" s="188">
        <v>0</v>
      </c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233"/>
      <c r="CR148" s="233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</row>
    <row r="149" spans="1:142" ht="13.5" thickBot="1">
      <c r="H149" s="176">
        <v>0</v>
      </c>
      <c r="AB149" s="176"/>
      <c r="AC149" s="176"/>
      <c r="AW149" s="177"/>
      <c r="AY149" s="176"/>
      <c r="BE149" s="176"/>
    </row>
    <row r="150" spans="1:142">
      <c r="A150" s="191"/>
      <c r="B150" s="192" t="s">
        <v>626</v>
      </c>
      <c r="C150" s="193">
        <v>0</v>
      </c>
      <c r="D150" s="194">
        <v>184</v>
      </c>
      <c r="E150" s="194">
        <v>0</v>
      </c>
      <c r="F150" s="195">
        <v>0</v>
      </c>
      <c r="G150" s="194">
        <v>0</v>
      </c>
      <c r="H150" s="194">
        <v>0</v>
      </c>
      <c r="I150" s="194">
        <v>0</v>
      </c>
      <c r="J150" s="194">
        <v>0</v>
      </c>
      <c r="K150" s="194">
        <v>45</v>
      </c>
      <c r="L150" s="194">
        <v>0</v>
      </c>
      <c r="M150" s="194">
        <v>0</v>
      </c>
      <c r="N150" s="194">
        <v>0</v>
      </c>
      <c r="O150" s="194">
        <v>0</v>
      </c>
      <c r="P150" s="194">
        <v>0</v>
      </c>
      <c r="Q150" s="194">
        <v>0</v>
      </c>
      <c r="R150" s="194">
        <v>0</v>
      </c>
      <c r="S150" s="194">
        <v>0</v>
      </c>
      <c r="T150" s="194">
        <v>0</v>
      </c>
      <c r="U150" s="194">
        <v>0</v>
      </c>
      <c r="V150" s="194">
        <v>0</v>
      </c>
      <c r="W150" s="194">
        <v>0</v>
      </c>
      <c r="X150" s="194">
        <v>497</v>
      </c>
      <c r="Y150" s="194">
        <v>0</v>
      </c>
      <c r="Z150" s="194">
        <v>0</v>
      </c>
      <c r="AA150" s="194">
        <v>0</v>
      </c>
      <c r="AB150" s="194">
        <v>0</v>
      </c>
      <c r="AC150" s="194">
        <v>0</v>
      </c>
      <c r="AD150" s="194">
        <v>0</v>
      </c>
      <c r="AE150" s="194">
        <v>120</v>
      </c>
      <c r="AF150" s="194">
        <v>629.23157894736846</v>
      </c>
      <c r="AG150" s="194">
        <v>252105</v>
      </c>
      <c r="AH150" s="194">
        <v>83.023736913653323</v>
      </c>
      <c r="AI150" s="194">
        <v>0</v>
      </c>
      <c r="AJ150" s="194">
        <v>0</v>
      </c>
      <c r="AK150" s="194">
        <v>0</v>
      </c>
      <c r="AL150" s="194">
        <v>0</v>
      </c>
      <c r="AM150" s="194">
        <v>0</v>
      </c>
      <c r="AN150" s="194">
        <v>0</v>
      </c>
      <c r="AO150" s="194">
        <v>0</v>
      </c>
      <c r="AP150" s="194">
        <v>0</v>
      </c>
      <c r="AQ150" s="194">
        <v>0</v>
      </c>
      <c r="AR150" s="194">
        <v>0</v>
      </c>
      <c r="AS150" s="194">
        <v>0</v>
      </c>
      <c r="AT150" s="194">
        <v>4</v>
      </c>
      <c r="AU150" s="194">
        <v>0</v>
      </c>
      <c r="AV150" s="194">
        <v>0</v>
      </c>
      <c r="AW150" s="194">
        <v>0</v>
      </c>
      <c r="AX150" s="194">
        <v>0</v>
      </c>
      <c r="AY150" s="194">
        <v>0</v>
      </c>
      <c r="AZ150" s="194">
        <v>0</v>
      </c>
      <c r="BA150" s="194">
        <v>0</v>
      </c>
      <c r="BB150" s="194">
        <v>0</v>
      </c>
      <c r="BC150" s="194">
        <v>0</v>
      </c>
      <c r="BD150" s="194">
        <v>0</v>
      </c>
      <c r="BE150" s="194">
        <v>0</v>
      </c>
      <c r="BF150" s="194">
        <v>298.2</v>
      </c>
      <c r="BG150" s="194">
        <v>73</v>
      </c>
      <c r="BH150" s="194">
        <v>0</v>
      </c>
      <c r="BI150" s="194">
        <v>0</v>
      </c>
      <c r="BJ150" s="194">
        <v>0</v>
      </c>
      <c r="BK150" s="194">
        <v>0</v>
      </c>
      <c r="BL150" s="194">
        <v>0</v>
      </c>
      <c r="BM150" s="194">
        <v>0</v>
      </c>
      <c r="BN150" s="194">
        <v>0</v>
      </c>
      <c r="BO150" s="194">
        <v>0</v>
      </c>
      <c r="BP150" s="194">
        <v>0</v>
      </c>
      <c r="BQ150" s="194">
        <v>0</v>
      </c>
      <c r="BR150" s="194">
        <v>0</v>
      </c>
      <c r="BS150" s="194">
        <v>0</v>
      </c>
      <c r="BT150" s="194">
        <v>0</v>
      </c>
      <c r="BU150" s="194">
        <v>0</v>
      </c>
      <c r="BV150" s="194">
        <v>0</v>
      </c>
      <c r="BW150" s="194">
        <v>0</v>
      </c>
      <c r="BX150" s="194">
        <v>0</v>
      </c>
      <c r="BY150" s="194">
        <v>9123</v>
      </c>
      <c r="BZ150" s="194">
        <v>3723</v>
      </c>
      <c r="CA150" s="194">
        <v>23423.973523327262</v>
      </c>
      <c r="CB150" s="194">
        <v>0</v>
      </c>
      <c r="CC150" s="194">
        <v>2074.64</v>
      </c>
      <c r="CD150" s="194">
        <v>0</v>
      </c>
      <c r="CE150" s="194">
        <v>0</v>
      </c>
      <c r="CF150" s="194">
        <v>0</v>
      </c>
      <c r="CG150" s="194">
        <v>0</v>
      </c>
      <c r="CH150" s="194">
        <v>0</v>
      </c>
      <c r="CI150" s="194">
        <v>0</v>
      </c>
      <c r="CJ150" s="194">
        <v>0</v>
      </c>
      <c r="CK150" s="194">
        <v>0</v>
      </c>
      <c r="CL150" s="194">
        <v>0</v>
      </c>
      <c r="CM150" s="194">
        <v>0</v>
      </c>
      <c r="CN150" s="194">
        <v>0</v>
      </c>
      <c r="CO150" s="194">
        <v>0</v>
      </c>
      <c r="CP150" s="194">
        <v>0</v>
      </c>
      <c r="CQ150" s="234">
        <v>298.2</v>
      </c>
      <c r="CR150" s="234">
        <v>55.2</v>
      </c>
      <c r="CS150" s="194">
        <v>0</v>
      </c>
      <c r="CT150" s="194">
        <v>184</v>
      </c>
      <c r="CU150" s="194">
        <v>0</v>
      </c>
      <c r="CV150" s="194">
        <v>0</v>
      </c>
      <c r="CW150" s="194">
        <v>0</v>
      </c>
      <c r="CX150" s="194">
        <v>0</v>
      </c>
      <c r="CY150" s="194">
        <v>0</v>
      </c>
      <c r="CZ150" s="194">
        <v>0</v>
      </c>
      <c r="DA150" s="194">
        <v>0</v>
      </c>
      <c r="DB150" s="194">
        <v>0</v>
      </c>
      <c r="DC150" s="194">
        <v>0</v>
      </c>
      <c r="DD150" s="194">
        <v>0</v>
      </c>
      <c r="DE150" s="194">
        <v>0</v>
      </c>
      <c r="DF150" s="194">
        <v>0</v>
      </c>
      <c r="DG150" s="194">
        <v>0</v>
      </c>
      <c r="DH150" s="194">
        <v>4</v>
      </c>
      <c r="DI150" s="194">
        <v>0</v>
      </c>
      <c r="DJ150" s="194">
        <v>41.05263157894737</v>
      </c>
      <c r="DK150" s="194">
        <v>45.473684210526315</v>
      </c>
      <c r="DL150" s="194">
        <v>33.473684210526315</v>
      </c>
      <c r="DM150" s="194">
        <v>94185</v>
      </c>
      <c r="DN150" s="194">
        <v>79056</v>
      </c>
      <c r="DO150" s="194">
        <v>78864</v>
      </c>
      <c r="DP150" s="194">
        <v>234.68421052631578</v>
      </c>
      <c r="DQ150" s="194">
        <v>197.05263157894737</v>
      </c>
      <c r="DR150" s="194">
        <v>197.49473684210523</v>
      </c>
      <c r="DS150" s="194">
        <v>31.066418686136871</v>
      </c>
      <c r="DT150" s="194">
        <v>25.984785396044195</v>
      </c>
      <c r="DU150" s="194">
        <v>25.97253283147225</v>
      </c>
      <c r="DV150" s="194">
        <v>0</v>
      </c>
      <c r="DW150" s="194">
        <v>0</v>
      </c>
      <c r="DX150" s="194">
        <v>0</v>
      </c>
      <c r="DY150" s="194">
        <v>0</v>
      </c>
      <c r="DZ150" s="194">
        <v>0</v>
      </c>
      <c r="EA150" s="194">
        <v>0</v>
      </c>
      <c r="EB150" s="194">
        <v>12</v>
      </c>
      <c r="EC150" s="194">
        <v>20</v>
      </c>
      <c r="ED150" s="194">
        <v>3</v>
      </c>
      <c r="EE150" s="194">
        <v>8</v>
      </c>
      <c r="EF150" s="194">
        <v>0</v>
      </c>
      <c r="EG150" s="194">
        <v>0</v>
      </c>
      <c r="EH150" s="194">
        <v>0</v>
      </c>
      <c r="EI150" s="194">
        <v>0</v>
      </c>
    </row>
    <row r="151" spans="1:142">
      <c r="A151" s="196"/>
      <c r="B151" s="197" t="s">
        <v>627</v>
      </c>
      <c r="C151" s="198">
        <v>5322</v>
      </c>
      <c r="D151" s="199">
        <v>27547</v>
      </c>
      <c r="E151" s="199">
        <v>2</v>
      </c>
      <c r="F151" s="200">
        <v>689</v>
      </c>
      <c r="G151" s="199">
        <v>3513740.0345375743</v>
      </c>
      <c r="H151" s="199">
        <v>6403.1713111111667</v>
      </c>
      <c r="I151" s="199">
        <v>1863177.1466111112</v>
      </c>
      <c r="J151" s="199">
        <v>0</v>
      </c>
      <c r="K151" s="199">
        <v>10521.252684323548</v>
      </c>
      <c r="L151" s="199">
        <v>0</v>
      </c>
      <c r="M151" s="199">
        <v>3881</v>
      </c>
      <c r="N151" s="199">
        <v>3834</v>
      </c>
      <c r="O151" s="199">
        <v>3622</v>
      </c>
      <c r="P151" s="199">
        <v>3546</v>
      </c>
      <c r="Q151" s="199">
        <v>3405</v>
      </c>
      <c r="R151" s="199">
        <v>3353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2874</v>
      </c>
      <c r="Y151" s="199">
        <v>0</v>
      </c>
      <c r="Z151" s="199">
        <v>4042</v>
      </c>
      <c r="AA151" s="199">
        <v>0</v>
      </c>
      <c r="AB151" s="199">
        <v>0</v>
      </c>
      <c r="AC151" s="199">
        <v>0</v>
      </c>
      <c r="AD151" s="199">
        <v>0</v>
      </c>
      <c r="AE151" s="199">
        <v>1567.3315789473684</v>
      </c>
      <c r="AF151" s="199">
        <v>3907.7631578947357</v>
      </c>
      <c r="AG151" s="199">
        <v>1537728</v>
      </c>
      <c r="AH151" s="199">
        <v>739.02181978996373</v>
      </c>
      <c r="AI151" s="199">
        <v>-24706</v>
      </c>
      <c r="AJ151" s="199">
        <v>5322</v>
      </c>
      <c r="AK151" s="199">
        <v>0</v>
      </c>
      <c r="AL151" s="199">
        <v>0</v>
      </c>
      <c r="AM151" s="199">
        <v>0</v>
      </c>
      <c r="AN151" s="199">
        <v>18</v>
      </c>
      <c r="AO151" s="199">
        <v>342592.74</v>
      </c>
      <c r="AP151" s="199">
        <v>0</v>
      </c>
      <c r="AQ151" s="199">
        <v>7232</v>
      </c>
      <c r="AR151" s="199">
        <v>20</v>
      </c>
      <c r="AS151" s="199">
        <v>18</v>
      </c>
      <c r="AT151" s="199">
        <v>89</v>
      </c>
      <c r="AU151" s="199">
        <v>0</v>
      </c>
      <c r="AV151" s="199">
        <v>95</v>
      </c>
      <c r="AW151" s="199">
        <v>0</v>
      </c>
      <c r="AX151" s="199">
        <v>6</v>
      </c>
      <c r="AY151" s="199">
        <v>0</v>
      </c>
      <c r="AZ151" s="199">
        <v>8</v>
      </c>
      <c r="BA151" s="199">
        <v>0</v>
      </c>
      <c r="BB151" s="199">
        <v>2</v>
      </c>
      <c r="BC151" s="199">
        <v>0</v>
      </c>
      <c r="BD151" s="199">
        <v>0</v>
      </c>
      <c r="BE151" s="199">
        <v>0</v>
      </c>
      <c r="BF151" s="199">
        <v>17914.400000000001</v>
      </c>
      <c r="BG151" s="199">
        <v>8508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29</v>
      </c>
      <c r="BP151" s="199">
        <v>1267431.5418662969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16824</v>
      </c>
      <c r="BX151" s="199">
        <v>64352.68</v>
      </c>
      <c r="BY151" s="199">
        <v>981623</v>
      </c>
      <c r="BZ151" s="199">
        <v>291559</v>
      </c>
      <c r="CA151" s="199">
        <v>873118.49071137619</v>
      </c>
      <c r="CB151" s="199">
        <v>0</v>
      </c>
      <c r="CC151" s="199">
        <v>170510</v>
      </c>
      <c r="CD151" s="199">
        <v>9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-22668</v>
      </c>
      <c r="CO151" s="199">
        <v>0</v>
      </c>
      <c r="CP151" s="199">
        <v>0</v>
      </c>
      <c r="CQ151" s="235">
        <v>27407.4</v>
      </c>
      <c r="CR151" s="235">
        <v>5412</v>
      </c>
      <c r="CS151" s="199">
        <v>799.07111111111146</v>
      </c>
      <c r="CT151" s="199">
        <v>27366</v>
      </c>
      <c r="CU151" s="199">
        <v>0</v>
      </c>
      <c r="CV151" s="199">
        <v>0</v>
      </c>
      <c r="CW151" s="199">
        <v>0</v>
      </c>
      <c r="CX151" s="199">
        <v>60</v>
      </c>
      <c r="CY151" s="199">
        <v>11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25683</v>
      </c>
      <c r="DF151" s="199">
        <v>0</v>
      </c>
      <c r="DG151" s="199">
        <v>0</v>
      </c>
      <c r="DH151" s="199">
        <v>87</v>
      </c>
      <c r="DI151" s="199">
        <v>1741.2840874481067</v>
      </c>
      <c r="DJ151" s="199">
        <v>540.1842105263155</v>
      </c>
      <c r="DK151" s="199">
        <v>585.85263157894701</v>
      </c>
      <c r="DL151" s="199">
        <v>441.29473684210495</v>
      </c>
      <c r="DM151" s="199">
        <v>571350</v>
      </c>
      <c r="DN151" s="199">
        <v>513864</v>
      </c>
      <c r="DO151" s="199">
        <v>452514</v>
      </c>
      <c r="DP151" s="199">
        <v>1449.1578947368423</v>
      </c>
      <c r="DQ151" s="199">
        <v>1308.5052631578947</v>
      </c>
      <c r="DR151" s="199">
        <v>1150.0999999999999</v>
      </c>
      <c r="DS151" s="199">
        <v>275.58431422318205</v>
      </c>
      <c r="DT151" s="199">
        <v>245.70827547225616</v>
      </c>
      <c r="DU151" s="199">
        <v>217.72923009452541</v>
      </c>
      <c r="DV151" s="199">
        <v>0</v>
      </c>
      <c r="DW151" s="199">
        <v>0</v>
      </c>
      <c r="DX151" s="199">
        <v>0</v>
      </c>
      <c r="DY151" s="199">
        <v>0</v>
      </c>
      <c r="DZ151" s="199">
        <v>2374</v>
      </c>
      <c r="EA151" s="199">
        <v>21462</v>
      </c>
      <c r="EB151" s="199">
        <v>1534</v>
      </c>
      <c r="EC151" s="199">
        <v>2276</v>
      </c>
      <c r="ED151" s="199">
        <v>348</v>
      </c>
      <c r="EE151" s="199">
        <v>613</v>
      </c>
      <c r="EF151" s="199">
        <v>866</v>
      </c>
      <c r="EG151" s="199">
        <v>2296</v>
      </c>
      <c r="EH151" s="199">
        <v>2392</v>
      </c>
      <c r="EI151" s="199">
        <v>5125</v>
      </c>
    </row>
    <row r="152" spans="1:142">
      <c r="A152" s="201"/>
      <c r="B152" s="202" t="s">
        <v>628</v>
      </c>
      <c r="C152" s="203">
        <v>2631</v>
      </c>
      <c r="D152" s="204">
        <v>5875</v>
      </c>
      <c r="E152" s="204">
        <v>0</v>
      </c>
      <c r="F152" s="205">
        <v>561</v>
      </c>
      <c r="G152" s="204">
        <v>2768.6531163670525</v>
      </c>
      <c r="H152" s="204">
        <v>4005.1755877408445</v>
      </c>
      <c r="I152" s="204">
        <v>2233507.1677476191</v>
      </c>
      <c r="J152" s="204">
        <v>0</v>
      </c>
      <c r="K152" s="204">
        <v>7286.8377069911712</v>
      </c>
      <c r="L152" s="204">
        <v>0</v>
      </c>
      <c r="M152" s="204">
        <v>0</v>
      </c>
      <c r="N152" s="204">
        <v>0</v>
      </c>
      <c r="O152" s="204">
        <v>0</v>
      </c>
      <c r="P152" s="204">
        <v>0</v>
      </c>
      <c r="Q152" s="204">
        <v>0</v>
      </c>
      <c r="R152" s="204">
        <v>0</v>
      </c>
      <c r="S152" s="204">
        <v>3217</v>
      </c>
      <c r="T152" s="204">
        <v>3166</v>
      </c>
      <c r="U152" s="204">
        <v>3064</v>
      </c>
      <c r="V152" s="204">
        <v>3142</v>
      </c>
      <c r="W152" s="204">
        <v>3164</v>
      </c>
      <c r="X152" s="204">
        <v>0</v>
      </c>
      <c r="Y152" s="204">
        <v>0</v>
      </c>
      <c r="Z152" s="204">
        <v>0</v>
      </c>
      <c r="AA152" s="204">
        <v>0</v>
      </c>
      <c r="AB152" s="204">
        <v>0</v>
      </c>
      <c r="AC152" s="204">
        <v>0</v>
      </c>
      <c r="AD152" s="204">
        <v>0</v>
      </c>
      <c r="AE152" s="204">
        <v>0</v>
      </c>
      <c r="AF152" s="204">
        <v>0</v>
      </c>
      <c r="AG152" s="204">
        <v>0</v>
      </c>
      <c r="AH152" s="204">
        <v>0</v>
      </c>
      <c r="AI152" s="204">
        <v>0</v>
      </c>
      <c r="AJ152" s="204">
        <v>2631</v>
      </c>
      <c r="AK152" s="204">
        <v>0</v>
      </c>
      <c r="AL152" s="204">
        <v>0</v>
      </c>
      <c r="AM152" s="204">
        <v>0</v>
      </c>
      <c r="AN152" s="204">
        <v>0</v>
      </c>
      <c r="AO152" s="204">
        <v>0</v>
      </c>
      <c r="AP152" s="204">
        <v>0</v>
      </c>
      <c r="AQ152" s="204">
        <v>4478</v>
      </c>
      <c r="AR152" s="204">
        <v>30</v>
      </c>
      <c r="AS152" s="204">
        <v>9</v>
      </c>
      <c r="AT152" s="204">
        <v>32.6</v>
      </c>
      <c r="AU152" s="204">
        <v>0</v>
      </c>
      <c r="AV152" s="204">
        <v>145</v>
      </c>
      <c r="AW152" s="204">
        <v>0</v>
      </c>
      <c r="AX152" s="204">
        <v>0</v>
      </c>
      <c r="AY152" s="204">
        <v>0</v>
      </c>
      <c r="AZ152" s="204">
        <v>0</v>
      </c>
      <c r="BA152" s="204">
        <v>0</v>
      </c>
      <c r="BB152" s="204">
        <v>3</v>
      </c>
      <c r="BC152" s="204">
        <v>2.6</v>
      </c>
      <c r="BD152" s="204">
        <v>0</v>
      </c>
      <c r="BE152" s="204">
        <v>0</v>
      </c>
      <c r="BF152" s="204">
        <v>1940</v>
      </c>
      <c r="BG152" s="204">
        <v>5158</v>
      </c>
      <c r="BH152" s="204">
        <v>0</v>
      </c>
      <c r="BI152" s="204">
        <v>0</v>
      </c>
      <c r="BJ152" s="204">
        <v>0</v>
      </c>
      <c r="BK152" s="204">
        <v>0</v>
      </c>
      <c r="BL152" s="204">
        <v>0</v>
      </c>
      <c r="BM152" s="204">
        <v>0</v>
      </c>
      <c r="BN152" s="204">
        <v>0</v>
      </c>
      <c r="BO152" s="204">
        <v>15</v>
      </c>
      <c r="BP152" s="204">
        <v>724273.20813370356</v>
      </c>
      <c r="BQ152" s="204">
        <v>0</v>
      </c>
      <c r="BR152" s="204">
        <v>0</v>
      </c>
      <c r="BS152" s="204">
        <v>0</v>
      </c>
      <c r="BT152" s="204">
        <v>0</v>
      </c>
      <c r="BU152" s="204">
        <v>0</v>
      </c>
      <c r="BV152" s="204">
        <v>0</v>
      </c>
      <c r="BW152" s="204">
        <v>0</v>
      </c>
      <c r="BX152" s="204">
        <v>23505.82</v>
      </c>
      <c r="BY152" s="204">
        <v>940943</v>
      </c>
      <c r="BZ152" s="204">
        <v>124437</v>
      </c>
      <c r="CA152" s="204">
        <v>109940</v>
      </c>
      <c r="CB152" s="204">
        <v>0</v>
      </c>
      <c r="CC152" s="204">
        <v>197930.59</v>
      </c>
      <c r="CD152" s="204">
        <v>2</v>
      </c>
      <c r="CE152" s="204">
        <v>0</v>
      </c>
      <c r="CF152" s="204">
        <v>0</v>
      </c>
      <c r="CG152" s="204">
        <v>8619943.333333334</v>
      </c>
      <c r="CH152" s="204">
        <v>0</v>
      </c>
      <c r="CI152" s="204">
        <v>0</v>
      </c>
      <c r="CJ152" s="204">
        <v>0</v>
      </c>
      <c r="CK152" s="204">
        <v>0</v>
      </c>
      <c r="CL152" s="204">
        <v>0</v>
      </c>
      <c r="CM152" s="204">
        <v>0</v>
      </c>
      <c r="CN152" s="204">
        <v>0</v>
      </c>
      <c r="CO152" s="204">
        <v>0</v>
      </c>
      <c r="CP152" s="204">
        <v>0</v>
      </c>
      <c r="CQ152" s="235">
        <v>20019</v>
      </c>
      <c r="CR152" s="235">
        <v>3036</v>
      </c>
      <c r="CS152" s="204">
        <v>952.74666666666667</v>
      </c>
      <c r="CT152" s="204">
        <v>5698</v>
      </c>
      <c r="CU152" s="204">
        <v>2408</v>
      </c>
      <c r="CV152" s="204">
        <v>1826</v>
      </c>
      <c r="CW152" s="204">
        <v>32</v>
      </c>
      <c r="CX152" s="204">
        <v>935</v>
      </c>
      <c r="CY152" s="204">
        <v>0</v>
      </c>
      <c r="CZ152" s="204">
        <v>6</v>
      </c>
      <c r="DA152" s="204">
        <v>0</v>
      </c>
      <c r="DB152" s="204">
        <v>0</v>
      </c>
      <c r="DC152" s="204">
        <v>0</v>
      </c>
      <c r="DD152" s="204">
        <v>0</v>
      </c>
      <c r="DE152" s="204">
        <v>15753</v>
      </c>
      <c r="DF152" s="204">
        <v>4.0496488027888997</v>
      </c>
      <c r="DG152" s="204">
        <v>0</v>
      </c>
      <c r="DH152" s="204">
        <v>20</v>
      </c>
      <c r="DI152" s="204">
        <v>337.43744788832396</v>
      </c>
      <c r="DJ152" s="204">
        <v>0</v>
      </c>
      <c r="DK152" s="204">
        <v>0</v>
      </c>
      <c r="DL152" s="204">
        <v>0</v>
      </c>
      <c r="DM152" s="204">
        <v>0</v>
      </c>
      <c r="DN152" s="204">
        <v>0</v>
      </c>
      <c r="DO152" s="204">
        <v>0</v>
      </c>
      <c r="DP152" s="204">
        <v>0</v>
      </c>
      <c r="DQ152" s="204">
        <v>0</v>
      </c>
      <c r="DR152" s="204">
        <v>0</v>
      </c>
      <c r="DS152" s="204">
        <v>0</v>
      </c>
      <c r="DT152" s="204">
        <v>0</v>
      </c>
      <c r="DU152" s="204">
        <v>0</v>
      </c>
      <c r="DV152" s="204">
        <v>0</v>
      </c>
      <c r="DW152" s="204">
        <v>0</v>
      </c>
      <c r="DX152" s="204">
        <v>0</v>
      </c>
      <c r="DY152" s="204">
        <v>5</v>
      </c>
      <c r="DZ152" s="204">
        <v>1051</v>
      </c>
      <c r="EA152" s="204">
        <v>15757</v>
      </c>
      <c r="EB152" s="204">
        <v>842</v>
      </c>
      <c r="EC152" s="204">
        <v>1871</v>
      </c>
      <c r="ED152" s="204">
        <v>148</v>
      </c>
      <c r="EE152" s="204">
        <v>412</v>
      </c>
      <c r="EF152" s="204">
        <v>106</v>
      </c>
      <c r="EG152" s="204">
        <v>492</v>
      </c>
      <c r="EH152" s="204">
        <v>1176</v>
      </c>
      <c r="EI152" s="204">
        <v>4421</v>
      </c>
    </row>
    <row r="153" spans="1:142">
      <c r="A153" s="206"/>
      <c r="B153" s="207" t="s">
        <v>629</v>
      </c>
      <c r="C153" s="208">
        <v>100</v>
      </c>
      <c r="D153" s="209">
        <v>186</v>
      </c>
      <c r="E153" s="209">
        <v>0</v>
      </c>
      <c r="F153" s="210">
        <v>0</v>
      </c>
      <c r="G153" s="209">
        <v>0</v>
      </c>
      <c r="H153" s="209">
        <v>74.377140259149826</v>
      </c>
      <c r="I153" s="209">
        <v>0</v>
      </c>
      <c r="J153" s="209">
        <v>0</v>
      </c>
      <c r="K153" s="209">
        <v>0</v>
      </c>
      <c r="L153" s="209">
        <v>0</v>
      </c>
      <c r="M153" s="209">
        <v>24</v>
      </c>
      <c r="N153" s="209">
        <v>20</v>
      </c>
      <c r="O153" s="209">
        <v>19</v>
      </c>
      <c r="P153" s="209">
        <v>19</v>
      </c>
      <c r="Q153" s="209">
        <v>21</v>
      </c>
      <c r="R153" s="209">
        <v>22</v>
      </c>
      <c r="S153" s="209">
        <v>25</v>
      </c>
      <c r="T153" s="209">
        <v>17</v>
      </c>
      <c r="U153" s="209">
        <v>22</v>
      </c>
      <c r="V153" s="209">
        <v>24</v>
      </c>
      <c r="W153" s="209">
        <v>20</v>
      </c>
      <c r="X153" s="209">
        <v>42</v>
      </c>
      <c r="Y153" s="209">
        <v>0</v>
      </c>
      <c r="Z153" s="209">
        <v>22</v>
      </c>
      <c r="AA153" s="209">
        <v>414</v>
      </c>
      <c r="AB153" s="209">
        <v>0</v>
      </c>
      <c r="AC153" s="209">
        <v>0</v>
      </c>
      <c r="AD153" s="209">
        <v>0</v>
      </c>
      <c r="AE153" s="209">
        <v>0</v>
      </c>
      <c r="AF153" s="209">
        <v>0</v>
      </c>
      <c r="AG153" s="209">
        <v>0</v>
      </c>
      <c r="AH153" s="209">
        <v>0</v>
      </c>
      <c r="AI153" s="209">
        <v>0</v>
      </c>
      <c r="AJ153" s="209">
        <v>122</v>
      </c>
      <c r="AK153" s="209">
        <v>0</v>
      </c>
      <c r="AL153" s="209">
        <v>0</v>
      </c>
      <c r="AM153" s="209">
        <v>0</v>
      </c>
      <c r="AN153" s="209">
        <v>0</v>
      </c>
      <c r="AO153" s="209">
        <v>0</v>
      </c>
      <c r="AP153" s="209">
        <v>0</v>
      </c>
      <c r="AQ153" s="209">
        <v>141</v>
      </c>
      <c r="AR153" s="209">
        <v>0</v>
      </c>
      <c r="AS153" s="209">
        <v>0</v>
      </c>
      <c r="AT153" s="209">
        <v>4</v>
      </c>
      <c r="AU153" s="209">
        <v>0</v>
      </c>
      <c r="AV153" s="209">
        <v>1</v>
      </c>
      <c r="AW153" s="209">
        <v>0</v>
      </c>
      <c r="AX153" s="209">
        <v>0</v>
      </c>
      <c r="AY153" s="209">
        <v>0</v>
      </c>
      <c r="AZ153" s="209">
        <v>0</v>
      </c>
      <c r="BA153" s="209">
        <v>0</v>
      </c>
      <c r="BB153" s="209">
        <v>0</v>
      </c>
      <c r="BC153" s="209">
        <v>0</v>
      </c>
      <c r="BD153" s="209">
        <v>0</v>
      </c>
      <c r="BE153" s="209">
        <v>0</v>
      </c>
      <c r="BF153" s="209">
        <v>397.2</v>
      </c>
      <c r="BG153" s="209">
        <v>206</v>
      </c>
      <c r="BH153" s="209">
        <v>0</v>
      </c>
      <c r="BI153" s="209">
        <v>0</v>
      </c>
      <c r="BJ153" s="209">
        <v>0</v>
      </c>
      <c r="BK153" s="209">
        <v>0</v>
      </c>
      <c r="BL153" s="209">
        <v>0</v>
      </c>
      <c r="BM153" s="209">
        <v>0</v>
      </c>
      <c r="BN153" s="209">
        <v>0</v>
      </c>
      <c r="BO153" s="209">
        <v>0</v>
      </c>
      <c r="BP153" s="209">
        <v>0</v>
      </c>
      <c r="BQ153" s="209">
        <v>0</v>
      </c>
      <c r="BR153" s="209">
        <v>0</v>
      </c>
      <c r="BS153" s="209">
        <v>0</v>
      </c>
      <c r="BT153" s="209">
        <v>0</v>
      </c>
      <c r="BU153" s="209">
        <v>0</v>
      </c>
      <c r="BV153" s="209">
        <v>0</v>
      </c>
      <c r="BW153" s="209">
        <v>0</v>
      </c>
      <c r="BX153" s="209">
        <v>3162.27</v>
      </c>
      <c r="BY153" s="209">
        <v>42120.774937913906</v>
      </c>
      <c r="BZ153" s="209">
        <v>9885</v>
      </c>
      <c r="CA153" s="209">
        <v>0</v>
      </c>
      <c r="CB153" s="209">
        <v>0</v>
      </c>
      <c r="CC153" s="209">
        <v>9279</v>
      </c>
      <c r="CD153" s="209">
        <v>4</v>
      </c>
      <c r="CE153" s="209">
        <v>0</v>
      </c>
      <c r="CF153" s="209">
        <v>0</v>
      </c>
      <c r="CG153" s="209">
        <v>0</v>
      </c>
      <c r="CH153" s="209">
        <v>0</v>
      </c>
      <c r="CI153" s="209">
        <v>0</v>
      </c>
      <c r="CJ153" s="209">
        <v>861859.30615735578</v>
      </c>
      <c r="CK153" s="209">
        <v>6049916.010237271</v>
      </c>
      <c r="CL153" s="209">
        <v>0</v>
      </c>
      <c r="CM153" s="209">
        <v>0</v>
      </c>
      <c r="CN153" s="209">
        <v>0</v>
      </c>
      <c r="CO153" s="209">
        <v>0</v>
      </c>
      <c r="CP153" s="209">
        <v>0</v>
      </c>
      <c r="CQ153" s="235">
        <v>397.2</v>
      </c>
      <c r="CR153" s="235">
        <v>122</v>
      </c>
      <c r="CS153" s="209">
        <v>0</v>
      </c>
      <c r="CT153" s="209">
        <v>186</v>
      </c>
      <c r="CU153" s="209">
        <v>18</v>
      </c>
      <c r="CV153" s="209">
        <v>37</v>
      </c>
      <c r="CW153" s="209">
        <v>21</v>
      </c>
      <c r="CX153" s="209">
        <v>0</v>
      </c>
      <c r="CY153" s="209">
        <v>0</v>
      </c>
      <c r="CZ153" s="209">
        <v>0</v>
      </c>
      <c r="DA153" s="209">
        <v>0</v>
      </c>
      <c r="DB153" s="209">
        <v>0</v>
      </c>
      <c r="DC153" s="209">
        <v>0</v>
      </c>
      <c r="DD153" s="209">
        <v>0</v>
      </c>
      <c r="DE153" s="209">
        <v>255</v>
      </c>
      <c r="DF153" s="209">
        <v>0.64090909090909087</v>
      </c>
      <c r="DG153" s="209">
        <v>0</v>
      </c>
      <c r="DH153" s="209">
        <v>6.8514901960600003</v>
      </c>
      <c r="DI153" s="209">
        <v>133.01326741807071</v>
      </c>
      <c r="DJ153" s="209">
        <v>0</v>
      </c>
      <c r="DK153" s="209">
        <v>0</v>
      </c>
      <c r="DL153" s="209">
        <v>0</v>
      </c>
      <c r="DM153" s="209">
        <v>0</v>
      </c>
      <c r="DN153" s="209">
        <v>0</v>
      </c>
      <c r="DO153" s="209">
        <v>0</v>
      </c>
      <c r="DP153" s="209">
        <v>0</v>
      </c>
      <c r="DQ153" s="209">
        <v>0</v>
      </c>
      <c r="DR153" s="209">
        <v>0</v>
      </c>
      <c r="DS153" s="209">
        <v>0</v>
      </c>
      <c r="DT153" s="209">
        <v>0</v>
      </c>
      <c r="DU153" s="209">
        <v>0</v>
      </c>
      <c r="DV153" s="209">
        <v>0</v>
      </c>
      <c r="DW153" s="209">
        <v>0</v>
      </c>
      <c r="DX153" s="209">
        <v>0</v>
      </c>
      <c r="DY153" s="209">
        <v>0</v>
      </c>
      <c r="DZ153" s="209">
        <v>0</v>
      </c>
      <c r="EA153" s="209">
        <v>0</v>
      </c>
      <c r="EB153" s="209">
        <v>42</v>
      </c>
      <c r="EC153" s="209">
        <v>51</v>
      </c>
      <c r="ED153" s="209">
        <v>7</v>
      </c>
      <c r="EE153" s="209">
        <v>8</v>
      </c>
      <c r="EF153" s="209">
        <v>0</v>
      </c>
      <c r="EG153" s="209">
        <v>0</v>
      </c>
      <c r="EH153" s="209">
        <v>0</v>
      </c>
      <c r="EI153" s="209">
        <v>27</v>
      </c>
    </row>
    <row r="154" spans="1:142">
      <c r="A154" s="211"/>
      <c r="B154" s="212" t="s">
        <v>630</v>
      </c>
      <c r="C154" s="213">
        <v>32</v>
      </c>
      <c r="D154" s="214">
        <v>0</v>
      </c>
      <c r="E154" s="214">
        <v>0</v>
      </c>
      <c r="F154" s="215">
        <v>0</v>
      </c>
      <c r="G154" s="214">
        <v>0</v>
      </c>
      <c r="H154" s="214">
        <v>0</v>
      </c>
      <c r="I154" s="214">
        <v>0</v>
      </c>
      <c r="J154" s="214">
        <v>0</v>
      </c>
      <c r="K154" s="214">
        <v>0</v>
      </c>
      <c r="L154" s="214">
        <v>0</v>
      </c>
      <c r="M154" s="214">
        <v>0</v>
      </c>
      <c r="N154" s="214">
        <v>0</v>
      </c>
      <c r="O154" s="214">
        <v>0</v>
      </c>
      <c r="P154" s="214">
        <v>0</v>
      </c>
      <c r="Q154" s="214">
        <v>0</v>
      </c>
      <c r="R154" s="214">
        <v>0</v>
      </c>
      <c r="S154" s="214">
        <v>0</v>
      </c>
      <c r="T154" s="214">
        <v>0</v>
      </c>
      <c r="U154" s="214">
        <v>0</v>
      </c>
      <c r="V154" s="214">
        <v>0</v>
      </c>
      <c r="W154" s="214">
        <v>0</v>
      </c>
      <c r="X154" s="214">
        <v>0</v>
      </c>
      <c r="Y154" s="214">
        <v>0</v>
      </c>
      <c r="Z154" s="214">
        <v>0</v>
      </c>
      <c r="AA154" s="214">
        <v>93</v>
      </c>
      <c r="AB154" s="214">
        <v>0</v>
      </c>
      <c r="AC154" s="214">
        <v>0</v>
      </c>
      <c r="AD154" s="214">
        <v>0</v>
      </c>
      <c r="AE154" s="214">
        <v>0</v>
      </c>
      <c r="AF154" s="214">
        <v>0</v>
      </c>
      <c r="AG154" s="214">
        <v>0</v>
      </c>
      <c r="AH154" s="214">
        <v>0</v>
      </c>
      <c r="AI154" s="214">
        <v>0</v>
      </c>
      <c r="AJ154" s="214">
        <v>32</v>
      </c>
      <c r="AK154" s="214">
        <v>0</v>
      </c>
      <c r="AL154" s="214">
        <v>0</v>
      </c>
      <c r="AM154" s="214">
        <v>0</v>
      </c>
      <c r="AN154" s="214">
        <v>0</v>
      </c>
      <c r="AO154" s="214">
        <v>0</v>
      </c>
      <c r="AP154" s="214">
        <v>0</v>
      </c>
      <c r="AQ154" s="214">
        <v>0</v>
      </c>
      <c r="AR154" s="214">
        <v>2</v>
      </c>
      <c r="AS154" s="214">
        <v>0</v>
      </c>
      <c r="AT154" s="214">
        <v>3</v>
      </c>
      <c r="AU154" s="214">
        <v>0</v>
      </c>
      <c r="AV154" s="214">
        <v>0</v>
      </c>
      <c r="AW154" s="214">
        <v>0</v>
      </c>
      <c r="AX154" s="214">
        <v>0</v>
      </c>
      <c r="AY154" s="214">
        <v>0</v>
      </c>
      <c r="AZ154" s="214">
        <v>0</v>
      </c>
      <c r="BA154" s="214">
        <v>0</v>
      </c>
      <c r="BB154" s="214">
        <v>0</v>
      </c>
      <c r="BC154" s="214">
        <v>0</v>
      </c>
      <c r="BD154" s="214">
        <v>0</v>
      </c>
      <c r="BE154" s="214">
        <v>0</v>
      </c>
      <c r="BF154" s="214">
        <v>93</v>
      </c>
      <c r="BG154" s="214">
        <v>0</v>
      </c>
      <c r="BH154" s="214">
        <v>0</v>
      </c>
      <c r="BI154" s="214">
        <v>0</v>
      </c>
      <c r="BJ154" s="214">
        <v>0</v>
      </c>
      <c r="BK154" s="214">
        <v>0</v>
      </c>
      <c r="BL154" s="214">
        <v>0</v>
      </c>
      <c r="BM154" s="214">
        <v>0</v>
      </c>
      <c r="BN154" s="214">
        <v>0</v>
      </c>
      <c r="BO154" s="214">
        <v>0</v>
      </c>
      <c r="BP154" s="214">
        <v>0</v>
      </c>
      <c r="BQ154" s="214">
        <v>0</v>
      </c>
      <c r="BR154" s="214">
        <v>0</v>
      </c>
      <c r="BS154" s="214">
        <v>0</v>
      </c>
      <c r="BT154" s="214">
        <v>0</v>
      </c>
      <c r="BU154" s="214">
        <v>0</v>
      </c>
      <c r="BV154" s="214">
        <v>0</v>
      </c>
      <c r="BW154" s="214">
        <v>0</v>
      </c>
      <c r="BX154" s="214">
        <v>0</v>
      </c>
      <c r="BY154" s="214">
        <v>0</v>
      </c>
      <c r="BZ154" s="214">
        <v>0</v>
      </c>
      <c r="CA154" s="214">
        <v>0</v>
      </c>
      <c r="CB154" s="214">
        <v>0</v>
      </c>
      <c r="CC154" s="214">
        <v>0</v>
      </c>
      <c r="CD154" s="214">
        <v>0</v>
      </c>
      <c r="CE154" s="214">
        <v>0</v>
      </c>
      <c r="CF154" s="214">
        <v>0</v>
      </c>
      <c r="CG154" s="214">
        <v>0</v>
      </c>
      <c r="CH154" s="214">
        <v>0</v>
      </c>
      <c r="CI154" s="214">
        <v>0</v>
      </c>
      <c r="CJ154" s="214">
        <v>0</v>
      </c>
      <c r="CK154" s="214">
        <v>0</v>
      </c>
      <c r="CL154" s="214">
        <v>0</v>
      </c>
      <c r="CM154" s="214">
        <v>0</v>
      </c>
      <c r="CN154" s="214">
        <v>0</v>
      </c>
      <c r="CO154" s="214">
        <v>0</v>
      </c>
      <c r="CP154" s="214">
        <v>0</v>
      </c>
      <c r="CQ154" s="235">
        <v>93</v>
      </c>
      <c r="CR154" s="235">
        <v>32</v>
      </c>
      <c r="CS154" s="214">
        <v>0</v>
      </c>
      <c r="CT154" s="214">
        <v>0</v>
      </c>
      <c r="CU154" s="214">
        <v>4</v>
      </c>
      <c r="CV154" s="214">
        <v>6</v>
      </c>
      <c r="CW154" s="214">
        <v>0</v>
      </c>
      <c r="CX154" s="214">
        <v>0</v>
      </c>
      <c r="CY154" s="214">
        <v>0</v>
      </c>
      <c r="CZ154" s="214">
        <v>0</v>
      </c>
      <c r="DA154" s="214">
        <v>0</v>
      </c>
      <c r="DB154" s="214">
        <v>0</v>
      </c>
      <c r="DC154" s="214">
        <v>0</v>
      </c>
      <c r="DD154" s="214">
        <v>0</v>
      </c>
      <c r="DE154" s="214">
        <v>0</v>
      </c>
      <c r="DF154" s="214">
        <v>0.7142857142857143</v>
      </c>
      <c r="DG154" s="214">
        <v>0</v>
      </c>
      <c r="DH154" s="214">
        <v>3</v>
      </c>
      <c r="DI154" s="214">
        <v>125.81196581196581</v>
      </c>
      <c r="DJ154" s="214">
        <v>0</v>
      </c>
      <c r="DK154" s="214">
        <v>0</v>
      </c>
      <c r="DL154" s="214">
        <v>0</v>
      </c>
      <c r="DM154" s="214">
        <v>0</v>
      </c>
      <c r="DN154" s="214">
        <v>0</v>
      </c>
      <c r="DO154" s="214">
        <v>0</v>
      </c>
      <c r="DP154" s="214">
        <v>0</v>
      </c>
      <c r="DQ154" s="214">
        <v>0</v>
      </c>
      <c r="DR154" s="214">
        <v>0</v>
      </c>
      <c r="DS154" s="214">
        <v>0</v>
      </c>
      <c r="DT154" s="214">
        <v>0</v>
      </c>
      <c r="DU154" s="214">
        <v>0</v>
      </c>
      <c r="DV154" s="214">
        <v>0</v>
      </c>
      <c r="DW154" s="214">
        <v>0</v>
      </c>
      <c r="DX154" s="214">
        <v>0</v>
      </c>
      <c r="DY154" s="214">
        <v>0</v>
      </c>
      <c r="DZ154" s="214">
        <v>0</v>
      </c>
      <c r="EA154" s="214">
        <v>0</v>
      </c>
      <c r="EB154" s="214">
        <v>0</v>
      </c>
      <c r="EC154" s="214">
        <v>0</v>
      </c>
      <c r="ED154" s="214">
        <v>0</v>
      </c>
      <c r="EE154" s="214">
        <v>0</v>
      </c>
      <c r="EF154" s="214">
        <v>0</v>
      </c>
      <c r="EG154" s="214">
        <v>0</v>
      </c>
      <c r="EH154" s="214">
        <v>0</v>
      </c>
      <c r="EI154" s="214">
        <v>0</v>
      </c>
    </row>
    <row r="155" spans="1:142" ht="13.5" thickBot="1">
      <c r="A155" s="216"/>
      <c r="B155" s="217" t="s">
        <v>631</v>
      </c>
      <c r="C155" s="218">
        <v>0</v>
      </c>
      <c r="D155" s="219">
        <v>0</v>
      </c>
      <c r="E155" s="219">
        <v>0</v>
      </c>
      <c r="F155" s="220">
        <v>0</v>
      </c>
      <c r="G155" s="219">
        <v>0</v>
      </c>
      <c r="H155" s="219">
        <v>0</v>
      </c>
      <c r="I155" s="219">
        <v>0</v>
      </c>
      <c r="J155" s="219">
        <v>0</v>
      </c>
      <c r="K155" s="219">
        <v>0</v>
      </c>
      <c r="L155" s="219">
        <v>0</v>
      </c>
      <c r="M155" s="219">
        <v>0</v>
      </c>
      <c r="N155" s="219">
        <v>0</v>
      </c>
      <c r="O155" s="219">
        <v>0</v>
      </c>
      <c r="P155" s="219">
        <v>0</v>
      </c>
      <c r="Q155" s="219">
        <v>0</v>
      </c>
      <c r="R155" s="219">
        <v>0</v>
      </c>
      <c r="S155" s="219">
        <v>0</v>
      </c>
      <c r="T155" s="219">
        <v>0</v>
      </c>
      <c r="U155" s="219">
        <v>0</v>
      </c>
      <c r="V155" s="219">
        <v>0</v>
      </c>
      <c r="W155" s="219">
        <v>0</v>
      </c>
      <c r="X155" s="219">
        <v>1</v>
      </c>
      <c r="Y155" s="219">
        <v>0</v>
      </c>
      <c r="Z155" s="219">
        <v>0</v>
      </c>
      <c r="AA155" s="219">
        <v>0</v>
      </c>
      <c r="AB155" s="219">
        <v>0</v>
      </c>
      <c r="AC155" s="219">
        <v>0</v>
      </c>
      <c r="AD155" s="219">
        <v>0</v>
      </c>
      <c r="AE155" s="219">
        <v>2229.9842105263156</v>
      </c>
      <c r="AF155" s="219">
        <v>4044.3368421052633</v>
      </c>
      <c r="AG155" s="219">
        <v>1398756</v>
      </c>
      <c r="AH155" s="219">
        <v>496.95534228862596</v>
      </c>
      <c r="AI155" s="219">
        <v>0</v>
      </c>
      <c r="AJ155" s="219">
        <v>0</v>
      </c>
      <c r="AK155" s="219">
        <v>0</v>
      </c>
      <c r="AL155" s="219">
        <v>0</v>
      </c>
      <c r="AM155" s="219">
        <v>0</v>
      </c>
      <c r="AN155" s="219">
        <v>0</v>
      </c>
      <c r="AO155" s="219">
        <v>0</v>
      </c>
      <c r="AP155" s="219">
        <v>0</v>
      </c>
      <c r="AQ155" s="219">
        <v>0</v>
      </c>
      <c r="AR155" s="219">
        <v>0</v>
      </c>
      <c r="AS155" s="219">
        <v>0</v>
      </c>
      <c r="AT155" s="219">
        <v>3</v>
      </c>
      <c r="AU155" s="219">
        <v>0</v>
      </c>
      <c r="AV155" s="219">
        <v>0</v>
      </c>
      <c r="AW155" s="219">
        <v>0</v>
      </c>
      <c r="AX155" s="219">
        <v>0</v>
      </c>
      <c r="AY155" s="219">
        <v>0</v>
      </c>
      <c r="AZ155" s="219">
        <v>0</v>
      </c>
      <c r="BA155" s="219">
        <v>0</v>
      </c>
      <c r="BB155" s="219">
        <v>0</v>
      </c>
      <c r="BC155" s="219">
        <v>0</v>
      </c>
      <c r="BD155" s="219">
        <v>0</v>
      </c>
      <c r="BE155" s="219">
        <v>0</v>
      </c>
      <c r="BF155" s="219">
        <v>0</v>
      </c>
      <c r="BG155" s="219">
        <v>0</v>
      </c>
      <c r="BH155" s="219">
        <v>0</v>
      </c>
      <c r="BI155" s="219">
        <v>0</v>
      </c>
      <c r="BJ155" s="219">
        <v>0</v>
      </c>
      <c r="BK155" s="219">
        <v>0</v>
      </c>
      <c r="BL155" s="219">
        <v>0</v>
      </c>
      <c r="BM155" s="219">
        <v>0</v>
      </c>
      <c r="BN155" s="219">
        <v>0</v>
      </c>
      <c r="BO155" s="219">
        <v>0</v>
      </c>
      <c r="BP155" s="219">
        <v>0</v>
      </c>
      <c r="BQ155" s="219">
        <v>0</v>
      </c>
      <c r="BR155" s="219">
        <v>0</v>
      </c>
      <c r="BS155" s="219">
        <v>0</v>
      </c>
      <c r="BT155" s="219">
        <v>0</v>
      </c>
      <c r="BU155" s="219">
        <v>0</v>
      </c>
      <c r="BV155" s="219">
        <v>0</v>
      </c>
      <c r="BW155" s="219">
        <v>0</v>
      </c>
      <c r="BX155" s="219">
        <v>0</v>
      </c>
      <c r="BY155" s="219">
        <v>0</v>
      </c>
      <c r="BZ155" s="219">
        <v>0</v>
      </c>
      <c r="CA155" s="219">
        <v>0</v>
      </c>
      <c r="CB155" s="219">
        <v>0</v>
      </c>
      <c r="CC155" s="219">
        <v>0</v>
      </c>
      <c r="CD155" s="219">
        <v>0</v>
      </c>
      <c r="CE155" s="219">
        <v>0</v>
      </c>
      <c r="CF155" s="219">
        <v>0</v>
      </c>
      <c r="CG155" s="219">
        <v>0</v>
      </c>
      <c r="CH155" s="219">
        <v>0</v>
      </c>
      <c r="CI155" s="219">
        <v>0</v>
      </c>
      <c r="CJ155" s="219">
        <v>0</v>
      </c>
      <c r="CK155" s="219">
        <v>0</v>
      </c>
      <c r="CL155" s="219">
        <v>0</v>
      </c>
      <c r="CM155" s="219">
        <v>0</v>
      </c>
      <c r="CN155" s="219">
        <v>0</v>
      </c>
      <c r="CO155" s="219">
        <v>0</v>
      </c>
      <c r="CP155" s="219">
        <v>0</v>
      </c>
      <c r="CQ155" s="236">
        <v>0</v>
      </c>
      <c r="CR155" s="236">
        <v>0</v>
      </c>
      <c r="CS155" s="219">
        <v>0</v>
      </c>
      <c r="CT155" s="219">
        <v>0</v>
      </c>
      <c r="CU155" s="219">
        <v>0</v>
      </c>
      <c r="CV155" s="219">
        <v>0</v>
      </c>
      <c r="CW155" s="219">
        <v>0</v>
      </c>
      <c r="CX155" s="219">
        <v>0</v>
      </c>
      <c r="CY155" s="219">
        <v>0</v>
      </c>
      <c r="CZ155" s="219">
        <v>0</v>
      </c>
      <c r="DA155" s="219">
        <v>0</v>
      </c>
      <c r="DB155" s="219">
        <v>0</v>
      </c>
      <c r="DC155" s="219">
        <v>0</v>
      </c>
      <c r="DD155" s="219">
        <v>0</v>
      </c>
      <c r="DE155" s="219">
        <v>0</v>
      </c>
      <c r="DF155" s="219">
        <v>0</v>
      </c>
      <c r="DG155" s="219">
        <v>0</v>
      </c>
      <c r="DH155" s="219">
        <v>0</v>
      </c>
      <c r="DI155" s="219">
        <v>0</v>
      </c>
      <c r="DJ155" s="219">
        <v>873.73684210526289</v>
      </c>
      <c r="DK155" s="219">
        <v>708.25263157894733</v>
      </c>
      <c r="DL155" s="219">
        <v>647.99473684210545</v>
      </c>
      <c r="DM155" s="219">
        <v>556920</v>
      </c>
      <c r="DN155" s="219">
        <v>434160</v>
      </c>
      <c r="DO155" s="219">
        <v>407676</v>
      </c>
      <c r="DP155" s="219">
        <v>1592.1578947368421</v>
      </c>
      <c r="DQ155" s="219">
        <v>1277.8105263157895</v>
      </c>
      <c r="DR155" s="219">
        <v>1174.3684210526317</v>
      </c>
      <c r="DS155" s="219">
        <v>197.94371103549921</v>
      </c>
      <c r="DT155" s="219">
        <v>152.09547753514263</v>
      </c>
      <c r="DU155" s="219">
        <v>146.91615371798414</v>
      </c>
      <c r="DV155" s="219">
        <v>0</v>
      </c>
      <c r="DW155" s="219">
        <v>0</v>
      </c>
      <c r="DX155" s="219">
        <v>0</v>
      </c>
      <c r="DY155" s="219">
        <v>0</v>
      </c>
      <c r="DZ155" s="219">
        <v>0</v>
      </c>
      <c r="EA155" s="219">
        <v>0</v>
      </c>
      <c r="EB155" s="219">
        <v>0</v>
      </c>
      <c r="EC155" s="219">
        <v>0</v>
      </c>
      <c r="ED155" s="219">
        <v>0</v>
      </c>
      <c r="EE155" s="219">
        <v>0</v>
      </c>
      <c r="EF155" s="219">
        <v>0</v>
      </c>
      <c r="EG155" s="219">
        <v>0</v>
      </c>
      <c r="EH155" s="219">
        <v>0</v>
      </c>
      <c r="EI155" s="219">
        <v>0</v>
      </c>
    </row>
    <row r="156" spans="1:142" ht="13.5" thickBot="1">
      <c r="J156" s="92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X156" s="92"/>
      <c r="BB156" s="92"/>
      <c r="BC156" s="92"/>
      <c r="BE156" s="176"/>
      <c r="CJ156" s="92"/>
      <c r="CK156" s="92"/>
      <c r="DN156" s="92"/>
      <c r="DO156" s="92"/>
      <c r="DP156" s="92"/>
      <c r="DQ156" s="92"/>
      <c r="DR156" s="92"/>
      <c r="DS156" s="92"/>
      <c r="DT156" s="92"/>
      <c r="DU156" s="92"/>
      <c r="DV156" s="92"/>
      <c r="DW156" s="92"/>
      <c r="DX156" s="92"/>
      <c r="DY156" s="92"/>
      <c r="DZ156" s="92"/>
      <c r="EA156" s="92"/>
      <c r="EB156" s="92"/>
      <c r="EC156" s="92"/>
      <c r="ED156" s="92"/>
      <c r="EE156" s="92"/>
      <c r="EF156" s="92"/>
      <c r="EG156" s="92"/>
      <c r="EH156" s="92"/>
      <c r="EI156" s="92"/>
    </row>
    <row r="157" spans="1:142" s="143" customFormat="1" ht="13.5" thickBot="1">
      <c r="A157" s="222"/>
      <c r="B157" s="223" t="s">
        <v>632</v>
      </c>
      <c r="C157" s="223">
        <v>8053</v>
      </c>
      <c r="D157" s="223">
        <v>33792</v>
      </c>
      <c r="E157" s="223">
        <v>2</v>
      </c>
      <c r="F157" s="224">
        <v>1250</v>
      </c>
      <c r="G157" s="223">
        <v>3516508.6876539411</v>
      </c>
      <c r="H157" s="223">
        <v>10482.724039111161</v>
      </c>
      <c r="I157" s="223">
        <v>4096684.3143587303</v>
      </c>
      <c r="J157" s="223">
        <v>0</v>
      </c>
      <c r="K157" s="223">
        <v>17853.090391314719</v>
      </c>
      <c r="L157" s="223">
        <v>0</v>
      </c>
      <c r="M157" s="223">
        <v>3905</v>
      </c>
      <c r="N157" s="223">
        <v>3854</v>
      </c>
      <c r="O157" s="223">
        <v>3641</v>
      </c>
      <c r="P157" s="223">
        <v>3565</v>
      </c>
      <c r="Q157" s="223">
        <v>3426</v>
      </c>
      <c r="R157" s="223">
        <v>3375</v>
      </c>
      <c r="S157" s="223">
        <v>3242</v>
      </c>
      <c r="T157" s="223">
        <v>3183</v>
      </c>
      <c r="U157" s="223">
        <v>3086</v>
      </c>
      <c r="V157" s="223">
        <v>3166</v>
      </c>
      <c r="W157" s="223">
        <v>3184</v>
      </c>
      <c r="X157" s="223">
        <v>3413</v>
      </c>
      <c r="Y157" s="223">
        <v>0</v>
      </c>
      <c r="Z157" s="223">
        <v>4064</v>
      </c>
      <c r="AA157" s="223">
        <v>414</v>
      </c>
      <c r="AB157" s="223">
        <v>0</v>
      </c>
      <c r="AC157" s="223">
        <v>0</v>
      </c>
      <c r="AD157" s="223">
        <v>0</v>
      </c>
      <c r="AE157" s="223">
        <v>1687.3315789473684</v>
      </c>
      <c r="AF157" s="223">
        <v>4536.9947368421044</v>
      </c>
      <c r="AG157" s="223">
        <v>1789833</v>
      </c>
      <c r="AH157" s="223">
        <v>822.04555670361708</v>
      </c>
      <c r="AI157" s="223">
        <v>-24706</v>
      </c>
      <c r="AJ157" s="223">
        <v>8075</v>
      </c>
      <c r="AK157" s="223">
        <v>0</v>
      </c>
      <c r="AL157" s="223">
        <v>0</v>
      </c>
      <c r="AM157" s="223">
        <v>0</v>
      </c>
      <c r="AN157" s="223">
        <v>18</v>
      </c>
      <c r="AO157" s="223">
        <v>342592.74</v>
      </c>
      <c r="AP157" s="223">
        <v>0</v>
      </c>
      <c r="AQ157" s="223">
        <v>11851</v>
      </c>
      <c r="AR157" s="223">
        <v>50</v>
      </c>
      <c r="AS157" s="223">
        <v>27</v>
      </c>
      <c r="AT157" s="223">
        <v>129.6</v>
      </c>
      <c r="AU157" s="223">
        <v>0</v>
      </c>
      <c r="AV157" s="223">
        <v>241</v>
      </c>
      <c r="AW157" s="223">
        <v>0</v>
      </c>
      <c r="AX157" s="223">
        <v>6</v>
      </c>
      <c r="AY157" s="223">
        <v>0</v>
      </c>
      <c r="AZ157" s="223">
        <v>8</v>
      </c>
      <c r="BA157" s="223">
        <v>0</v>
      </c>
      <c r="BB157" s="223">
        <v>5</v>
      </c>
      <c r="BC157" s="223">
        <v>2.6</v>
      </c>
      <c r="BD157" s="223">
        <v>0</v>
      </c>
      <c r="BE157" s="223">
        <v>0</v>
      </c>
      <c r="BF157" s="223">
        <v>20549.8</v>
      </c>
      <c r="BG157" s="223">
        <v>13945</v>
      </c>
      <c r="BH157" s="223">
        <v>0</v>
      </c>
      <c r="BI157" s="223">
        <v>0</v>
      </c>
      <c r="BJ157" s="223">
        <v>0</v>
      </c>
      <c r="BK157" s="223">
        <v>0</v>
      </c>
      <c r="BL157" s="223">
        <v>0</v>
      </c>
      <c r="BM157" s="223">
        <v>0</v>
      </c>
      <c r="BN157" s="223">
        <v>0</v>
      </c>
      <c r="BO157" s="225">
        <v>44</v>
      </c>
      <c r="BP157" s="223">
        <v>1991704.75</v>
      </c>
      <c r="BQ157" s="223">
        <v>0</v>
      </c>
      <c r="BR157" s="223">
        <v>0</v>
      </c>
      <c r="BS157" s="223">
        <v>0</v>
      </c>
      <c r="BT157" s="223">
        <v>0</v>
      </c>
      <c r="BU157" s="223">
        <v>0</v>
      </c>
      <c r="BV157" s="223">
        <v>0</v>
      </c>
      <c r="BW157" s="223">
        <v>16824</v>
      </c>
      <c r="BX157" s="223">
        <v>91020.77</v>
      </c>
      <c r="BY157" s="223">
        <v>1973809.774937914</v>
      </c>
      <c r="BZ157" s="223">
        <v>429604</v>
      </c>
      <c r="CA157" s="223">
        <v>1006482.4642347035</v>
      </c>
      <c r="CB157" s="223">
        <v>0</v>
      </c>
      <c r="CC157" s="223">
        <v>379794.23</v>
      </c>
      <c r="CD157" s="223">
        <v>15</v>
      </c>
      <c r="CE157" s="223">
        <v>0</v>
      </c>
      <c r="CF157" s="223">
        <v>0</v>
      </c>
      <c r="CG157" s="223">
        <v>8619943.333333334</v>
      </c>
      <c r="CH157" s="223">
        <v>0</v>
      </c>
      <c r="CI157" s="223">
        <v>0</v>
      </c>
      <c r="CJ157" s="223">
        <v>861859.30615735578</v>
      </c>
      <c r="CK157" s="223">
        <v>6049916.010237271</v>
      </c>
      <c r="CL157" s="223">
        <v>0</v>
      </c>
      <c r="CM157" s="223">
        <v>0</v>
      </c>
      <c r="CN157" s="223">
        <v>-22668</v>
      </c>
      <c r="CO157" s="223">
        <v>0</v>
      </c>
      <c r="CP157" s="223">
        <v>0</v>
      </c>
      <c r="CQ157" s="237">
        <v>48121.8</v>
      </c>
      <c r="CR157" s="237">
        <v>8625.2000000000007</v>
      </c>
      <c r="CS157" s="223">
        <v>1751.8177777777782</v>
      </c>
      <c r="CT157" s="223">
        <v>33434</v>
      </c>
      <c r="CU157" s="223">
        <v>2426</v>
      </c>
      <c r="CV157" s="223">
        <v>1863</v>
      </c>
      <c r="CW157" s="223">
        <v>53</v>
      </c>
      <c r="CX157" s="223">
        <v>995</v>
      </c>
      <c r="CY157" s="223">
        <v>11</v>
      </c>
      <c r="CZ157" s="223">
        <v>6</v>
      </c>
      <c r="DA157" s="223">
        <v>0</v>
      </c>
      <c r="DB157" s="223">
        <v>0</v>
      </c>
      <c r="DC157" s="223">
        <v>0</v>
      </c>
      <c r="DD157" s="223">
        <v>0</v>
      </c>
      <c r="DE157" s="223">
        <v>41691</v>
      </c>
      <c r="DF157" s="223">
        <v>4.6905578936979904</v>
      </c>
      <c r="DG157" s="223">
        <v>0</v>
      </c>
      <c r="DH157" s="223">
        <v>117.85149019606</v>
      </c>
      <c r="DI157" s="223">
        <v>2211.7348027545017</v>
      </c>
      <c r="DJ157" s="223">
        <v>581.23684210526289</v>
      </c>
      <c r="DK157" s="223">
        <v>631.32631578947337</v>
      </c>
      <c r="DL157" s="223">
        <v>474.76842105263125</v>
      </c>
      <c r="DM157" s="223">
        <v>665535</v>
      </c>
      <c r="DN157" s="223">
        <v>592920</v>
      </c>
      <c r="DO157" s="223">
        <v>531378</v>
      </c>
      <c r="DP157" s="223">
        <v>1683.8421052631581</v>
      </c>
      <c r="DQ157" s="223">
        <v>1505.5578947368419</v>
      </c>
      <c r="DR157" s="223">
        <v>1347.5947368421052</v>
      </c>
      <c r="DS157" s="223">
        <v>306.65073290931889</v>
      </c>
      <c r="DT157" s="223">
        <v>271.69306086830034</v>
      </c>
      <c r="DU157" s="223">
        <v>243.70176292599766</v>
      </c>
      <c r="DV157" s="223">
        <v>0</v>
      </c>
      <c r="DW157" s="223">
        <v>0</v>
      </c>
      <c r="DX157" s="223">
        <v>0</v>
      </c>
      <c r="DY157" s="223">
        <v>5</v>
      </c>
      <c r="DZ157" s="223">
        <v>3425</v>
      </c>
      <c r="EA157" s="223">
        <v>37219</v>
      </c>
      <c r="EB157" s="223">
        <v>2430</v>
      </c>
      <c r="EC157" s="223">
        <v>4218</v>
      </c>
      <c r="ED157" s="223">
        <v>506</v>
      </c>
      <c r="EE157" s="223">
        <v>1041</v>
      </c>
      <c r="EF157" s="223">
        <v>972</v>
      </c>
      <c r="EG157" s="223">
        <v>2788</v>
      </c>
      <c r="EH157" s="223">
        <v>3568</v>
      </c>
      <c r="EI157" s="223">
        <v>9573</v>
      </c>
    </row>
    <row r="158" spans="1:142"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BE158" s="176"/>
    </row>
    <row r="159" spans="1:142">
      <c r="B159" s="92" t="s">
        <v>633</v>
      </c>
      <c r="C159" s="124">
        <v>628</v>
      </c>
      <c r="D159" s="124">
        <v>4588</v>
      </c>
      <c r="E159" s="124">
        <v>0</v>
      </c>
      <c r="F159" s="124">
        <v>48</v>
      </c>
      <c r="G159" s="124">
        <v>596143.20120249491</v>
      </c>
      <c r="H159" s="124">
        <v>647.98831782260868</v>
      </c>
      <c r="I159" s="124">
        <v>0</v>
      </c>
      <c r="J159" s="124">
        <v>0</v>
      </c>
      <c r="K159" s="124">
        <v>1195</v>
      </c>
      <c r="L159" s="124">
        <v>0</v>
      </c>
      <c r="M159" s="124">
        <v>818</v>
      </c>
      <c r="N159" s="124">
        <v>880</v>
      </c>
      <c r="O159" s="124">
        <v>0</v>
      </c>
      <c r="P159" s="124">
        <v>0</v>
      </c>
      <c r="Q159" s="124">
        <v>0</v>
      </c>
      <c r="R159" s="124">
        <v>0</v>
      </c>
      <c r="S159" s="124">
        <v>0</v>
      </c>
      <c r="T159" s="124">
        <v>0</v>
      </c>
      <c r="U159" s="124">
        <v>0</v>
      </c>
      <c r="V159" s="124">
        <v>0</v>
      </c>
      <c r="W159" s="124">
        <v>0</v>
      </c>
      <c r="X159" s="124">
        <v>481</v>
      </c>
      <c r="Y159" s="124">
        <v>0</v>
      </c>
      <c r="Z159" s="124">
        <v>850</v>
      </c>
      <c r="AA159" s="124">
        <v>0</v>
      </c>
      <c r="AB159" s="124">
        <v>0</v>
      </c>
      <c r="AC159" s="124">
        <v>0</v>
      </c>
      <c r="AD159" s="124">
        <v>0</v>
      </c>
      <c r="AE159" s="124">
        <v>240</v>
      </c>
      <c r="AF159" s="124">
        <v>788.79473684210529</v>
      </c>
      <c r="AG159" s="124">
        <v>266679</v>
      </c>
      <c r="AH159" s="124">
        <v>136.38713054364797</v>
      </c>
      <c r="AI159" s="124">
        <v>0</v>
      </c>
      <c r="AJ159" s="124">
        <v>628</v>
      </c>
      <c r="AK159" s="124">
        <v>0</v>
      </c>
      <c r="AL159" s="124">
        <v>0</v>
      </c>
      <c r="AM159" s="124">
        <v>0</v>
      </c>
      <c r="AN159" s="124">
        <v>0</v>
      </c>
      <c r="AO159" s="124">
        <v>51660.81</v>
      </c>
      <c r="AP159" s="124">
        <v>0</v>
      </c>
      <c r="AQ159" s="124">
        <v>746</v>
      </c>
      <c r="AR159" s="124">
        <v>3</v>
      </c>
      <c r="AS159" s="124">
        <v>2</v>
      </c>
      <c r="AT159" s="124">
        <v>11</v>
      </c>
      <c r="AU159" s="124">
        <v>0</v>
      </c>
      <c r="AV159" s="124">
        <v>6</v>
      </c>
      <c r="AW159" s="124">
        <v>0</v>
      </c>
      <c r="AX159" s="124">
        <v>0</v>
      </c>
      <c r="AY159" s="124">
        <v>0</v>
      </c>
      <c r="AZ159" s="124">
        <v>0</v>
      </c>
      <c r="BA159" s="124">
        <v>0</v>
      </c>
      <c r="BB159" s="124">
        <v>0</v>
      </c>
      <c r="BC159" s="124">
        <v>0</v>
      </c>
      <c r="BD159" s="124">
        <v>0</v>
      </c>
      <c r="BE159" s="124">
        <v>0</v>
      </c>
      <c r="BF159" s="124">
        <v>2417.8000000000002</v>
      </c>
      <c r="BG159" s="124">
        <v>1025</v>
      </c>
      <c r="BH159" s="124">
        <v>0</v>
      </c>
      <c r="BI159" s="124">
        <v>0</v>
      </c>
      <c r="BJ159" s="124">
        <v>0</v>
      </c>
      <c r="BK159" s="124">
        <v>0</v>
      </c>
      <c r="BL159" s="124">
        <v>0</v>
      </c>
      <c r="BM159" s="124">
        <v>0</v>
      </c>
      <c r="BN159" s="124">
        <v>0</v>
      </c>
      <c r="BO159" s="124">
        <v>1</v>
      </c>
      <c r="BP159" s="124">
        <v>98269.373981177836</v>
      </c>
      <c r="BQ159" s="124">
        <v>0</v>
      </c>
      <c r="BR159" s="124">
        <v>0</v>
      </c>
      <c r="BS159" s="124">
        <v>0</v>
      </c>
      <c r="BT159" s="124">
        <v>0</v>
      </c>
      <c r="BU159" s="124">
        <v>0</v>
      </c>
      <c r="BV159" s="124">
        <v>0</v>
      </c>
      <c r="BW159" s="124">
        <v>5185.4399999999996</v>
      </c>
      <c r="BX159" s="124">
        <v>8063.37</v>
      </c>
      <c r="BY159" s="124">
        <v>92081.27838003845</v>
      </c>
      <c r="BZ159" s="124">
        <v>28010</v>
      </c>
      <c r="CA159" s="124">
        <v>118827.00182689569</v>
      </c>
      <c r="CB159" s="124">
        <v>0</v>
      </c>
      <c r="CC159" s="124">
        <v>15745.24</v>
      </c>
      <c r="CD159" s="124">
        <v>0</v>
      </c>
      <c r="CE159" s="124">
        <v>0</v>
      </c>
      <c r="CF159" s="124">
        <v>0</v>
      </c>
      <c r="CG159" s="124">
        <v>0</v>
      </c>
      <c r="CH159" s="124">
        <v>0</v>
      </c>
      <c r="CI159" s="124">
        <v>0</v>
      </c>
      <c r="CJ159" s="124">
        <v>0</v>
      </c>
      <c r="CK159" s="124">
        <v>0</v>
      </c>
      <c r="CL159" s="124">
        <v>0</v>
      </c>
      <c r="CM159" s="124">
        <v>0</v>
      </c>
      <c r="CN159" s="124">
        <v>0</v>
      </c>
      <c r="CO159" s="124">
        <v>0</v>
      </c>
      <c r="CP159" s="124">
        <v>0</v>
      </c>
      <c r="CQ159" s="228">
        <v>2836.6</v>
      </c>
      <c r="CR159" s="228">
        <v>670</v>
      </c>
      <c r="CS159" s="124">
        <v>117</v>
      </c>
      <c r="CT159" s="124">
        <v>4588</v>
      </c>
      <c r="CU159" s="124">
        <v>0</v>
      </c>
      <c r="CV159" s="124">
        <v>0</v>
      </c>
      <c r="CW159" s="124">
        <v>0</v>
      </c>
      <c r="CX159" s="124">
        <v>0</v>
      </c>
      <c r="CY159" s="124">
        <v>2</v>
      </c>
      <c r="CZ159" s="124">
        <v>0</v>
      </c>
      <c r="DA159" s="124">
        <v>0</v>
      </c>
      <c r="DB159" s="124">
        <v>0</v>
      </c>
      <c r="DC159" s="124">
        <v>0</v>
      </c>
      <c r="DD159" s="124">
        <v>0</v>
      </c>
      <c r="DE159" s="124">
        <v>2548</v>
      </c>
      <c r="DF159" s="124">
        <v>0</v>
      </c>
      <c r="DG159" s="124">
        <v>0</v>
      </c>
      <c r="DH159" s="124">
        <v>11</v>
      </c>
      <c r="DI159" s="124">
        <v>268.72174261526965</v>
      </c>
      <c r="DJ159" s="124">
        <v>82.10526315789474</v>
      </c>
      <c r="DK159" s="124">
        <v>90.947368421052616</v>
      </c>
      <c r="DL159" s="124">
        <v>66.947368421052616</v>
      </c>
      <c r="DM159" s="124">
        <v>95160</v>
      </c>
      <c r="DN159" s="124">
        <v>95040</v>
      </c>
      <c r="DO159" s="124">
        <v>76479</v>
      </c>
      <c r="DP159" s="124">
        <v>281.21052631578948</v>
      </c>
      <c r="DQ159" s="124">
        <v>280.8</v>
      </c>
      <c r="DR159" s="124">
        <v>226.78421052631577</v>
      </c>
      <c r="DS159" s="124">
        <v>48.776912796697623</v>
      </c>
      <c r="DT159" s="124">
        <v>48.482473207906658</v>
      </c>
      <c r="DU159" s="124">
        <v>39.12774453904369</v>
      </c>
      <c r="DV159" s="124">
        <v>0</v>
      </c>
      <c r="DW159" s="124">
        <v>0</v>
      </c>
      <c r="DX159" s="124">
        <v>0</v>
      </c>
      <c r="DY159" s="124">
        <v>0</v>
      </c>
      <c r="DZ159" s="124">
        <v>206</v>
      </c>
      <c r="EA159" s="124">
        <v>1698</v>
      </c>
      <c r="EB159" s="124">
        <v>181</v>
      </c>
      <c r="EC159" s="124">
        <v>269</v>
      </c>
      <c r="ED159" s="124">
        <v>47</v>
      </c>
      <c r="EE159" s="124">
        <v>72</v>
      </c>
      <c r="EF159" s="124">
        <v>82</v>
      </c>
      <c r="EG159" s="124">
        <v>210</v>
      </c>
      <c r="EH159" s="124">
        <v>654</v>
      </c>
      <c r="EI159" s="124">
        <v>1212</v>
      </c>
    </row>
    <row r="160" spans="1:142">
      <c r="B160" s="92" t="s">
        <v>634</v>
      </c>
      <c r="C160" s="124">
        <v>680</v>
      </c>
      <c r="D160" s="124">
        <v>2146</v>
      </c>
      <c r="E160" s="124">
        <v>0</v>
      </c>
      <c r="F160" s="124">
        <v>106</v>
      </c>
      <c r="G160" s="124">
        <v>605.46592592592583</v>
      </c>
      <c r="H160" s="124">
        <v>786.84</v>
      </c>
      <c r="I160" s="124">
        <v>0</v>
      </c>
      <c r="J160" s="124">
        <v>0</v>
      </c>
      <c r="K160" s="124">
        <v>1803.3345263660224</v>
      </c>
      <c r="L160" s="124">
        <v>0</v>
      </c>
      <c r="M160" s="124">
        <v>0</v>
      </c>
      <c r="N160" s="124">
        <v>0</v>
      </c>
      <c r="O160" s="124">
        <v>791</v>
      </c>
      <c r="P160" s="124">
        <v>796</v>
      </c>
      <c r="Q160" s="124">
        <v>759</v>
      </c>
      <c r="R160" s="124">
        <v>739</v>
      </c>
      <c r="S160" s="124">
        <v>0</v>
      </c>
      <c r="T160" s="124">
        <v>0</v>
      </c>
      <c r="U160" s="124">
        <v>0</v>
      </c>
      <c r="V160" s="124">
        <v>0</v>
      </c>
      <c r="W160" s="124">
        <v>0</v>
      </c>
      <c r="X160" s="124">
        <v>0</v>
      </c>
      <c r="Y160" s="124">
        <v>0</v>
      </c>
      <c r="Z160" s="124">
        <v>0</v>
      </c>
      <c r="AA160" s="124">
        <v>0</v>
      </c>
      <c r="AB160" s="124">
        <v>0</v>
      </c>
      <c r="AC160" s="124">
        <v>0</v>
      </c>
      <c r="AD160" s="124">
        <v>0</v>
      </c>
      <c r="AE160" s="124">
        <v>0</v>
      </c>
      <c r="AF160" s="124">
        <v>0</v>
      </c>
      <c r="AG160" s="124">
        <v>0</v>
      </c>
      <c r="AH160" s="124">
        <v>0</v>
      </c>
      <c r="AI160" s="124">
        <v>-17006</v>
      </c>
      <c r="AJ160" s="124">
        <v>680</v>
      </c>
      <c r="AK160" s="124">
        <v>0</v>
      </c>
      <c r="AL160" s="124">
        <v>0</v>
      </c>
      <c r="AM160" s="124">
        <v>0</v>
      </c>
      <c r="AN160" s="124">
        <v>0</v>
      </c>
      <c r="AO160" s="124">
        <v>0</v>
      </c>
      <c r="AP160" s="124">
        <v>0</v>
      </c>
      <c r="AQ160" s="124">
        <v>1059</v>
      </c>
      <c r="AR160" s="124">
        <v>3</v>
      </c>
      <c r="AS160" s="124">
        <v>7</v>
      </c>
      <c r="AT160" s="124">
        <v>10</v>
      </c>
      <c r="AU160" s="124">
        <v>0</v>
      </c>
      <c r="AV160" s="124">
        <v>16</v>
      </c>
      <c r="AW160" s="124">
        <v>0</v>
      </c>
      <c r="AX160" s="124">
        <v>0</v>
      </c>
      <c r="AY160" s="124">
        <v>0</v>
      </c>
      <c r="AZ160" s="124">
        <v>2</v>
      </c>
      <c r="BA160" s="124">
        <v>0</v>
      </c>
      <c r="BB160" s="124">
        <v>0</v>
      </c>
      <c r="BC160" s="124">
        <v>0</v>
      </c>
      <c r="BD160" s="124">
        <v>0</v>
      </c>
      <c r="BE160" s="124">
        <v>0</v>
      </c>
      <c r="BF160" s="124">
        <v>2623</v>
      </c>
      <c r="BG160" s="124">
        <v>1112</v>
      </c>
      <c r="BH160" s="124">
        <v>0</v>
      </c>
      <c r="BI160" s="124">
        <v>0</v>
      </c>
      <c r="BJ160" s="124">
        <v>0</v>
      </c>
      <c r="BK160" s="124">
        <v>0</v>
      </c>
      <c r="BL160" s="124">
        <v>0</v>
      </c>
      <c r="BM160" s="124">
        <v>0</v>
      </c>
      <c r="BN160" s="124">
        <v>0</v>
      </c>
      <c r="BO160" s="124">
        <v>3</v>
      </c>
      <c r="BP160" s="124">
        <v>100845.40915811971</v>
      </c>
      <c r="BQ160" s="124">
        <v>0</v>
      </c>
      <c r="BR160" s="124">
        <v>0</v>
      </c>
      <c r="BS160" s="124">
        <v>0</v>
      </c>
      <c r="BT160" s="124">
        <v>0</v>
      </c>
      <c r="BU160" s="124">
        <v>0</v>
      </c>
      <c r="BV160" s="124">
        <v>0</v>
      </c>
      <c r="BW160" s="124">
        <v>0</v>
      </c>
      <c r="BX160" s="124">
        <v>8063.31</v>
      </c>
      <c r="BY160" s="124">
        <v>142682.72161996155</v>
      </c>
      <c r="BZ160" s="124">
        <v>35954</v>
      </c>
      <c r="CA160" s="124">
        <v>88805.101826895698</v>
      </c>
      <c r="CB160" s="124">
        <v>0</v>
      </c>
      <c r="CC160" s="124">
        <v>20833.21</v>
      </c>
      <c r="CD160" s="124">
        <v>3</v>
      </c>
      <c r="CE160" s="124">
        <v>0</v>
      </c>
      <c r="CF160" s="124">
        <v>0</v>
      </c>
      <c r="CG160" s="124">
        <v>0</v>
      </c>
      <c r="CH160" s="124">
        <v>0</v>
      </c>
      <c r="CI160" s="124">
        <v>0</v>
      </c>
      <c r="CJ160" s="124">
        <v>0</v>
      </c>
      <c r="CK160" s="124">
        <v>0</v>
      </c>
      <c r="CL160" s="124">
        <v>0</v>
      </c>
      <c r="CM160" s="124">
        <v>0</v>
      </c>
      <c r="CN160" s="124">
        <v>-7994</v>
      </c>
      <c r="CO160" s="124">
        <v>0</v>
      </c>
      <c r="CP160" s="124">
        <v>0</v>
      </c>
      <c r="CQ160" s="228">
        <v>3085</v>
      </c>
      <c r="CR160" s="228">
        <v>680</v>
      </c>
      <c r="CS160" s="124">
        <v>177.44</v>
      </c>
      <c r="CT160" s="124">
        <v>2146</v>
      </c>
      <c r="CU160" s="124">
        <v>0</v>
      </c>
      <c r="CV160" s="124">
        <v>0</v>
      </c>
      <c r="CW160" s="124">
        <v>0</v>
      </c>
      <c r="CX160" s="124">
        <v>0</v>
      </c>
      <c r="CY160" s="124">
        <v>0</v>
      </c>
      <c r="CZ160" s="124">
        <v>0</v>
      </c>
      <c r="DA160" s="124">
        <v>0</v>
      </c>
      <c r="DB160" s="124">
        <v>0</v>
      </c>
      <c r="DC160" s="124">
        <v>0</v>
      </c>
      <c r="DD160" s="124">
        <v>0</v>
      </c>
      <c r="DE160" s="124">
        <v>3085</v>
      </c>
      <c r="DF160" s="124">
        <v>0</v>
      </c>
      <c r="DG160" s="124">
        <v>0</v>
      </c>
      <c r="DH160" s="124">
        <v>10</v>
      </c>
      <c r="DI160" s="124">
        <v>219.90987712299338</v>
      </c>
      <c r="DJ160" s="124">
        <v>0</v>
      </c>
      <c r="DK160" s="124">
        <v>0</v>
      </c>
      <c r="DL160" s="124">
        <v>0</v>
      </c>
      <c r="DM160" s="124">
        <v>0</v>
      </c>
      <c r="DN160" s="124">
        <v>0</v>
      </c>
      <c r="DO160" s="124">
        <v>0</v>
      </c>
      <c r="DP160" s="124">
        <v>0</v>
      </c>
      <c r="DQ160" s="124">
        <v>0</v>
      </c>
      <c r="DR160" s="124">
        <v>0</v>
      </c>
      <c r="DS160" s="124">
        <v>0</v>
      </c>
      <c r="DT160" s="124">
        <v>0</v>
      </c>
      <c r="DU160" s="124">
        <v>0</v>
      </c>
      <c r="DV160" s="124">
        <v>0</v>
      </c>
      <c r="DW160" s="124">
        <v>0</v>
      </c>
      <c r="DX160" s="124">
        <v>0</v>
      </c>
      <c r="DY160" s="124">
        <v>0</v>
      </c>
      <c r="DZ160" s="124">
        <v>311</v>
      </c>
      <c r="EA160" s="124">
        <v>3085</v>
      </c>
      <c r="EB160" s="124">
        <v>187</v>
      </c>
      <c r="EC160" s="124">
        <v>348</v>
      </c>
      <c r="ED160" s="124">
        <v>41</v>
      </c>
      <c r="EE160" s="124">
        <v>80</v>
      </c>
      <c r="EF160" s="124">
        <v>134</v>
      </c>
      <c r="EG160" s="124">
        <v>302</v>
      </c>
      <c r="EH160" s="124">
        <v>0</v>
      </c>
      <c r="EI160" s="124">
        <v>0</v>
      </c>
    </row>
    <row r="161" spans="2:139">
      <c r="B161" s="92" t="s">
        <v>627</v>
      </c>
      <c r="C161" s="124">
        <v>4014</v>
      </c>
      <c r="D161" s="124">
        <v>20813</v>
      </c>
      <c r="E161" s="124">
        <v>2</v>
      </c>
      <c r="F161" s="124">
        <v>535</v>
      </c>
      <c r="G161" s="124">
        <v>2916991.3674091538</v>
      </c>
      <c r="H161" s="124">
        <v>4968.3429932885592</v>
      </c>
      <c r="I161" s="124">
        <v>1863177.1466111112</v>
      </c>
      <c r="J161" s="124">
        <v>0</v>
      </c>
      <c r="K161" s="124">
        <v>7522.918157957527</v>
      </c>
      <c r="L161" s="124">
        <v>0</v>
      </c>
      <c r="M161" s="124">
        <v>3063</v>
      </c>
      <c r="N161" s="124">
        <v>2954</v>
      </c>
      <c r="O161" s="124">
        <v>2831</v>
      </c>
      <c r="P161" s="124">
        <v>2750</v>
      </c>
      <c r="Q161" s="124">
        <v>2646</v>
      </c>
      <c r="R161" s="124">
        <v>2614</v>
      </c>
      <c r="S161" s="124">
        <v>0</v>
      </c>
      <c r="T161" s="124">
        <v>0</v>
      </c>
      <c r="U161" s="124">
        <v>0</v>
      </c>
      <c r="V161" s="124">
        <v>0</v>
      </c>
      <c r="W161" s="124">
        <v>0</v>
      </c>
      <c r="X161" s="124">
        <v>2393</v>
      </c>
      <c r="Y161" s="124">
        <v>0</v>
      </c>
      <c r="Z161" s="124">
        <v>3192</v>
      </c>
      <c r="AA161" s="124">
        <v>0</v>
      </c>
      <c r="AB161" s="124">
        <v>0</v>
      </c>
      <c r="AC161" s="124">
        <v>0</v>
      </c>
      <c r="AD161" s="124">
        <v>0</v>
      </c>
      <c r="AE161" s="124">
        <v>1327.3315789473684</v>
      </c>
      <c r="AF161" s="124">
        <v>3118.9684210526307</v>
      </c>
      <c r="AG161" s="124">
        <v>1271049</v>
      </c>
      <c r="AH161" s="124">
        <v>602.63468924631593</v>
      </c>
      <c r="AI161" s="124">
        <v>-7700</v>
      </c>
      <c r="AJ161" s="124">
        <v>4014</v>
      </c>
      <c r="AK161" s="124">
        <v>0</v>
      </c>
      <c r="AL161" s="124">
        <v>0</v>
      </c>
      <c r="AM161" s="124">
        <v>0</v>
      </c>
      <c r="AN161" s="124">
        <v>18</v>
      </c>
      <c r="AO161" s="124">
        <v>290931.93</v>
      </c>
      <c r="AP161" s="124">
        <v>0</v>
      </c>
      <c r="AQ161" s="124">
        <v>5427</v>
      </c>
      <c r="AR161" s="124">
        <v>14</v>
      </c>
      <c r="AS161" s="124">
        <v>9</v>
      </c>
      <c r="AT161" s="124">
        <v>68</v>
      </c>
      <c r="AU161" s="124">
        <v>0</v>
      </c>
      <c r="AV161" s="124">
        <v>73</v>
      </c>
      <c r="AW161" s="124">
        <v>0</v>
      </c>
      <c r="AX161" s="124">
        <v>6</v>
      </c>
      <c r="AY161" s="124">
        <v>0</v>
      </c>
      <c r="AZ161" s="124">
        <v>6</v>
      </c>
      <c r="BA161" s="124">
        <v>0</v>
      </c>
      <c r="BB161" s="124">
        <v>2</v>
      </c>
      <c r="BC161" s="124">
        <v>0</v>
      </c>
      <c r="BD161" s="124">
        <v>0</v>
      </c>
      <c r="BE161" s="124">
        <v>0</v>
      </c>
      <c r="BF161" s="124">
        <v>12873.6</v>
      </c>
      <c r="BG161" s="124">
        <v>6371</v>
      </c>
      <c r="BH161" s="124">
        <v>0</v>
      </c>
      <c r="BI161" s="124">
        <v>0</v>
      </c>
      <c r="BJ161" s="124">
        <v>0</v>
      </c>
      <c r="BK161" s="124">
        <v>0</v>
      </c>
      <c r="BL161" s="124">
        <v>0</v>
      </c>
      <c r="BM161" s="124">
        <v>0</v>
      </c>
      <c r="BN161" s="124">
        <v>0</v>
      </c>
      <c r="BO161" s="124">
        <v>25</v>
      </c>
      <c r="BP161" s="124">
        <v>1068316.7587269992</v>
      </c>
      <c r="BQ161" s="124">
        <v>0</v>
      </c>
      <c r="BR161" s="124">
        <v>0</v>
      </c>
      <c r="BS161" s="124">
        <v>0</v>
      </c>
      <c r="BT161" s="124">
        <v>0</v>
      </c>
      <c r="BU161" s="124">
        <v>0</v>
      </c>
      <c r="BV161" s="124">
        <v>0</v>
      </c>
      <c r="BW161" s="124">
        <v>11638.56</v>
      </c>
      <c r="BX161" s="124">
        <v>48226</v>
      </c>
      <c r="BY161" s="124">
        <v>746859</v>
      </c>
      <c r="BZ161" s="124">
        <v>227595</v>
      </c>
      <c r="CA161" s="124">
        <v>665486.38705758459</v>
      </c>
      <c r="CB161" s="124">
        <v>0</v>
      </c>
      <c r="CC161" s="124">
        <v>133931.54999999999</v>
      </c>
      <c r="CD161" s="124">
        <v>6</v>
      </c>
      <c r="CE161" s="124">
        <v>0</v>
      </c>
      <c r="CF161" s="124">
        <v>0</v>
      </c>
      <c r="CG161" s="124">
        <v>0</v>
      </c>
      <c r="CH161" s="124">
        <v>0</v>
      </c>
      <c r="CI161" s="124">
        <v>0</v>
      </c>
      <c r="CJ161" s="124">
        <v>0</v>
      </c>
      <c r="CK161" s="124">
        <v>0</v>
      </c>
      <c r="CL161" s="124">
        <v>0</v>
      </c>
      <c r="CM161" s="124">
        <v>0</v>
      </c>
      <c r="CN161" s="124">
        <v>-14674</v>
      </c>
      <c r="CO161" s="124">
        <v>0</v>
      </c>
      <c r="CP161" s="124">
        <v>0</v>
      </c>
      <c r="CQ161" s="228">
        <v>21485.8</v>
      </c>
      <c r="CR161" s="228">
        <v>4062</v>
      </c>
      <c r="CS161" s="124">
        <v>504.63111111111095</v>
      </c>
      <c r="CT161" s="124">
        <v>20632</v>
      </c>
      <c r="CU161" s="124">
        <v>0</v>
      </c>
      <c r="CV161" s="124">
        <v>0</v>
      </c>
      <c r="CW161" s="124">
        <v>0</v>
      </c>
      <c r="CX161" s="124">
        <v>60</v>
      </c>
      <c r="CY161" s="124">
        <v>9</v>
      </c>
      <c r="CZ161" s="124">
        <v>0</v>
      </c>
      <c r="DA161" s="124">
        <v>0</v>
      </c>
      <c r="DB161" s="124">
        <v>0</v>
      </c>
      <c r="DC161" s="124">
        <v>0</v>
      </c>
      <c r="DD161" s="124">
        <v>0</v>
      </c>
      <c r="DE161" s="124">
        <v>20050</v>
      </c>
      <c r="DF161" s="124">
        <v>0</v>
      </c>
      <c r="DG161" s="124">
        <v>0</v>
      </c>
      <c r="DH161" s="124">
        <v>66</v>
      </c>
      <c r="DI161" s="124">
        <v>1252.6524677098439</v>
      </c>
      <c r="DJ161" s="124">
        <v>458.07894736842076</v>
      </c>
      <c r="DK161" s="124">
        <v>494.90526315789447</v>
      </c>
      <c r="DL161" s="124">
        <v>374.34736842105247</v>
      </c>
      <c r="DM161" s="124">
        <v>476190</v>
      </c>
      <c r="DN161" s="124">
        <v>418824</v>
      </c>
      <c r="DO161" s="124">
        <v>376035</v>
      </c>
      <c r="DP161" s="124">
        <v>1167.9473684210527</v>
      </c>
      <c r="DQ161" s="124">
        <v>1027.7052631578947</v>
      </c>
      <c r="DR161" s="124">
        <v>923.31578947368416</v>
      </c>
      <c r="DS161" s="124">
        <v>226.80740142648443</v>
      </c>
      <c r="DT161" s="124">
        <v>197.22580226434951</v>
      </c>
      <c r="DU161" s="124">
        <v>178.60148555548182</v>
      </c>
      <c r="DV161" s="124">
        <v>0</v>
      </c>
      <c r="DW161" s="124">
        <v>0</v>
      </c>
      <c r="DX161" s="124">
        <v>0</v>
      </c>
      <c r="DY161" s="124">
        <v>0</v>
      </c>
      <c r="DZ161" s="124">
        <v>1857</v>
      </c>
      <c r="EA161" s="124">
        <v>16679</v>
      </c>
      <c r="EB161" s="124">
        <v>1166</v>
      </c>
      <c r="EC161" s="124">
        <v>1659</v>
      </c>
      <c r="ED161" s="124">
        <v>260</v>
      </c>
      <c r="EE161" s="124">
        <v>461</v>
      </c>
      <c r="EF161" s="124">
        <v>650</v>
      </c>
      <c r="EG161" s="124">
        <v>1784</v>
      </c>
      <c r="EH161" s="124">
        <v>1738</v>
      </c>
      <c r="EI161" s="124">
        <v>3913</v>
      </c>
    </row>
    <row r="162" spans="2:139">
      <c r="BE162" s="176"/>
    </row>
    <row r="163" spans="2:139">
      <c r="B163" s="92" t="s">
        <v>635</v>
      </c>
      <c r="BE163" s="176"/>
      <c r="BO163" s="92">
        <v>46</v>
      </c>
    </row>
    <row r="164" spans="2:139">
      <c r="B164" s="92" t="s">
        <v>636</v>
      </c>
      <c r="BE164" s="176"/>
      <c r="BO164" s="92">
        <v>2</v>
      </c>
    </row>
    <row r="165" spans="2:139">
      <c r="B165" s="92" t="s">
        <v>637</v>
      </c>
      <c r="BE165" s="176"/>
      <c r="BO165" s="92">
        <v>31000</v>
      </c>
    </row>
    <row r="166" spans="2:139">
      <c r="BE166" s="176"/>
    </row>
    <row r="167" spans="2:139">
      <c r="K167" s="92">
        <v>9976306.9106666669</v>
      </c>
      <c r="BE167" s="176"/>
    </row>
    <row r="168" spans="2:139">
      <c r="BE168" s="176"/>
    </row>
    <row r="169" spans="2:139">
      <c r="BE169" s="176"/>
    </row>
    <row r="170" spans="2:139">
      <c r="BE170" s="176"/>
    </row>
    <row r="171" spans="2:139">
      <c r="BE171" s="176"/>
    </row>
    <row r="172" spans="2:139">
      <c r="BE172" s="176"/>
    </row>
    <row r="173" spans="2:139">
      <c r="BE173" s="176"/>
    </row>
    <row r="174" spans="2:139">
      <c r="BE174" s="176"/>
    </row>
    <row r="175" spans="2:139">
      <c r="BE175" s="176"/>
    </row>
    <row r="176" spans="2:139">
      <c r="BE176" s="176"/>
    </row>
    <row r="177" spans="57:57">
      <c r="BE177" s="176"/>
    </row>
    <row r="178" spans="57:57">
      <c r="BE178" s="176"/>
    </row>
    <row r="179" spans="57:57">
      <c r="BE179" s="176"/>
    </row>
  </sheetData>
  <mergeCells count="13">
    <mergeCell ref="CJ5:CP5"/>
    <mergeCell ref="AJ5:AP5"/>
    <mergeCell ref="AQ5:AS5"/>
    <mergeCell ref="AT5:BD5"/>
    <mergeCell ref="BE5:BV5"/>
    <mergeCell ref="BW5:CE5"/>
    <mergeCell ref="CF5:CI5"/>
    <mergeCell ref="C5:K5"/>
    <mergeCell ref="O5:R5"/>
    <mergeCell ref="S5:U5"/>
    <mergeCell ref="V5:W5"/>
    <mergeCell ref="X5:Y5"/>
    <mergeCell ref="AD5:AH5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tabColor indexed="14"/>
  </sheetPr>
  <dimension ref="A1:IO168"/>
  <sheetViews>
    <sheetView workbookViewId="0">
      <pane xSplit="2" ySplit="6" topLeftCell="CM7" activePane="bottomRight" state="frozen"/>
      <selection activeCell="P27" sqref="P27"/>
      <selection pane="topRight" activeCell="P27" sqref="P27"/>
      <selection pane="bottomLeft" activeCell="P27" sqref="P27"/>
      <selection pane="bottomRight" activeCell="P27" sqref="P27"/>
    </sheetView>
  </sheetViews>
  <sheetFormatPr defaultRowHeight="12.75"/>
  <cols>
    <col min="1" max="1" width="11.28515625" style="301" bestFit="1" customWidth="1"/>
    <col min="2" max="2" width="48.28515625" style="258" customWidth="1"/>
    <col min="3" max="4" width="9.140625" style="258" customWidth="1"/>
    <col min="5" max="5" width="9.140625" style="296" customWidth="1"/>
    <col min="6" max="6" width="9.140625" style="258" customWidth="1"/>
    <col min="7" max="7" width="11.28515625" style="258" customWidth="1"/>
    <col min="8" max="8" width="9.140625" style="258" customWidth="1"/>
    <col min="9" max="9" width="12.85546875" style="258" customWidth="1"/>
    <col min="10" max="10" width="9.140625" style="258" customWidth="1"/>
    <col min="11" max="11" width="12.85546875" style="258" customWidth="1"/>
    <col min="12" max="12" width="9.140625" style="258" customWidth="1"/>
    <col min="13" max="23" width="9.140625" style="257" customWidth="1"/>
    <col min="24" max="24" width="10.140625" style="257" customWidth="1"/>
    <col min="25" max="26" width="9.140625" style="257" customWidth="1"/>
    <col min="27" max="27" width="16.42578125" style="258" customWidth="1"/>
    <col min="28" max="28" width="9.140625" style="258" customWidth="1"/>
    <col min="29" max="29" width="12.5703125" style="258" customWidth="1"/>
    <col min="30" max="30" width="9.140625" style="258" customWidth="1"/>
    <col min="31" max="31" width="11.28515625" style="258" customWidth="1"/>
    <col min="32" max="32" width="10.28515625" style="258" customWidth="1"/>
    <col min="33" max="33" width="12.85546875" style="258" customWidth="1"/>
    <col min="34" max="34" width="9.140625" style="258" customWidth="1"/>
    <col min="35" max="35" width="10.28515625" style="258" customWidth="1"/>
    <col min="36" max="40" width="9.140625" style="258" customWidth="1"/>
    <col min="41" max="41" width="10.28515625" style="258" customWidth="1"/>
    <col min="42" max="55" width="9.140625" style="258" customWidth="1"/>
    <col min="56" max="56" width="9.140625" style="297" customWidth="1"/>
    <col min="57" max="57" width="9.140625" style="258" customWidth="1"/>
    <col min="58" max="59" width="10.28515625" style="258" customWidth="1"/>
    <col min="60" max="66" width="9.140625" style="258" customWidth="1"/>
    <col min="67" max="67" width="10.28515625" style="258" customWidth="1"/>
    <col min="68" max="68" width="12.85546875" style="258" customWidth="1"/>
    <col min="69" max="76" width="9.140625" style="258" customWidth="1"/>
    <col min="77" max="77" width="12.7109375" style="258" customWidth="1"/>
    <col min="78" max="78" width="10.7109375" style="258" customWidth="1"/>
    <col min="79" max="79" width="14.7109375" style="258" customWidth="1"/>
    <col min="80" max="80" width="9.140625" style="258" customWidth="1"/>
    <col min="81" max="81" width="10.28515625" style="325" bestFit="1" customWidth="1"/>
    <col min="82" max="84" width="9.140625" style="258" customWidth="1"/>
    <col min="85" max="85" width="12.85546875" style="258" customWidth="1"/>
    <col min="86" max="87" width="9.140625" style="258" customWidth="1"/>
    <col min="88" max="89" width="12.85546875" style="258" customWidth="1"/>
    <col min="90" max="91" width="9.140625" style="258" customWidth="1"/>
    <col min="92" max="92" width="10.28515625" style="258" customWidth="1"/>
    <col min="93" max="94" width="9.140625" style="258" customWidth="1"/>
    <col min="95" max="95" width="9.28515625" style="325" bestFit="1" customWidth="1"/>
    <col min="96" max="101" width="9.140625" style="258" customWidth="1"/>
    <col min="102" max="102" width="10.85546875" style="258" customWidth="1"/>
    <col min="103" max="116" width="9.140625" style="258" customWidth="1"/>
    <col min="117" max="117" width="11.28515625" style="258" customWidth="1"/>
    <col min="118" max="119" width="11.28515625" style="259" customWidth="1"/>
    <col min="120" max="135" width="9.140625" style="259" customWidth="1"/>
    <col min="136" max="139" width="9.140625" style="262" customWidth="1"/>
    <col min="140" max="16384" width="9.140625" style="259"/>
  </cols>
  <sheetData>
    <row r="1" spans="1:249">
      <c r="A1" s="256">
        <v>1</v>
      </c>
      <c r="B1" s="257">
        <v>2</v>
      </c>
      <c r="C1" s="257">
        <v>3</v>
      </c>
      <c r="D1" s="256">
        <v>4</v>
      </c>
      <c r="E1" s="257">
        <v>5</v>
      </c>
      <c r="F1" s="258">
        <v>6</v>
      </c>
      <c r="G1" s="256">
        <v>7</v>
      </c>
      <c r="H1" s="257">
        <v>8</v>
      </c>
      <c r="I1" s="257">
        <v>9</v>
      </c>
      <c r="J1" s="256">
        <v>10</v>
      </c>
      <c r="K1" s="257">
        <v>11</v>
      </c>
      <c r="L1" s="257">
        <v>12</v>
      </c>
      <c r="M1" s="256">
        <v>13</v>
      </c>
      <c r="N1" s="257">
        <v>14</v>
      </c>
      <c r="O1" s="257">
        <v>15</v>
      </c>
      <c r="P1" s="256">
        <v>16</v>
      </c>
      <c r="Q1" s="257">
        <v>17</v>
      </c>
      <c r="R1" s="257">
        <v>18</v>
      </c>
      <c r="S1" s="256">
        <v>19</v>
      </c>
      <c r="T1" s="257">
        <v>20</v>
      </c>
      <c r="U1" s="257">
        <v>21</v>
      </c>
      <c r="V1" s="256">
        <v>22</v>
      </c>
      <c r="W1" s="257">
        <v>23</v>
      </c>
      <c r="X1" s="257">
        <v>24</v>
      </c>
      <c r="Y1" s="256">
        <v>25</v>
      </c>
      <c r="Z1" s="257">
        <v>26</v>
      </c>
      <c r="AA1" s="257">
        <v>27</v>
      </c>
      <c r="AB1" s="256">
        <v>28</v>
      </c>
      <c r="AC1" s="257">
        <v>29</v>
      </c>
      <c r="AD1" s="257">
        <v>30</v>
      </c>
      <c r="AE1" s="256">
        <v>31</v>
      </c>
      <c r="AF1" s="257">
        <v>32</v>
      </c>
      <c r="AG1" s="257">
        <v>33</v>
      </c>
      <c r="AH1" s="256">
        <v>34</v>
      </c>
      <c r="AI1" s="257">
        <v>35</v>
      </c>
      <c r="AJ1" s="257">
        <v>36</v>
      </c>
      <c r="AK1" s="256">
        <v>37</v>
      </c>
      <c r="AL1" s="257">
        <v>38</v>
      </c>
      <c r="AM1" s="257">
        <v>39</v>
      </c>
      <c r="AN1" s="256">
        <v>40</v>
      </c>
      <c r="AO1" s="257">
        <v>41</v>
      </c>
      <c r="AP1" s="257">
        <v>42</v>
      </c>
      <c r="AQ1" s="256">
        <v>43</v>
      </c>
      <c r="AR1" s="257">
        <v>44</v>
      </c>
      <c r="AS1" s="257">
        <v>45</v>
      </c>
      <c r="AT1" s="256">
        <v>46</v>
      </c>
      <c r="AU1" s="257">
        <v>47</v>
      </c>
      <c r="AV1" s="257">
        <v>48</v>
      </c>
      <c r="AW1" s="256">
        <v>49</v>
      </c>
      <c r="AX1" s="257">
        <v>50</v>
      </c>
      <c r="AY1" s="257">
        <v>51</v>
      </c>
      <c r="AZ1" s="256">
        <v>52</v>
      </c>
      <c r="BA1" s="257">
        <v>53</v>
      </c>
      <c r="BB1" s="257">
        <v>54</v>
      </c>
      <c r="BC1" s="256">
        <v>55</v>
      </c>
      <c r="BD1" s="257">
        <v>56</v>
      </c>
      <c r="BE1" s="257">
        <v>57</v>
      </c>
      <c r="BF1" s="256">
        <v>58</v>
      </c>
      <c r="BG1" s="257">
        <v>59</v>
      </c>
      <c r="BH1" s="257">
        <v>60</v>
      </c>
      <c r="BI1" s="256">
        <v>61</v>
      </c>
      <c r="BJ1" s="257">
        <v>62</v>
      </c>
      <c r="BK1" s="257">
        <v>63</v>
      </c>
      <c r="BL1" s="256">
        <v>64</v>
      </c>
      <c r="BM1" s="257">
        <v>65</v>
      </c>
      <c r="BN1" s="257">
        <v>66</v>
      </c>
      <c r="BO1" s="256">
        <v>67</v>
      </c>
      <c r="BP1" s="257">
        <v>68</v>
      </c>
      <c r="BQ1" s="257">
        <v>69</v>
      </c>
      <c r="BR1" s="256">
        <v>70</v>
      </c>
      <c r="BS1" s="257">
        <v>71</v>
      </c>
      <c r="BT1" s="257">
        <v>72</v>
      </c>
      <c r="BU1" s="256">
        <v>73</v>
      </c>
      <c r="BV1" s="257">
        <v>74</v>
      </c>
      <c r="BW1" s="257">
        <v>75</v>
      </c>
      <c r="BX1" s="256">
        <v>76</v>
      </c>
      <c r="BY1" s="257">
        <v>77</v>
      </c>
      <c r="BZ1" s="257">
        <v>78</v>
      </c>
      <c r="CA1" s="256">
        <v>79</v>
      </c>
      <c r="CB1" s="257">
        <v>80</v>
      </c>
      <c r="CC1" s="320">
        <v>81</v>
      </c>
      <c r="CD1" s="256">
        <v>82</v>
      </c>
      <c r="CE1" s="257">
        <v>83</v>
      </c>
      <c r="CF1" s="257">
        <v>84</v>
      </c>
      <c r="CG1" s="256">
        <v>85</v>
      </c>
      <c r="CH1" s="257">
        <v>86</v>
      </c>
      <c r="CI1" s="257">
        <v>87</v>
      </c>
      <c r="CJ1" s="256">
        <v>88</v>
      </c>
      <c r="CK1" s="257">
        <v>89</v>
      </c>
      <c r="CL1" s="257">
        <v>90</v>
      </c>
      <c r="CM1" s="256">
        <v>91</v>
      </c>
      <c r="CN1" s="257">
        <v>92</v>
      </c>
      <c r="CO1" s="257">
        <v>93</v>
      </c>
      <c r="CP1" s="257">
        <v>94</v>
      </c>
      <c r="CQ1" s="319">
        <v>95</v>
      </c>
      <c r="CR1" s="257">
        <v>96</v>
      </c>
      <c r="CS1" s="257">
        <v>97</v>
      </c>
      <c r="CT1" s="257">
        <v>98</v>
      </c>
      <c r="CU1" s="256">
        <v>99</v>
      </c>
      <c r="CV1" s="257">
        <v>100</v>
      </c>
      <c r="CW1" s="257">
        <v>101</v>
      </c>
      <c r="CX1" s="257">
        <v>102</v>
      </c>
      <c r="CY1" s="256">
        <v>103</v>
      </c>
      <c r="CZ1" s="257">
        <v>104</v>
      </c>
      <c r="DA1" s="257">
        <v>105</v>
      </c>
      <c r="DB1" s="257">
        <v>106</v>
      </c>
      <c r="DC1" s="256">
        <v>107</v>
      </c>
      <c r="DD1" s="257">
        <v>108</v>
      </c>
      <c r="DE1" s="257">
        <v>109</v>
      </c>
      <c r="DF1" s="257">
        <v>110</v>
      </c>
      <c r="DG1" s="256">
        <v>111</v>
      </c>
      <c r="DH1" s="257">
        <v>112</v>
      </c>
      <c r="DI1" s="257">
        <v>113</v>
      </c>
      <c r="DJ1" s="257">
        <v>114</v>
      </c>
      <c r="DK1" s="256">
        <v>115</v>
      </c>
      <c r="DL1" s="257">
        <v>116</v>
      </c>
      <c r="DM1" s="257">
        <v>117</v>
      </c>
      <c r="DN1" s="257">
        <v>118</v>
      </c>
      <c r="DO1" s="256">
        <v>119</v>
      </c>
      <c r="DP1" s="257">
        <v>120</v>
      </c>
      <c r="DQ1" s="257">
        <v>121</v>
      </c>
      <c r="DR1" s="257">
        <v>122</v>
      </c>
      <c r="DS1" s="256">
        <v>123</v>
      </c>
      <c r="DT1" s="257">
        <v>124</v>
      </c>
      <c r="DU1" s="257">
        <v>125</v>
      </c>
      <c r="DV1" s="257">
        <v>126</v>
      </c>
      <c r="DW1" s="256">
        <v>127</v>
      </c>
      <c r="DX1" s="257">
        <v>128</v>
      </c>
      <c r="DY1" s="257">
        <v>129</v>
      </c>
      <c r="DZ1" s="257">
        <v>130</v>
      </c>
      <c r="EA1" s="256">
        <v>131</v>
      </c>
      <c r="EB1" s="257">
        <v>132</v>
      </c>
      <c r="EC1" s="257">
        <v>133</v>
      </c>
      <c r="ED1" s="257">
        <v>134</v>
      </c>
      <c r="EE1" s="256">
        <v>135</v>
      </c>
      <c r="EF1" s="257">
        <v>136</v>
      </c>
      <c r="EG1" s="257">
        <v>137</v>
      </c>
      <c r="EH1" s="257">
        <v>138</v>
      </c>
      <c r="EI1" s="256">
        <v>139</v>
      </c>
      <c r="EJ1" s="257">
        <v>140</v>
      </c>
      <c r="EK1" s="257">
        <v>144</v>
      </c>
      <c r="EL1" s="257">
        <v>145</v>
      </c>
    </row>
    <row r="2" spans="1:249" s="262" customFormat="1">
      <c r="A2" s="256"/>
      <c r="B2" s="257"/>
      <c r="C2" s="257"/>
      <c r="D2" s="257"/>
      <c r="E2" s="260"/>
      <c r="F2" s="258"/>
      <c r="G2" s="257"/>
      <c r="H2" s="257"/>
      <c r="I2" s="257"/>
      <c r="J2" s="257"/>
      <c r="K2" s="257"/>
      <c r="L2" s="257"/>
      <c r="M2" s="257">
        <v>6</v>
      </c>
      <c r="N2" s="257">
        <v>7</v>
      </c>
      <c r="O2" s="257">
        <v>8</v>
      </c>
      <c r="P2" s="257">
        <v>9</v>
      </c>
      <c r="Q2" s="257">
        <v>10</v>
      </c>
      <c r="R2" s="257">
        <v>11</v>
      </c>
      <c r="S2" s="257">
        <v>3</v>
      </c>
      <c r="T2" s="257">
        <v>4</v>
      </c>
      <c r="U2" s="257">
        <v>5</v>
      </c>
      <c r="V2" s="257">
        <v>6</v>
      </c>
      <c r="W2" s="257">
        <v>7</v>
      </c>
      <c r="X2" s="257">
        <v>3</v>
      </c>
      <c r="Y2" s="257"/>
      <c r="Z2" s="257">
        <v>5</v>
      </c>
      <c r="AA2" s="257">
        <v>20</v>
      </c>
      <c r="AB2" s="257"/>
      <c r="AC2" s="257"/>
      <c r="AD2" s="257"/>
      <c r="AE2" s="257">
        <v>6</v>
      </c>
      <c r="AF2" s="257">
        <v>14</v>
      </c>
      <c r="AG2" s="257">
        <v>10</v>
      </c>
      <c r="AH2" s="257">
        <v>18</v>
      </c>
      <c r="AI2" s="257"/>
      <c r="AJ2" s="257">
        <v>23</v>
      </c>
      <c r="AK2" s="257"/>
      <c r="AL2" s="257"/>
      <c r="AM2" s="257"/>
      <c r="AN2" s="257"/>
      <c r="AO2" s="257">
        <v>2718.99</v>
      </c>
      <c r="AP2" s="257"/>
      <c r="AQ2" s="257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61"/>
      <c r="BE2" s="257"/>
      <c r="BF2" s="257">
        <v>23</v>
      </c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257"/>
      <c r="BR2" s="257"/>
      <c r="BS2" s="257"/>
      <c r="BT2" s="257"/>
      <c r="BU2" s="257"/>
      <c r="BV2" s="257"/>
      <c r="BW2" s="257"/>
      <c r="BX2" s="257"/>
      <c r="BY2" s="257"/>
      <c r="BZ2" s="257"/>
      <c r="CA2" s="257"/>
      <c r="CB2" s="257"/>
      <c r="CC2" s="320"/>
      <c r="CD2" s="257"/>
      <c r="CE2" s="257"/>
      <c r="CF2" s="257"/>
      <c r="CG2" s="257"/>
      <c r="CH2" s="257"/>
      <c r="CI2" s="257"/>
      <c r="CJ2" s="257"/>
      <c r="CK2" s="257"/>
      <c r="CL2" s="257"/>
      <c r="CM2" s="257"/>
      <c r="CN2" s="257"/>
      <c r="CO2" s="257"/>
      <c r="CP2" s="257"/>
      <c r="CQ2" s="320"/>
      <c r="CR2" s="257"/>
      <c r="CS2" s="257"/>
      <c r="CT2" s="257"/>
      <c r="CU2" s="257">
        <v>17</v>
      </c>
      <c r="CV2" s="257">
        <v>18</v>
      </c>
      <c r="CW2" s="257">
        <v>19</v>
      </c>
      <c r="CX2" s="257"/>
      <c r="CY2" s="257"/>
      <c r="CZ2" s="257"/>
      <c r="DA2" s="257"/>
      <c r="DB2" s="257"/>
      <c r="DC2" s="257"/>
      <c r="DD2" s="257"/>
      <c r="DE2" s="257"/>
      <c r="DF2" s="257"/>
      <c r="DG2" s="257"/>
      <c r="DH2" s="257"/>
      <c r="DI2" s="257"/>
      <c r="DJ2" s="257"/>
      <c r="DK2" s="257"/>
      <c r="DL2" s="257"/>
      <c r="DM2" s="257"/>
    </row>
    <row r="3" spans="1:249" s="267" customFormat="1" ht="69" customHeight="1">
      <c r="A3" s="263" t="s">
        <v>463</v>
      </c>
      <c r="B3" s="264" t="s">
        <v>464</v>
      </c>
      <c r="C3" s="263" t="s">
        <v>465</v>
      </c>
      <c r="D3" s="263" t="s">
        <v>466</v>
      </c>
      <c r="E3" s="265" t="s">
        <v>467</v>
      </c>
      <c r="F3" s="263" t="s">
        <v>468</v>
      </c>
      <c r="G3" s="263" t="s">
        <v>469</v>
      </c>
      <c r="H3" s="263" t="s">
        <v>470</v>
      </c>
      <c r="I3" s="263" t="s">
        <v>471</v>
      </c>
      <c r="J3" s="263" t="s">
        <v>472</v>
      </c>
      <c r="K3" s="263" t="s">
        <v>473</v>
      </c>
      <c r="L3" s="263" t="s">
        <v>474</v>
      </c>
      <c r="M3" s="266" t="s">
        <v>465</v>
      </c>
      <c r="N3" s="266" t="s">
        <v>465</v>
      </c>
      <c r="O3" s="266" t="s">
        <v>465</v>
      </c>
      <c r="P3" s="266" t="s">
        <v>465</v>
      </c>
      <c r="Q3" s="266" t="s">
        <v>465</v>
      </c>
      <c r="R3" s="266" t="s">
        <v>465</v>
      </c>
      <c r="S3" s="266" t="s">
        <v>465</v>
      </c>
      <c r="T3" s="266" t="s">
        <v>465</v>
      </c>
      <c r="U3" s="266" t="s">
        <v>465</v>
      </c>
      <c r="V3" s="266" t="s">
        <v>465</v>
      </c>
      <c r="W3" s="266" t="s">
        <v>465</v>
      </c>
      <c r="X3" s="266" t="s">
        <v>475</v>
      </c>
      <c r="Y3" s="266" t="s">
        <v>476</v>
      </c>
      <c r="Z3" s="266" t="s">
        <v>465</v>
      </c>
      <c r="AA3" s="263" t="s">
        <v>475</v>
      </c>
      <c r="AB3" s="263" t="s">
        <v>472</v>
      </c>
      <c r="AC3" s="263" t="s">
        <v>477</v>
      </c>
      <c r="AD3" s="263" t="s">
        <v>477</v>
      </c>
      <c r="AE3" s="263" t="s">
        <v>465</v>
      </c>
      <c r="AF3" s="263" t="s">
        <v>478</v>
      </c>
      <c r="AG3" s="263" t="s">
        <v>465</v>
      </c>
      <c r="AH3" s="263" t="s">
        <v>478</v>
      </c>
      <c r="AI3" s="263" t="s">
        <v>479</v>
      </c>
      <c r="AJ3" s="263" t="s">
        <v>480</v>
      </c>
      <c r="AK3" s="263" t="s">
        <v>474</v>
      </c>
      <c r="AL3" s="263" t="s">
        <v>474</v>
      </c>
      <c r="AM3" s="263" t="s">
        <v>474</v>
      </c>
      <c r="AN3" s="263" t="s">
        <v>465</v>
      </c>
      <c r="AO3" s="263" t="s">
        <v>470</v>
      </c>
      <c r="AP3" s="263" t="s">
        <v>474</v>
      </c>
      <c r="AQ3" s="263" t="s">
        <v>465</v>
      </c>
      <c r="AR3" s="263" t="s">
        <v>481</v>
      </c>
      <c r="AS3" s="263" t="s">
        <v>465</v>
      </c>
      <c r="AT3" s="263" t="s">
        <v>467</v>
      </c>
      <c r="AU3" s="263" t="s">
        <v>474</v>
      </c>
      <c r="AV3" s="263" t="s">
        <v>482</v>
      </c>
      <c r="AW3" s="263" t="s">
        <v>474</v>
      </c>
      <c r="AX3" s="263" t="s">
        <v>467</v>
      </c>
      <c r="AY3" s="263" t="s">
        <v>474</v>
      </c>
      <c r="AZ3" s="263" t="s">
        <v>483</v>
      </c>
      <c r="BA3" s="263" t="s">
        <v>472</v>
      </c>
      <c r="BB3" s="263" t="s">
        <v>467</v>
      </c>
      <c r="BC3" s="263" t="s">
        <v>467</v>
      </c>
      <c r="BD3" s="263" t="s">
        <v>467</v>
      </c>
      <c r="BE3" s="263" t="s">
        <v>474</v>
      </c>
      <c r="BF3" s="263" t="s">
        <v>484</v>
      </c>
      <c r="BG3" s="263" t="s">
        <v>485</v>
      </c>
      <c r="BH3" s="263" t="s">
        <v>486</v>
      </c>
      <c r="BI3" s="263" t="s">
        <v>486</v>
      </c>
      <c r="BJ3" s="263" t="s">
        <v>486</v>
      </c>
      <c r="BK3" s="263" t="s">
        <v>486</v>
      </c>
      <c r="BL3" s="263" t="s">
        <v>486</v>
      </c>
      <c r="BM3" s="263" t="s">
        <v>486</v>
      </c>
      <c r="BN3" s="263" t="s">
        <v>486</v>
      </c>
      <c r="BO3" s="263" t="s">
        <v>455</v>
      </c>
      <c r="BP3" s="263" t="s">
        <v>487</v>
      </c>
      <c r="BQ3" s="263" t="s">
        <v>486</v>
      </c>
      <c r="BR3" s="263" t="s">
        <v>486</v>
      </c>
      <c r="BS3" s="263" t="s">
        <v>474</v>
      </c>
      <c r="BT3" s="263" t="s">
        <v>486</v>
      </c>
      <c r="BU3" s="263" t="s">
        <v>486</v>
      </c>
      <c r="BV3" s="263" t="s">
        <v>486</v>
      </c>
      <c r="BW3" s="263" t="s">
        <v>488</v>
      </c>
      <c r="BX3" s="263" t="s">
        <v>489</v>
      </c>
      <c r="BY3" s="263" t="s">
        <v>490</v>
      </c>
      <c r="BZ3" s="263" t="s">
        <v>491</v>
      </c>
      <c r="CA3" s="263" t="s">
        <v>489</v>
      </c>
      <c r="CB3" s="263" t="s">
        <v>474</v>
      </c>
      <c r="CC3" s="321" t="s">
        <v>490</v>
      </c>
      <c r="CD3" s="263" t="s">
        <v>467</v>
      </c>
      <c r="CE3" s="263" t="s">
        <v>474</v>
      </c>
      <c r="CF3" s="263" t="s">
        <v>492</v>
      </c>
      <c r="CG3" s="263" t="s">
        <v>492</v>
      </c>
      <c r="CH3" s="263" t="s">
        <v>474</v>
      </c>
      <c r="CI3" s="263" t="s">
        <v>465</v>
      </c>
      <c r="CJ3" s="263" t="s">
        <v>493</v>
      </c>
      <c r="CK3" s="263" t="s">
        <v>493</v>
      </c>
      <c r="CL3" s="263" t="s">
        <v>474</v>
      </c>
      <c r="CM3" s="263" t="s">
        <v>474</v>
      </c>
      <c r="CN3" s="263"/>
      <c r="CO3" s="263" t="s">
        <v>474</v>
      </c>
      <c r="CP3" s="263" t="s">
        <v>474</v>
      </c>
      <c r="CQ3" s="321" t="s">
        <v>494</v>
      </c>
      <c r="CR3" s="263" t="s">
        <v>494</v>
      </c>
      <c r="CS3" s="263" t="s">
        <v>455</v>
      </c>
      <c r="CT3" s="263" t="s">
        <v>495</v>
      </c>
      <c r="CU3" s="263" t="s">
        <v>465</v>
      </c>
      <c r="CV3" s="263" t="s">
        <v>465</v>
      </c>
      <c r="CW3" s="263" t="s">
        <v>465</v>
      </c>
      <c r="CX3" s="263" t="s">
        <v>496</v>
      </c>
      <c r="CY3" s="263" t="s">
        <v>467</v>
      </c>
      <c r="CZ3" s="263" t="s">
        <v>467</v>
      </c>
      <c r="DA3" s="263" t="s">
        <v>467</v>
      </c>
      <c r="DB3" s="263" t="s">
        <v>467</v>
      </c>
      <c r="DC3" s="263" t="s">
        <v>467</v>
      </c>
      <c r="DD3" s="263" t="s">
        <v>467</v>
      </c>
      <c r="DE3" s="263" t="s">
        <v>497</v>
      </c>
      <c r="DF3" s="263" t="s">
        <v>498</v>
      </c>
      <c r="DG3" s="263" t="s">
        <v>467</v>
      </c>
      <c r="DH3" s="261" t="s">
        <v>499</v>
      </c>
      <c r="DI3" s="257" t="s">
        <v>465</v>
      </c>
      <c r="DJ3" s="257"/>
      <c r="DK3" s="257"/>
      <c r="DL3" s="257"/>
      <c r="DM3" s="257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  <c r="ER3" s="262"/>
      <c r="ES3" s="262"/>
      <c r="ET3" s="262"/>
      <c r="EU3" s="262"/>
      <c r="EV3" s="262"/>
      <c r="EW3" s="262"/>
      <c r="EX3" s="262"/>
      <c r="EY3" s="262"/>
      <c r="EZ3" s="262"/>
      <c r="FA3" s="262"/>
      <c r="FB3" s="262"/>
      <c r="FC3" s="262"/>
      <c r="FD3" s="262"/>
      <c r="FE3" s="262"/>
      <c r="FF3" s="262"/>
      <c r="FG3" s="262"/>
      <c r="FH3" s="262"/>
      <c r="FI3" s="262"/>
      <c r="FJ3" s="262"/>
      <c r="FK3" s="262"/>
      <c r="FL3" s="262"/>
      <c r="FM3" s="262"/>
      <c r="FN3" s="262"/>
      <c r="FO3" s="262"/>
      <c r="FP3" s="262"/>
      <c r="FQ3" s="262"/>
      <c r="FR3" s="262"/>
      <c r="FS3" s="262"/>
      <c r="FT3" s="262"/>
      <c r="FU3" s="262"/>
      <c r="FV3" s="262"/>
      <c r="FW3" s="262"/>
      <c r="FX3" s="262"/>
      <c r="FY3" s="262"/>
      <c r="FZ3" s="262"/>
      <c r="GA3" s="262"/>
      <c r="GB3" s="262"/>
      <c r="GC3" s="262"/>
      <c r="GD3" s="262"/>
      <c r="GE3" s="262"/>
      <c r="GF3" s="262"/>
      <c r="GG3" s="262"/>
      <c r="GH3" s="262"/>
      <c r="GI3" s="262"/>
      <c r="GJ3" s="262"/>
      <c r="GK3" s="262"/>
      <c r="GL3" s="262"/>
      <c r="GM3" s="262"/>
      <c r="GN3" s="262"/>
      <c r="GO3" s="262"/>
      <c r="GP3" s="262"/>
      <c r="GQ3" s="262"/>
      <c r="GR3" s="262"/>
      <c r="GS3" s="262"/>
      <c r="GT3" s="262"/>
      <c r="GU3" s="262"/>
      <c r="GV3" s="262"/>
      <c r="GW3" s="262"/>
      <c r="GX3" s="262"/>
      <c r="GY3" s="262"/>
      <c r="GZ3" s="262"/>
      <c r="HA3" s="262"/>
      <c r="HB3" s="262"/>
      <c r="HC3" s="262"/>
      <c r="HD3" s="262"/>
      <c r="HE3" s="262"/>
      <c r="HF3" s="262"/>
      <c r="HG3" s="262"/>
      <c r="HH3" s="262"/>
      <c r="HI3" s="262"/>
      <c r="HJ3" s="262"/>
      <c r="HK3" s="262"/>
      <c r="HL3" s="262"/>
      <c r="HM3" s="262"/>
      <c r="HN3" s="262"/>
      <c r="HO3" s="262"/>
      <c r="HP3" s="262"/>
      <c r="HQ3" s="262"/>
      <c r="HR3" s="262"/>
      <c r="HS3" s="262"/>
      <c r="HT3" s="262"/>
      <c r="HU3" s="262"/>
      <c r="HV3" s="262"/>
      <c r="HW3" s="262"/>
      <c r="HX3" s="262"/>
      <c r="HY3" s="262"/>
      <c r="HZ3" s="262"/>
      <c r="IA3" s="262"/>
      <c r="IB3" s="262"/>
      <c r="IC3" s="262"/>
      <c r="ID3" s="262"/>
      <c r="IE3" s="262"/>
      <c r="IF3" s="262"/>
      <c r="IG3" s="262"/>
      <c r="IH3" s="262"/>
      <c r="II3" s="262"/>
      <c r="IJ3" s="262"/>
      <c r="IK3" s="262"/>
      <c r="IL3" s="262"/>
      <c r="IM3" s="262"/>
      <c r="IN3" s="262"/>
      <c r="IO3" s="262"/>
    </row>
    <row r="4" spans="1:249" s="280" customFormat="1" ht="101.25">
      <c r="A4" s="268"/>
      <c r="B4" s="269" t="s">
        <v>500</v>
      </c>
      <c r="C4" s="270" t="s">
        <v>307</v>
      </c>
      <c r="D4" s="271" t="s">
        <v>270</v>
      </c>
      <c r="E4" s="272" t="s">
        <v>305</v>
      </c>
      <c r="F4" s="273" t="s">
        <v>306</v>
      </c>
      <c r="G4" s="271" t="s">
        <v>303</v>
      </c>
      <c r="H4" s="271" t="s">
        <v>308</v>
      </c>
      <c r="I4" s="271" t="s">
        <v>304</v>
      </c>
      <c r="J4" s="271" t="s">
        <v>501</v>
      </c>
      <c r="K4" s="271" t="s">
        <v>302</v>
      </c>
      <c r="L4" s="270" t="s">
        <v>502</v>
      </c>
      <c r="M4" s="274" t="s">
        <v>283</v>
      </c>
      <c r="N4" s="275" t="s">
        <v>284</v>
      </c>
      <c r="O4" s="274" t="s">
        <v>285</v>
      </c>
      <c r="P4" s="275" t="s">
        <v>286</v>
      </c>
      <c r="Q4" s="275" t="s">
        <v>287</v>
      </c>
      <c r="R4" s="275" t="s">
        <v>288</v>
      </c>
      <c r="S4" s="274" t="s">
        <v>289</v>
      </c>
      <c r="T4" s="275" t="s">
        <v>290</v>
      </c>
      <c r="U4" s="275" t="s">
        <v>291</v>
      </c>
      <c r="V4" s="274" t="s">
        <v>292</v>
      </c>
      <c r="W4" s="275" t="s">
        <v>293</v>
      </c>
      <c r="X4" s="274" t="s">
        <v>281</v>
      </c>
      <c r="Y4" s="275" t="s">
        <v>503</v>
      </c>
      <c r="Z4" s="274" t="s">
        <v>282</v>
      </c>
      <c r="AA4" s="270" t="s">
        <v>294</v>
      </c>
      <c r="AB4" s="270" t="s">
        <v>504</v>
      </c>
      <c r="AC4" s="270" t="s">
        <v>505</v>
      </c>
      <c r="AD4" s="270" t="s">
        <v>506</v>
      </c>
      <c r="AE4" s="271" t="s">
        <v>507</v>
      </c>
      <c r="AF4" s="271" t="s">
        <v>508</v>
      </c>
      <c r="AG4" s="271" t="s">
        <v>509</v>
      </c>
      <c r="AH4" s="271" t="s">
        <v>510</v>
      </c>
      <c r="AI4" s="270" t="s">
        <v>511</v>
      </c>
      <c r="AJ4" s="270" t="s">
        <v>300</v>
      </c>
      <c r="AK4" s="271" t="s">
        <v>298</v>
      </c>
      <c r="AL4" s="271" t="s">
        <v>296</v>
      </c>
      <c r="AM4" s="271" t="s">
        <v>301</v>
      </c>
      <c r="AN4" s="271" t="s">
        <v>297</v>
      </c>
      <c r="AO4" s="271" t="s">
        <v>512</v>
      </c>
      <c r="AP4" s="271" t="s">
        <v>299</v>
      </c>
      <c r="AQ4" s="270" t="s">
        <v>415</v>
      </c>
      <c r="AR4" s="271" t="s">
        <v>417</v>
      </c>
      <c r="AS4" s="271" t="s">
        <v>416</v>
      </c>
      <c r="AT4" s="270" t="s">
        <v>318</v>
      </c>
      <c r="AU4" s="271" t="s">
        <v>513</v>
      </c>
      <c r="AV4" s="271" t="s">
        <v>323</v>
      </c>
      <c r="AW4" s="271" t="s">
        <v>319</v>
      </c>
      <c r="AX4" s="271" t="s">
        <v>322</v>
      </c>
      <c r="AY4" s="271" t="s">
        <v>514</v>
      </c>
      <c r="AZ4" s="271" t="s">
        <v>418</v>
      </c>
      <c r="BA4" s="271" t="s">
        <v>325</v>
      </c>
      <c r="BB4" s="271" t="s">
        <v>320</v>
      </c>
      <c r="BC4" s="271" t="s">
        <v>321</v>
      </c>
      <c r="BD4" s="276" t="s">
        <v>324</v>
      </c>
      <c r="BE4" s="270">
        <v>121</v>
      </c>
      <c r="BF4" s="271" t="s">
        <v>426</v>
      </c>
      <c r="BG4" s="271" t="s">
        <v>425</v>
      </c>
      <c r="BH4" s="271" t="s">
        <v>427</v>
      </c>
      <c r="BI4" s="271" t="s">
        <v>515</v>
      </c>
      <c r="BJ4" s="271" t="s">
        <v>428</v>
      </c>
      <c r="BK4" s="271" t="s">
        <v>421</v>
      </c>
      <c r="BL4" s="271" t="s">
        <v>423</v>
      </c>
      <c r="BM4" s="271" t="s">
        <v>433</v>
      </c>
      <c r="BN4" s="271" t="s">
        <v>422</v>
      </c>
      <c r="BO4" s="271" t="s">
        <v>516</v>
      </c>
      <c r="BP4" s="271" t="s">
        <v>430</v>
      </c>
      <c r="BQ4" s="271" t="s">
        <v>432</v>
      </c>
      <c r="BR4" s="271" t="s">
        <v>431</v>
      </c>
      <c r="BS4" s="271" t="s">
        <v>429</v>
      </c>
      <c r="BT4" s="271" t="s">
        <v>424</v>
      </c>
      <c r="BU4" s="271" t="s">
        <v>419</v>
      </c>
      <c r="BV4" s="271" t="s">
        <v>420</v>
      </c>
      <c r="BW4" s="270" t="s">
        <v>317</v>
      </c>
      <c r="BX4" s="271" t="s">
        <v>316</v>
      </c>
      <c r="BY4" s="271" t="s">
        <v>311</v>
      </c>
      <c r="BZ4" s="271" t="s">
        <v>314</v>
      </c>
      <c r="CA4" s="271" t="s">
        <v>315</v>
      </c>
      <c r="CB4" s="271" t="s">
        <v>313</v>
      </c>
      <c r="CC4" s="395" t="s">
        <v>309</v>
      </c>
      <c r="CD4" s="271" t="s">
        <v>310</v>
      </c>
      <c r="CE4" s="271" t="s">
        <v>312</v>
      </c>
      <c r="CF4" s="270" t="s">
        <v>517</v>
      </c>
      <c r="CG4" s="271" t="s">
        <v>518</v>
      </c>
      <c r="CH4" s="271" t="s">
        <v>414</v>
      </c>
      <c r="CI4" s="271" t="s">
        <v>519</v>
      </c>
      <c r="CJ4" s="277" t="s">
        <v>520</v>
      </c>
      <c r="CK4" s="277" t="s">
        <v>521</v>
      </c>
      <c r="CL4" s="277" t="s">
        <v>522</v>
      </c>
      <c r="CM4" s="277" t="s">
        <v>523</v>
      </c>
      <c r="CN4" s="277" t="s">
        <v>524</v>
      </c>
      <c r="CO4" s="277" t="s">
        <v>525</v>
      </c>
      <c r="CP4" s="277" t="s">
        <v>526</v>
      </c>
      <c r="CQ4" s="322" t="s">
        <v>527</v>
      </c>
      <c r="CR4" s="278" t="s">
        <v>528</v>
      </c>
      <c r="CS4" s="278" t="s">
        <v>529</v>
      </c>
      <c r="CT4" s="278" t="s">
        <v>530</v>
      </c>
      <c r="CU4" s="278" t="s">
        <v>531</v>
      </c>
      <c r="CV4" s="278" t="s">
        <v>532</v>
      </c>
      <c r="CW4" s="278" t="s">
        <v>533</v>
      </c>
      <c r="CX4" s="278" t="s">
        <v>534</v>
      </c>
      <c r="CY4" s="278" t="s">
        <v>535</v>
      </c>
      <c r="CZ4" s="278" t="s">
        <v>536</v>
      </c>
      <c r="DA4" s="278" t="s">
        <v>537</v>
      </c>
      <c r="DB4" s="278" t="s">
        <v>538</v>
      </c>
      <c r="DC4" s="278" t="s">
        <v>539</v>
      </c>
      <c r="DD4" s="278" t="s">
        <v>540</v>
      </c>
      <c r="DE4" s="279" t="s">
        <v>271</v>
      </c>
      <c r="DF4" s="279" t="s">
        <v>541</v>
      </c>
      <c r="DG4" s="279" t="s">
        <v>542</v>
      </c>
      <c r="DH4" s="279" t="s">
        <v>543</v>
      </c>
      <c r="DI4" s="279" t="s">
        <v>544</v>
      </c>
      <c r="DJ4" s="279" t="s">
        <v>545</v>
      </c>
      <c r="DK4" s="279" t="s">
        <v>546</v>
      </c>
      <c r="DL4" s="279" t="s">
        <v>547</v>
      </c>
      <c r="DM4" s="279" t="s">
        <v>548</v>
      </c>
      <c r="DN4" s="279" t="s">
        <v>549</v>
      </c>
      <c r="DO4" s="279" t="s">
        <v>550</v>
      </c>
      <c r="DP4" s="279" t="s">
        <v>551</v>
      </c>
      <c r="DQ4" s="279" t="s">
        <v>552</v>
      </c>
      <c r="DR4" s="279" t="s">
        <v>553</v>
      </c>
      <c r="DS4" s="279" t="s">
        <v>554</v>
      </c>
      <c r="DT4" s="279" t="s">
        <v>555</v>
      </c>
      <c r="DU4" s="279" t="s">
        <v>556</v>
      </c>
      <c r="DV4" s="280" t="s">
        <v>557</v>
      </c>
      <c r="DW4" s="280" t="s">
        <v>558</v>
      </c>
      <c r="DX4" s="280" t="s">
        <v>559</v>
      </c>
      <c r="DY4" s="280" t="s">
        <v>560</v>
      </c>
      <c r="DZ4" s="280" t="s">
        <v>561</v>
      </c>
      <c r="EA4" s="280" t="s">
        <v>562</v>
      </c>
      <c r="EB4" s="280" t="s">
        <v>563</v>
      </c>
      <c r="EC4" s="280" t="s">
        <v>564</v>
      </c>
      <c r="ED4" s="280" t="s">
        <v>565</v>
      </c>
      <c r="EE4" s="280" t="s">
        <v>566</v>
      </c>
      <c r="EF4" s="281" t="s">
        <v>567</v>
      </c>
      <c r="EG4" s="281" t="s">
        <v>568</v>
      </c>
      <c r="EH4" s="281" t="s">
        <v>569</v>
      </c>
      <c r="EI4" s="281" t="s">
        <v>570</v>
      </c>
    </row>
    <row r="5" spans="1:249" s="125" customFormat="1">
      <c r="A5" s="282"/>
      <c r="B5" s="283" t="s">
        <v>571</v>
      </c>
      <c r="C5" s="671" t="s">
        <v>572</v>
      </c>
      <c r="D5" s="672"/>
      <c r="E5" s="672"/>
      <c r="F5" s="672"/>
      <c r="G5" s="672"/>
      <c r="H5" s="672"/>
      <c r="I5" s="672"/>
      <c r="J5" s="672"/>
      <c r="K5" s="673"/>
      <c r="L5" s="284" t="s">
        <v>573</v>
      </c>
      <c r="M5" s="285" t="s">
        <v>574</v>
      </c>
      <c r="N5" s="286"/>
      <c r="O5" s="674" t="s">
        <v>575</v>
      </c>
      <c r="P5" s="675"/>
      <c r="Q5" s="675"/>
      <c r="R5" s="676"/>
      <c r="S5" s="674" t="s">
        <v>576</v>
      </c>
      <c r="T5" s="675"/>
      <c r="U5" s="676"/>
      <c r="V5" s="674" t="s">
        <v>577</v>
      </c>
      <c r="W5" s="676"/>
      <c r="X5" s="674" t="s">
        <v>281</v>
      </c>
      <c r="Y5" s="676"/>
      <c r="Z5" s="287" t="s">
        <v>282</v>
      </c>
      <c r="AA5" s="284" t="s">
        <v>294</v>
      </c>
      <c r="AB5" s="284" t="s">
        <v>504</v>
      </c>
      <c r="AC5" s="284" t="s">
        <v>505</v>
      </c>
      <c r="AD5" s="671" t="s">
        <v>578</v>
      </c>
      <c r="AE5" s="672"/>
      <c r="AF5" s="672"/>
      <c r="AG5" s="672"/>
      <c r="AH5" s="673"/>
      <c r="AI5" s="284" t="s">
        <v>511</v>
      </c>
      <c r="AJ5" s="671" t="s">
        <v>295</v>
      </c>
      <c r="AK5" s="672"/>
      <c r="AL5" s="672"/>
      <c r="AM5" s="672"/>
      <c r="AN5" s="672"/>
      <c r="AO5" s="672"/>
      <c r="AP5" s="673"/>
      <c r="AQ5" s="671" t="s">
        <v>579</v>
      </c>
      <c r="AR5" s="672"/>
      <c r="AS5" s="673"/>
      <c r="AT5" s="671" t="s">
        <v>580</v>
      </c>
      <c r="AU5" s="672"/>
      <c r="AV5" s="672"/>
      <c r="AW5" s="672"/>
      <c r="AX5" s="672"/>
      <c r="AY5" s="672"/>
      <c r="AZ5" s="672"/>
      <c r="BA5" s="672"/>
      <c r="BB5" s="672"/>
      <c r="BC5" s="672"/>
      <c r="BD5" s="673"/>
      <c r="BE5" s="671" t="s">
        <v>581</v>
      </c>
      <c r="BF5" s="672"/>
      <c r="BG5" s="672"/>
      <c r="BH5" s="672"/>
      <c r="BI5" s="672"/>
      <c r="BJ5" s="672"/>
      <c r="BK5" s="672"/>
      <c r="BL5" s="672"/>
      <c r="BM5" s="672"/>
      <c r="BN5" s="672"/>
      <c r="BO5" s="672"/>
      <c r="BP5" s="672"/>
      <c r="BQ5" s="672"/>
      <c r="BR5" s="672"/>
      <c r="BS5" s="672"/>
      <c r="BT5" s="672"/>
      <c r="BU5" s="672"/>
      <c r="BV5" s="673"/>
      <c r="BW5" s="671" t="s">
        <v>582</v>
      </c>
      <c r="BX5" s="672"/>
      <c r="BY5" s="672"/>
      <c r="BZ5" s="672"/>
      <c r="CA5" s="672"/>
      <c r="CB5" s="672"/>
      <c r="CC5" s="672"/>
      <c r="CD5" s="672"/>
      <c r="CE5" s="673"/>
      <c r="CF5" s="671" t="s">
        <v>492</v>
      </c>
      <c r="CG5" s="672"/>
      <c r="CH5" s="672"/>
      <c r="CI5" s="673"/>
      <c r="CJ5" s="671" t="s">
        <v>583</v>
      </c>
      <c r="CK5" s="672"/>
      <c r="CL5" s="672"/>
      <c r="CM5" s="672"/>
      <c r="CN5" s="672"/>
      <c r="CO5" s="672"/>
      <c r="CP5" s="672"/>
      <c r="CQ5" s="323"/>
      <c r="CR5" s="283"/>
      <c r="CS5" s="283"/>
      <c r="CT5" s="283"/>
      <c r="CU5" s="283"/>
      <c r="CV5" s="283"/>
      <c r="CW5" s="283"/>
      <c r="CX5" s="283"/>
      <c r="CY5" s="283"/>
      <c r="CZ5" s="283"/>
      <c r="DA5" s="283"/>
      <c r="DB5" s="283"/>
      <c r="DC5" s="283"/>
      <c r="DD5" s="283"/>
      <c r="DE5" s="283"/>
      <c r="DF5" s="283"/>
      <c r="DG5" s="283"/>
      <c r="DH5" s="283"/>
      <c r="DI5" s="283"/>
      <c r="DJ5" s="283"/>
      <c r="DK5" s="283"/>
      <c r="DL5" s="283"/>
      <c r="DM5" s="283"/>
      <c r="EF5" s="288"/>
      <c r="EG5" s="288"/>
      <c r="EH5" s="288"/>
      <c r="EI5" s="288"/>
    </row>
    <row r="6" spans="1:249" s="290" customFormat="1" ht="25.5" customHeight="1">
      <c r="A6" s="289" t="s">
        <v>584</v>
      </c>
      <c r="B6" s="290" t="s">
        <v>585</v>
      </c>
      <c r="C6" s="291"/>
      <c r="D6" s="291"/>
      <c r="E6" s="291"/>
      <c r="F6" s="292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3"/>
      <c r="Z6" s="291"/>
      <c r="AA6" s="291"/>
      <c r="AB6" s="291"/>
      <c r="AC6" s="291"/>
      <c r="AD6" s="291"/>
      <c r="AE6" s="291" t="s">
        <v>586</v>
      </c>
      <c r="AF6" s="291" t="s">
        <v>586</v>
      </c>
      <c r="AG6" s="291" t="s">
        <v>586</v>
      </c>
      <c r="AH6" s="291" t="s">
        <v>586</v>
      </c>
      <c r="AI6" s="291"/>
      <c r="AJ6" s="291"/>
      <c r="AK6" s="291"/>
      <c r="AL6" s="291"/>
      <c r="AM6" s="291"/>
      <c r="AN6" s="291" t="s">
        <v>587</v>
      </c>
      <c r="AO6" s="291"/>
      <c r="AP6" s="291"/>
      <c r="AQ6" s="291" t="s">
        <v>588</v>
      </c>
      <c r="AR6" s="291"/>
      <c r="AS6" s="291"/>
      <c r="AT6" s="291"/>
      <c r="AU6" s="291"/>
      <c r="AV6" s="291"/>
      <c r="AW6" s="291"/>
      <c r="AX6" s="291"/>
      <c r="AY6" s="291"/>
      <c r="AZ6" s="291" t="s">
        <v>458</v>
      </c>
      <c r="BA6" s="291"/>
      <c r="BB6" s="291"/>
      <c r="BC6" s="291"/>
      <c r="BD6" s="291"/>
      <c r="BE6" s="291"/>
      <c r="BF6" s="291"/>
      <c r="BG6" s="291"/>
      <c r="BH6" s="291"/>
      <c r="BI6" s="291"/>
      <c r="BJ6" s="291"/>
      <c r="BK6" s="291"/>
      <c r="BL6" s="291"/>
      <c r="BM6" s="291"/>
      <c r="BN6" s="291"/>
      <c r="BO6" s="291"/>
      <c r="BP6" s="291"/>
      <c r="BQ6" s="291"/>
      <c r="BR6" s="291"/>
      <c r="BS6" s="291"/>
      <c r="BT6" s="291"/>
      <c r="BU6" s="291"/>
      <c r="BV6" s="291"/>
      <c r="BW6" s="291"/>
      <c r="BX6" s="291" t="s">
        <v>589</v>
      </c>
      <c r="BY6" s="291" t="s">
        <v>458</v>
      </c>
      <c r="BZ6" s="291" t="s">
        <v>589</v>
      </c>
      <c r="CA6" s="291" t="s">
        <v>590</v>
      </c>
      <c r="CB6" s="291"/>
      <c r="CC6" s="396" t="s">
        <v>458</v>
      </c>
      <c r="CD6" s="291"/>
      <c r="CE6" s="291"/>
      <c r="CF6" s="291" t="s">
        <v>591</v>
      </c>
      <c r="CG6" s="291" t="s">
        <v>592</v>
      </c>
      <c r="CH6" s="291"/>
      <c r="CI6" s="291" t="s">
        <v>593</v>
      </c>
      <c r="CJ6" s="291"/>
      <c r="CK6" s="291"/>
      <c r="CL6" s="291"/>
      <c r="CM6" s="291"/>
      <c r="CN6" s="291"/>
      <c r="CO6" s="291"/>
      <c r="CP6" s="291"/>
      <c r="CQ6" s="324"/>
      <c r="CX6" s="290" t="s">
        <v>594</v>
      </c>
      <c r="CZ6" s="290" t="s">
        <v>595</v>
      </c>
      <c r="DA6" s="290" t="s">
        <v>595</v>
      </c>
      <c r="DB6" s="290" t="s">
        <v>595</v>
      </c>
      <c r="DC6" s="290" t="s">
        <v>595</v>
      </c>
      <c r="DD6" s="290" t="s">
        <v>595</v>
      </c>
      <c r="EF6" s="294"/>
      <c r="EG6" s="294"/>
      <c r="EH6" s="294"/>
      <c r="EI6" s="294"/>
    </row>
    <row r="7" spans="1:249">
      <c r="A7" s="295">
        <v>1000</v>
      </c>
      <c r="B7" s="258" t="s">
        <v>28</v>
      </c>
      <c r="C7" s="258">
        <v>0</v>
      </c>
      <c r="D7" s="258">
        <v>38</v>
      </c>
      <c r="E7" s="296">
        <v>0</v>
      </c>
      <c r="G7" s="258">
        <v>0</v>
      </c>
      <c r="H7" s="258">
        <v>0</v>
      </c>
      <c r="I7" s="258">
        <v>0</v>
      </c>
      <c r="J7" s="258">
        <v>0</v>
      </c>
      <c r="K7" s="258">
        <v>15</v>
      </c>
      <c r="L7" s="258">
        <v>0</v>
      </c>
      <c r="M7" s="257">
        <v>0</v>
      </c>
      <c r="N7" s="257">
        <v>0</v>
      </c>
      <c r="O7" s="257">
        <v>0</v>
      </c>
      <c r="P7" s="257">
        <v>0</v>
      </c>
      <c r="Q7" s="257">
        <v>0</v>
      </c>
      <c r="R7" s="257">
        <v>0</v>
      </c>
      <c r="X7" s="257">
        <v>122</v>
      </c>
      <c r="Z7" s="257">
        <v>0</v>
      </c>
      <c r="AA7" s="257">
        <v>0</v>
      </c>
      <c r="AC7" s="258">
        <v>0</v>
      </c>
      <c r="AE7" s="258">
        <v>30</v>
      </c>
      <c r="AF7" s="258">
        <v>204.45263157894738</v>
      </c>
      <c r="AG7" s="258">
        <v>58269</v>
      </c>
      <c r="AH7" s="258">
        <v>18.933344537815131</v>
      </c>
      <c r="AJ7" s="258">
        <v>0</v>
      </c>
      <c r="AN7" s="258">
        <v>0</v>
      </c>
      <c r="AQ7" s="258">
        <v>0</v>
      </c>
      <c r="AR7" s="258">
        <v>0</v>
      </c>
      <c r="AS7" s="258">
        <v>0</v>
      </c>
      <c r="AT7" s="258">
        <v>1</v>
      </c>
      <c r="AV7" s="258">
        <v>0</v>
      </c>
      <c r="AW7" s="296"/>
      <c r="AX7" s="258">
        <v>0</v>
      </c>
      <c r="AZ7" s="258">
        <v>0</v>
      </c>
      <c r="BB7" s="258">
        <v>0</v>
      </c>
      <c r="BC7" s="258">
        <v>0</v>
      </c>
      <c r="BD7" s="297" t="s">
        <v>214</v>
      </c>
      <c r="BF7" s="258">
        <v>73.2</v>
      </c>
      <c r="BG7" s="258">
        <v>20</v>
      </c>
      <c r="BO7" s="258">
        <v>0</v>
      </c>
      <c r="BP7" s="258">
        <v>0</v>
      </c>
      <c r="BW7" s="258">
        <v>0</v>
      </c>
      <c r="BX7" s="258">
        <v>0</v>
      </c>
      <c r="BY7" s="258">
        <v>2007</v>
      </c>
      <c r="BZ7" s="258">
        <v>453</v>
      </c>
      <c r="CA7" s="258">
        <v>1900.7</v>
      </c>
      <c r="CC7" s="325">
        <v>370</v>
      </c>
      <c r="CD7" s="258">
        <v>0</v>
      </c>
      <c r="CJ7" s="258">
        <v>0</v>
      </c>
      <c r="CK7" s="258">
        <v>0</v>
      </c>
      <c r="CQ7" s="325">
        <v>73.2</v>
      </c>
      <c r="CR7" s="258">
        <v>18.600000000000001</v>
      </c>
      <c r="CS7" s="258">
        <v>0</v>
      </c>
      <c r="CT7" s="258">
        <v>38</v>
      </c>
      <c r="CU7" s="258">
        <v>0</v>
      </c>
      <c r="CV7" s="258">
        <v>0</v>
      </c>
      <c r="CW7" s="258">
        <v>0</v>
      </c>
      <c r="DE7" s="258">
        <v>0</v>
      </c>
      <c r="DF7" s="298">
        <v>0</v>
      </c>
      <c r="DG7" s="258" t="s">
        <v>208</v>
      </c>
      <c r="DH7" s="258">
        <v>1</v>
      </c>
      <c r="DI7" s="258">
        <v>0</v>
      </c>
      <c r="DJ7" s="258">
        <v>10.263157894736842</v>
      </c>
      <c r="DK7" s="258">
        <v>11.368421052631579</v>
      </c>
      <c r="DL7" s="258">
        <v>8.3684210526315788</v>
      </c>
      <c r="DM7" s="258">
        <v>20670</v>
      </c>
      <c r="DN7" s="258">
        <v>18360</v>
      </c>
      <c r="DO7" s="258">
        <v>19239</v>
      </c>
      <c r="DP7" s="258">
        <v>72.526315789473685</v>
      </c>
      <c r="DQ7" s="258">
        <v>64.421052631578945</v>
      </c>
      <c r="DR7" s="258">
        <v>67.505263157894731</v>
      </c>
      <c r="DS7" s="258">
        <v>6.7163025210084051</v>
      </c>
      <c r="DT7" s="258">
        <v>5.9657142857142871</v>
      </c>
      <c r="DU7" s="258">
        <v>6.251327731092438</v>
      </c>
      <c r="DZ7" s="259">
        <v>0</v>
      </c>
      <c r="EA7" s="259">
        <v>0</v>
      </c>
      <c r="EB7" s="259">
        <v>5</v>
      </c>
      <c r="EC7" s="259">
        <v>3</v>
      </c>
      <c r="ED7" s="259">
        <v>0</v>
      </c>
      <c r="EE7" s="259">
        <v>2</v>
      </c>
      <c r="EF7" s="262">
        <v>0</v>
      </c>
      <c r="EG7" s="262">
        <v>0</v>
      </c>
      <c r="EH7" s="262">
        <v>8</v>
      </c>
      <c r="EI7" s="262">
        <v>14</v>
      </c>
    </row>
    <row r="8" spans="1:249">
      <c r="A8" s="295">
        <v>1001</v>
      </c>
      <c r="B8" s="258" t="s">
        <v>29</v>
      </c>
      <c r="C8" s="258">
        <v>0</v>
      </c>
      <c r="D8" s="258">
        <v>35</v>
      </c>
      <c r="E8" s="296">
        <v>0</v>
      </c>
      <c r="G8" s="258">
        <v>0</v>
      </c>
      <c r="H8" s="258">
        <v>0</v>
      </c>
      <c r="I8" s="258">
        <v>0</v>
      </c>
      <c r="J8" s="258">
        <v>0</v>
      </c>
      <c r="K8" s="258">
        <v>0</v>
      </c>
      <c r="L8" s="258">
        <v>0</v>
      </c>
      <c r="M8" s="257">
        <v>0</v>
      </c>
      <c r="N8" s="257">
        <v>0</v>
      </c>
      <c r="O8" s="257">
        <v>0</v>
      </c>
      <c r="P8" s="257">
        <v>0</v>
      </c>
      <c r="Q8" s="257">
        <v>0</v>
      </c>
      <c r="R8" s="257">
        <v>0</v>
      </c>
      <c r="X8" s="257">
        <v>98</v>
      </c>
      <c r="Z8" s="257">
        <v>0</v>
      </c>
      <c r="AA8" s="257">
        <v>0</v>
      </c>
      <c r="AC8" s="258">
        <v>0</v>
      </c>
      <c r="AE8" s="258">
        <v>30</v>
      </c>
      <c r="AF8" s="258">
        <v>183.72631578947369</v>
      </c>
      <c r="AG8" s="258">
        <v>52362</v>
      </c>
      <c r="AH8" s="258">
        <v>17.330884427563753</v>
      </c>
      <c r="AJ8" s="258">
        <v>0</v>
      </c>
      <c r="AN8" s="258">
        <v>0</v>
      </c>
      <c r="AQ8" s="258">
        <v>0</v>
      </c>
      <c r="AR8" s="258">
        <v>0</v>
      </c>
      <c r="AS8" s="258">
        <v>0</v>
      </c>
      <c r="AT8" s="258">
        <v>1</v>
      </c>
      <c r="AV8" s="258">
        <v>0</v>
      </c>
      <c r="AW8" s="296"/>
      <c r="AX8" s="258">
        <v>0</v>
      </c>
      <c r="AZ8" s="258">
        <v>0</v>
      </c>
      <c r="BB8" s="258">
        <v>0</v>
      </c>
      <c r="BC8" s="258">
        <v>0</v>
      </c>
      <c r="BD8" s="297" t="s">
        <v>214</v>
      </c>
      <c r="BF8" s="258">
        <v>58.8</v>
      </c>
      <c r="BG8" s="258">
        <v>10</v>
      </c>
      <c r="BO8" s="258">
        <v>0</v>
      </c>
      <c r="BP8" s="258">
        <v>0</v>
      </c>
      <c r="BW8" s="258">
        <v>0</v>
      </c>
      <c r="BX8" s="258">
        <v>0</v>
      </c>
      <c r="BY8" s="258">
        <v>2000</v>
      </c>
      <c r="BZ8" s="258">
        <v>472</v>
      </c>
      <c r="CA8" s="258">
        <v>8752.2482014388497</v>
      </c>
      <c r="CC8" s="325">
        <v>200</v>
      </c>
      <c r="CD8" s="258">
        <v>0</v>
      </c>
      <c r="CJ8" s="258">
        <v>0</v>
      </c>
      <c r="CK8" s="258">
        <v>0</v>
      </c>
      <c r="CQ8" s="325">
        <v>58.8</v>
      </c>
      <c r="CR8" s="258">
        <v>1.8</v>
      </c>
      <c r="CS8" s="258">
        <v>0</v>
      </c>
      <c r="CT8" s="258">
        <v>35</v>
      </c>
      <c r="CU8" s="258">
        <v>0</v>
      </c>
      <c r="CV8" s="258">
        <v>0</v>
      </c>
      <c r="CW8" s="258">
        <v>0</v>
      </c>
      <c r="DE8" s="258">
        <v>0</v>
      </c>
      <c r="DF8" s="298">
        <v>0</v>
      </c>
      <c r="DG8" s="258" t="s">
        <v>208</v>
      </c>
      <c r="DH8" s="258">
        <v>1</v>
      </c>
      <c r="DI8" s="258">
        <v>0</v>
      </c>
      <c r="DJ8" s="258">
        <v>10.263157894736842</v>
      </c>
      <c r="DK8" s="258">
        <v>11.368421052631579</v>
      </c>
      <c r="DL8" s="258">
        <v>8.3684210526315788</v>
      </c>
      <c r="DM8" s="258">
        <v>19500</v>
      </c>
      <c r="DN8" s="258">
        <v>17280</v>
      </c>
      <c r="DO8" s="258">
        <v>15582</v>
      </c>
      <c r="DP8" s="258">
        <v>68.421052631578945</v>
      </c>
      <c r="DQ8" s="258">
        <v>60.631578947368418</v>
      </c>
      <c r="DR8" s="258">
        <v>54.673684210526311</v>
      </c>
      <c r="DS8" s="258">
        <v>6.4541508410200752</v>
      </c>
      <c r="DT8" s="258">
        <v>5.7193705914270199</v>
      </c>
      <c r="DU8" s="258">
        <v>5.1573629951166566</v>
      </c>
      <c r="DZ8" s="259">
        <v>0</v>
      </c>
      <c r="EA8" s="259">
        <v>0</v>
      </c>
      <c r="EB8" s="259">
        <v>1</v>
      </c>
      <c r="EC8" s="259">
        <v>5</v>
      </c>
      <c r="ED8" s="259">
        <v>0</v>
      </c>
      <c r="EE8" s="259">
        <v>2</v>
      </c>
      <c r="EF8" s="262">
        <v>0</v>
      </c>
      <c r="EG8" s="262">
        <v>0</v>
      </c>
      <c r="EH8" s="262">
        <v>2</v>
      </c>
      <c r="EI8" s="262">
        <v>29</v>
      </c>
    </row>
    <row r="9" spans="1:249">
      <c r="A9" s="295">
        <v>1002</v>
      </c>
      <c r="B9" s="258" t="s">
        <v>30</v>
      </c>
      <c r="C9" s="258">
        <v>0</v>
      </c>
      <c r="D9" s="258">
        <v>52</v>
      </c>
      <c r="E9" s="296">
        <v>0</v>
      </c>
      <c r="G9" s="258">
        <v>0</v>
      </c>
      <c r="H9" s="258">
        <v>0</v>
      </c>
      <c r="I9" s="258">
        <v>0</v>
      </c>
      <c r="J9" s="258">
        <v>0</v>
      </c>
      <c r="K9" s="258">
        <v>30</v>
      </c>
      <c r="L9" s="258">
        <v>0</v>
      </c>
      <c r="M9" s="257">
        <v>0</v>
      </c>
      <c r="N9" s="257">
        <v>0</v>
      </c>
      <c r="O9" s="257">
        <v>0</v>
      </c>
      <c r="P9" s="257">
        <v>0</v>
      </c>
      <c r="Q9" s="257">
        <v>0</v>
      </c>
      <c r="R9" s="257">
        <v>0</v>
      </c>
      <c r="X9" s="257">
        <v>142</v>
      </c>
      <c r="Z9" s="257">
        <v>0</v>
      </c>
      <c r="AA9" s="257">
        <v>0</v>
      </c>
      <c r="AC9" s="258">
        <v>0</v>
      </c>
      <c r="AE9" s="258">
        <v>30</v>
      </c>
      <c r="AF9" s="258">
        <v>0</v>
      </c>
      <c r="AG9" s="258">
        <v>72774</v>
      </c>
      <c r="AH9" s="258">
        <v>20.913309117865076</v>
      </c>
      <c r="AJ9" s="258">
        <v>0</v>
      </c>
      <c r="AN9" s="258">
        <v>0</v>
      </c>
      <c r="AQ9" s="258">
        <v>0</v>
      </c>
      <c r="AR9" s="258">
        <v>0</v>
      </c>
      <c r="AS9" s="258">
        <v>0</v>
      </c>
      <c r="AT9" s="258">
        <v>1</v>
      </c>
      <c r="AV9" s="258">
        <v>0</v>
      </c>
      <c r="AW9" s="296"/>
      <c r="AX9" s="258">
        <v>0</v>
      </c>
      <c r="AZ9" s="258">
        <v>0</v>
      </c>
      <c r="BB9" s="258">
        <v>0</v>
      </c>
      <c r="BC9" s="258">
        <v>0</v>
      </c>
      <c r="BD9" s="297" t="s">
        <v>214</v>
      </c>
      <c r="BF9" s="258">
        <v>85.2</v>
      </c>
      <c r="BG9" s="258">
        <v>7</v>
      </c>
      <c r="BO9" s="258">
        <v>0</v>
      </c>
      <c r="BP9" s="258">
        <v>0</v>
      </c>
      <c r="BW9" s="258">
        <v>0</v>
      </c>
      <c r="BX9" s="258">
        <v>0</v>
      </c>
      <c r="BY9" s="258">
        <v>3000</v>
      </c>
      <c r="BZ9" s="258">
        <v>845</v>
      </c>
      <c r="CA9" s="258">
        <v>5610.5</v>
      </c>
      <c r="CC9" s="325">
        <v>672</v>
      </c>
      <c r="CD9" s="258">
        <v>0</v>
      </c>
      <c r="CJ9" s="258">
        <v>0</v>
      </c>
      <c r="CK9" s="258">
        <v>0</v>
      </c>
      <c r="CQ9" s="325">
        <v>85.2</v>
      </c>
      <c r="CR9" s="258">
        <v>12.6</v>
      </c>
      <c r="CS9" s="258">
        <v>0</v>
      </c>
      <c r="CT9" s="258">
        <v>52</v>
      </c>
      <c r="CU9" s="258">
        <v>0</v>
      </c>
      <c r="CV9" s="258">
        <v>0</v>
      </c>
      <c r="CW9" s="258">
        <v>0</v>
      </c>
      <c r="DE9" s="258">
        <v>0</v>
      </c>
      <c r="DF9" s="298">
        <v>0</v>
      </c>
      <c r="DG9" s="258" t="s">
        <v>208</v>
      </c>
      <c r="DH9" s="258">
        <v>1</v>
      </c>
      <c r="DI9" s="258">
        <v>0</v>
      </c>
      <c r="DJ9" s="258">
        <v>10.263157894736842</v>
      </c>
      <c r="DK9" s="258">
        <v>11.368421052631579</v>
      </c>
      <c r="DL9" s="258">
        <v>8.3684210526315788</v>
      </c>
      <c r="DM9" s="258">
        <v>27300</v>
      </c>
      <c r="DN9" s="258">
        <v>22896</v>
      </c>
      <c r="DO9" s="258">
        <v>22578</v>
      </c>
      <c r="DP9" s="258">
        <v>0</v>
      </c>
      <c r="DQ9" s="258">
        <v>0</v>
      </c>
      <c r="DR9" s="258">
        <v>0</v>
      </c>
      <c r="DS9" s="258">
        <v>7.8452928094885062</v>
      </c>
      <c r="DT9" s="258">
        <v>6.5797005189028885</v>
      </c>
      <c r="DU9" s="258">
        <v>6.4883157894736811</v>
      </c>
      <c r="DZ9" s="259">
        <v>0</v>
      </c>
      <c r="EA9" s="259">
        <v>0</v>
      </c>
      <c r="EB9" s="259">
        <v>0</v>
      </c>
      <c r="EC9" s="259">
        <v>6</v>
      </c>
      <c r="ED9" s="259">
        <v>0</v>
      </c>
      <c r="EE9" s="259">
        <v>1</v>
      </c>
      <c r="EF9" s="262">
        <v>0</v>
      </c>
      <c r="EG9" s="262">
        <v>0</v>
      </c>
      <c r="EH9" s="262">
        <v>0</v>
      </c>
      <c r="EI9" s="262">
        <v>52</v>
      </c>
    </row>
    <row r="10" spans="1:249">
      <c r="A10" s="295">
        <v>1003</v>
      </c>
      <c r="B10" s="258" t="s">
        <v>31</v>
      </c>
      <c r="C10" s="258">
        <v>0</v>
      </c>
      <c r="D10" s="258">
        <v>59</v>
      </c>
      <c r="E10" s="296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  <c r="M10" s="257">
        <v>0</v>
      </c>
      <c r="N10" s="257">
        <v>0</v>
      </c>
      <c r="O10" s="257">
        <v>0</v>
      </c>
      <c r="P10" s="257">
        <v>0</v>
      </c>
      <c r="Q10" s="257">
        <v>0</v>
      </c>
      <c r="R10" s="257">
        <v>0</v>
      </c>
      <c r="X10" s="257">
        <v>135</v>
      </c>
      <c r="Z10" s="257">
        <v>0</v>
      </c>
      <c r="AA10" s="257">
        <v>0</v>
      </c>
      <c r="AC10" s="258">
        <v>0</v>
      </c>
      <c r="AE10" s="258">
        <v>30</v>
      </c>
      <c r="AF10" s="258">
        <v>241.0526315789474</v>
      </c>
      <c r="AG10" s="258">
        <v>68700</v>
      </c>
      <c r="AH10" s="258">
        <v>25.84619883040936</v>
      </c>
      <c r="AJ10" s="258">
        <v>0</v>
      </c>
      <c r="AN10" s="258">
        <v>0</v>
      </c>
      <c r="AQ10" s="258">
        <v>0</v>
      </c>
      <c r="AR10" s="258">
        <v>0</v>
      </c>
      <c r="AS10" s="258">
        <v>0</v>
      </c>
      <c r="AT10" s="258">
        <v>1</v>
      </c>
      <c r="AV10" s="258">
        <v>0</v>
      </c>
      <c r="AW10" s="296"/>
      <c r="AX10" s="258">
        <v>0</v>
      </c>
      <c r="AZ10" s="258">
        <v>0</v>
      </c>
      <c r="BB10" s="258">
        <v>0</v>
      </c>
      <c r="BC10" s="258">
        <v>0</v>
      </c>
      <c r="BD10" s="297" t="s">
        <v>214</v>
      </c>
      <c r="BF10" s="258">
        <v>81</v>
      </c>
      <c r="BG10" s="258">
        <v>36</v>
      </c>
      <c r="BO10" s="258">
        <v>0</v>
      </c>
      <c r="BP10" s="258">
        <v>0</v>
      </c>
      <c r="BW10" s="258">
        <v>0</v>
      </c>
      <c r="BX10" s="258">
        <v>0</v>
      </c>
      <c r="BY10" s="258">
        <v>2116</v>
      </c>
      <c r="BZ10" s="258">
        <v>1730</v>
      </c>
      <c r="CA10" s="258">
        <v>7160.5253218884118</v>
      </c>
      <c r="CC10" s="325">
        <v>832.64</v>
      </c>
      <c r="CD10" s="258">
        <v>0</v>
      </c>
      <c r="CJ10" s="258">
        <v>0</v>
      </c>
      <c r="CK10" s="258">
        <v>0</v>
      </c>
      <c r="CQ10" s="325">
        <v>81</v>
      </c>
      <c r="CR10" s="258">
        <v>22.2</v>
      </c>
      <c r="CS10" s="258">
        <v>0</v>
      </c>
      <c r="CT10" s="258">
        <v>59</v>
      </c>
      <c r="CU10" s="258">
        <v>0</v>
      </c>
      <c r="CV10" s="258">
        <v>0</v>
      </c>
      <c r="CW10" s="258">
        <v>0</v>
      </c>
      <c r="DE10" s="258">
        <v>0</v>
      </c>
      <c r="DF10" s="298">
        <v>0</v>
      </c>
      <c r="DG10" s="258" t="s">
        <v>208</v>
      </c>
      <c r="DH10" s="258">
        <v>1</v>
      </c>
      <c r="DI10" s="258">
        <v>0</v>
      </c>
      <c r="DJ10" s="258">
        <v>10.263157894736842</v>
      </c>
      <c r="DK10" s="258">
        <v>11.368421052631579</v>
      </c>
      <c r="DL10" s="258">
        <v>8.3684210526315788</v>
      </c>
      <c r="DM10" s="258">
        <v>26715</v>
      </c>
      <c r="DN10" s="258">
        <v>20520</v>
      </c>
      <c r="DO10" s="258">
        <v>21465</v>
      </c>
      <c r="DP10" s="258">
        <v>93.736842105263165</v>
      </c>
      <c r="DQ10" s="258">
        <v>72</v>
      </c>
      <c r="DR10" s="258">
        <v>75.315789473684205</v>
      </c>
      <c r="DS10" s="258">
        <v>10.050672514619885</v>
      </c>
      <c r="DT10" s="258">
        <v>7.72</v>
      </c>
      <c r="DU10" s="258">
        <v>8.0755263157894746</v>
      </c>
      <c r="DZ10" s="259">
        <v>0</v>
      </c>
      <c r="EA10" s="259">
        <v>0</v>
      </c>
      <c r="EB10" s="259">
        <v>6</v>
      </c>
      <c r="EC10" s="259">
        <v>6</v>
      </c>
      <c r="ED10" s="259">
        <v>3</v>
      </c>
      <c r="EE10" s="259">
        <v>3</v>
      </c>
      <c r="EF10" s="262">
        <v>0</v>
      </c>
      <c r="EG10" s="262">
        <v>0</v>
      </c>
      <c r="EH10" s="262">
        <v>11</v>
      </c>
      <c r="EI10" s="262">
        <v>26</v>
      </c>
    </row>
    <row r="11" spans="1:249">
      <c r="A11" s="295"/>
      <c r="B11" s="258" t="s">
        <v>596</v>
      </c>
      <c r="D11" s="258">
        <v>0</v>
      </c>
      <c r="F11" s="296"/>
      <c r="G11" s="296"/>
      <c r="H11" s="258">
        <v>0</v>
      </c>
      <c r="I11" s="296"/>
      <c r="J11" s="296"/>
      <c r="K11" s="258">
        <v>0</v>
      </c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6"/>
      <c r="AE11" s="258">
        <v>0</v>
      </c>
      <c r="AF11" s="258">
        <v>0</v>
      </c>
      <c r="AG11" s="258">
        <v>0</v>
      </c>
      <c r="AH11" s="258">
        <v>0</v>
      </c>
      <c r="AI11" s="296"/>
      <c r="AJ11" s="296"/>
      <c r="AK11" s="296"/>
      <c r="AL11" s="296"/>
      <c r="AM11" s="296"/>
      <c r="AN11" s="258">
        <v>0</v>
      </c>
      <c r="AO11" s="296"/>
      <c r="AP11" s="296"/>
      <c r="AQ11" s="258">
        <v>0</v>
      </c>
      <c r="AR11" s="296"/>
      <c r="AS11" s="296"/>
      <c r="AT11" s="296"/>
      <c r="AU11" s="296"/>
      <c r="AV11" s="296"/>
      <c r="AW11" s="296"/>
      <c r="AX11" s="296"/>
      <c r="AY11" s="296"/>
      <c r="AZ11" s="296"/>
      <c r="BA11" s="296"/>
      <c r="BB11" s="296"/>
      <c r="BC11" s="296"/>
      <c r="BD11" s="296"/>
      <c r="BE11" s="296"/>
      <c r="BF11" s="258">
        <v>0</v>
      </c>
      <c r="BG11" s="258">
        <v>0</v>
      </c>
      <c r="BH11" s="296"/>
      <c r="BI11" s="296"/>
      <c r="BJ11" s="296"/>
      <c r="BK11" s="296"/>
      <c r="BL11" s="296"/>
      <c r="BM11" s="296"/>
      <c r="BN11" s="296"/>
      <c r="BO11" s="258">
        <v>0</v>
      </c>
      <c r="BP11" s="258">
        <v>0</v>
      </c>
      <c r="BQ11" s="296"/>
      <c r="BR11" s="296"/>
      <c r="BS11" s="296"/>
      <c r="BT11" s="296"/>
      <c r="BU11" s="296"/>
      <c r="BV11" s="296"/>
      <c r="BW11" s="258">
        <v>0</v>
      </c>
      <c r="BX11" s="296"/>
      <c r="BZ11" s="258">
        <v>0</v>
      </c>
      <c r="CA11" s="296"/>
      <c r="CB11" s="296"/>
      <c r="CC11" s="325">
        <v>0</v>
      </c>
      <c r="CD11" s="296"/>
      <c r="CE11" s="296"/>
      <c r="CF11" s="296"/>
      <c r="CG11" s="296"/>
      <c r="CH11" s="296"/>
      <c r="CI11" s="296"/>
      <c r="CJ11" s="296"/>
      <c r="CK11" s="296"/>
      <c r="CL11" s="296"/>
      <c r="CM11" s="296"/>
      <c r="CN11" s="296"/>
      <c r="CO11" s="296"/>
      <c r="CP11" s="296"/>
      <c r="CR11" s="258">
        <v>0</v>
      </c>
      <c r="CS11" s="296"/>
      <c r="CT11" s="258">
        <v>0</v>
      </c>
      <c r="CU11" s="296"/>
      <c r="CV11" s="296"/>
      <c r="CW11" s="296"/>
      <c r="CX11" s="296"/>
      <c r="CY11" s="296"/>
      <c r="CZ11" s="296"/>
      <c r="DA11" s="296"/>
      <c r="DB11" s="296"/>
      <c r="DC11" s="296"/>
      <c r="DD11" s="296"/>
      <c r="DE11" s="258">
        <v>0</v>
      </c>
      <c r="DF11" s="296"/>
      <c r="DG11" s="296"/>
      <c r="DH11" s="296"/>
      <c r="DI11" s="258">
        <v>0</v>
      </c>
      <c r="DJ11" s="258">
        <v>0</v>
      </c>
      <c r="DK11" s="258">
        <v>0</v>
      </c>
      <c r="DL11" s="258">
        <v>0</v>
      </c>
      <c r="DM11" s="258">
        <v>0</v>
      </c>
      <c r="DN11" s="258">
        <v>0</v>
      </c>
      <c r="DO11" s="258">
        <v>0</v>
      </c>
      <c r="DP11" s="258">
        <v>0</v>
      </c>
      <c r="DQ11" s="258">
        <v>0</v>
      </c>
      <c r="DR11" s="258">
        <v>0</v>
      </c>
      <c r="DS11" s="258">
        <v>0</v>
      </c>
      <c r="DT11" s="258">
        <v>0</v>
      </c>
      <c r="DU11" s="258">
        <v>0</v>
      </c>
      <c r="DZ11" s="259">
        <v>0</v>
      </c>
      <c r="EA11" s="259">
        <v>0</v>
      </c>
      <c r="EB11" s="259">
        <v>0</v>
      </c>
      <c r="EC11" s="259">
        <v>0</v>
      </c>
      <c r="ED11" s="259">
        <v>0</v>
      </c>
      <c r="EE11" s="259">
        <v>0</v>
      </c>
      <c r="EF11" s="262">
        <v>0</v>
      </c>
      <c r="EG11" s="262">
        <v>0</v>
      </c>
      <c r="EH11" s="262">
        <v>0</v>
      </c>
      <c r="EI11" s="262">
        <v>0</v>
      </c>
    </row>
    <row r="12" spans="1:249">
      <c r="A12" s="295">
        <v>3520</v>
      </c>
      <c r="B12" s="258" t="s">
        <v>327</v>
      </c>
      <c r="C12" s="258">
        <v>6</v>
      </c>
      <c r="D12" s="258">
        <v>76</v>
      </c>
      <c r="E12" s="296">
        <v>0</v>
      </c>
      <c r="F12" s="258">
        <v>0</v>
      </c>
      <c r="G12" s="258">
        <v>22754.976529365049</v>
      </c>
      <c r="H12" s="258">
        <v>49.230000000000061</v>
      </c>
      <c r="I12" s="258">
        <v>0</v>
      </c>
      <c r="J12" s="258">
        <v>0</v>
      </c>
      <c r="K12" s="258">
        <v>77.50059651634453</v>
      </c>
      <c r="L12" s="258">
        <v>0</v>
      </c>
      <c r="M12" s="257">
        <v>60</v>
      </c>
      <c r="N12" s="257">
        <v>60</v>
      </c>
      <c r="O12" s="257">
        <v>60</v>
      </c>
      <c r="P12" s="257">
        <v>60</v>
      </c>
      <c r="Q12" s="257">
        <v>59</v>
      </c>
      <c r="R12" s="257">
        <v>29</v>
      </c>
      <c r="X12" s="257">
        <v>0</v>
      </c>
      <c r="Z12" s="257">
        <v>60</v>
      </c>
      <c r="AA12" s="257">
        <v>0</v>
      </c>
      <c r="AC12" s="258">
        <v>0</v>
      </c>
      <c r="AE12" s="258">
        <v>0</v>
      </c>
      <c r="AF12" s="258">
        <v>0</v>
      </c>
      <c r="AG12" s="258">
        <v>0</v>
      </c>
      <c r="AH12" s="258">
        <v>0</v>
      </c>
      <c r="AJ12" s="258">
        <v>6</v>
      </c>
      <c r="AN12" s="258">
        <v>0</v>
      </c>
      <c r="AQ12" s="258">
        <v>9</v>
      </c>
      <c r="AR12" s="258">
        <v>0</v>
      </c>
      <c r="AS12" s="258">
        <v>0</v>
      </c>
      <c r="AT12" s="258">
        <v>1</v>
      </c>
      <c r="AV12" s="258">
        <v>2</v>
      </c>
      <c r="AW12" s="296"/>
      <c r="AX12" s="258">
        <v>0</v>
      </c>
      <c r="AZ12" s="258">
        <v>0</v>
      </c>
      <c r="BB12" s="258">
        <v>0</v>
      </c>
      <c r="BC12" s="258">
        <v>0</v>
      </c>
      <c r="BD12" s="297" t="s">
        <v>597</v>
      </c>
      <c r="BF12" s="258">
        <v>0</v>
      </c>
      <c r="BG12" s="258">
        <v>2</v>
      </c>
      <c r="BO12" s="258">
        <v>0</v>
      </c>
      <c r="BP12" s="258">
        <v>0</v>
      </c>
      <c r="BW12" s="258">
        <v>0</v>
      </c>
      <c r="BX12" s="258">
        <v>0</v>
      </c>
      <c r="BY12" s="258">
        <v>5651</v>
      </c>
      <c r="BZ12" s="258">
        <v>5372</v>
      </c>
      <c r="CA12" s="258">
        <v>0</v>
      </c>
      <c r="CC12" s="325">
        <v>2368</v>
      </c>
      <c r="CD12" s="258">
        <v>0</v>
      </c>
      <c r="CJ12" s="258">
        <v>0</v>
      </c>
      <c r="CK12" s="258">
        <v>0</v>
      </c>
      <c r="CQ12" s="325">
        <v>388</v>
      </c>
      <c r="CR12" s="258">
        <v>6</v>
      </c>
      <c r="CS12" s="258">
        <v>6.9</v>
      </c>
      <c r="CT12" s="258">
        <v>76</v>
      </c>
      <c r="CU12" s="258">
        <v>0</v>
      </c>
      <c r="CV12" s="258">
        <v>0</v>
      </c>
      <c r="CW12" s="258">
        <v>0</v>
      </c>
      <c r="CX12" s="258">
        <v>30</v>
      </c>
      <c r="DE12" s="258">
        <v>388</v>
      </c>
      <c r="DF12" s="298">
        <v>0</v>
      </c>
      <c r="DG12" s="258" t="s">
        <v>210</v>
      </c>
      <c r="DH12" s="258">
        <v>1</v>
      </c>
      <c r="DI12" s="258">
        <v>1.5463917525773196</v>
      </c>
      <c r="DJ12" s="258">
        <v>0</v>
      </c>
      <c r="DK12" s="258">
        <v>0</v>
      </c>
      <c r="DL12" s="258">
        <v>0</v>
      </c>
      <c r="DM12" s="258">
        <v>0</v>
      </c>
      <c r="DN12" s="258">
        <v>0</v>
      </c>
      <c r="DO12" s="258">
        <v>0</v>
      </c>
      <c r="DP12" s="258">
        <v>0</v>
      </c>
      <c r="DQ12" s="258">
        <v>0</v>
      </c>
      <c r="DR12" s="258">
        <v>0</v>
      </c>
      <c r="DS12" s="258">
        <v>0</v>
      </c>
      <c r="DT12" s="258">
        <v>0</v>
      </c>
      <c r="DU12" s="258">
        <v>0</v>
      </c>
      <c r="DZ12" s="259">
        <v>17</v>
      </c>
      <c r="EA12" s="259">
        <v>328</v>
      </c>
      <c r="EB12" s="259">
        <v>0</v>
      </c>
      <c r="EC12" s="259">
        <v>0</v>
      </c>
      <c r="ED12" s="259">
        <v>0</v>
      </c>
      <c r="EE12" s="259">
        <v>2</v>
      </c>
      <c r="EF12" s="262">
        <v>0</v>
      </c>
      <c r="EG12" s="262">
        <v>14</v>
      </c>
      <c r="EH12" s="262">
        <v>0</v>
      </c>
      <c r="EI12" s="262">
        <v>20</v>
      </c>
    </row>
    <row r="13" spans="1:249">
      <c r="A13" s="295">
        <v>3317</v>
      </c>
      <c r="B13" s="258" t="s">
        <v>328</v>
      </c>
      <c r="C13" s="258">
        <v>28</v>
      </c>
      <c r="D13" s="258">
        <v>161</v>
      </c>
      <c r="E13" s="296">
        <v>0</v>
      </c>
      <c r="F13" s="258">
        <v>0</v>
      </c>
      <c r="G13" s="258">
        <v>28532.187383268236</v>
      </c>
      <c r="H13" s="258">
        <v>44.474843749999998</v>
      </c>
      <c r="I13" s="258">
        <v>0</v>
      </c>
      <c r="J13" s="258">
        <v>0</v>
      </c>
      <c r="K13" s="258">
        <v>50</v>
      </c>
      <c r="L13" s="258">
        <v>0</v>
      </c>
      <c r="M13" s="257">
        <v>30</v>
      </c>
      <c r="N13" s="257">
        <v>30</v>
      </c>
      <c r="O13" s="257">
        <v>30</v>
      </c>
      <c r="P13" s="257">
        <v>30</v>
      </c>
      <c r="Q13" s="257">
        <v>30</v>
      </c>
      <c r="R13" s="257">
        <v>30</v>
      </c>
      <c r="X13" s="257">
        <v>45</v>
      </c>
      <c r="Z13" s="257">
        <v>31</v>
      </c>
      <c r="AA13" s="257">
        <v>0</v>
      </c>
      <c r="AC13" s="258">
        <v>0</v>
      </c>
      <c r="AE13" s="258">
        <v>30</v>
      </c>
      <c r="AF13" s="258">
        <v>80.684210526315795</v>
      </c>
      <c r="AG13" s="258">
        <v>22995</v>
      </c>
      <c r="AH13" s="258">
        <v>8.4180526315789503</v>
      </c>
      <c r="AJ13" s="258">
        <v>28</v>
      </c>
      <c r="AN13" s="258">
        <v>1</v>
      </c>
      <c r="AQ13" s="258">
        <v>38</v>
      </c>
      <c r="AR13" s="258">
        <v>0</v>
      </c>
      <c r="AS13" s="258">
        <v>1</v>
      </c>
      <c r="AT13" s="258">
        <v>1</v>
      </c>
      <c r="AV13" s="258">
        <v>0</v>
      </c>
      <c r="AW13" s="296"/>
      <c r="AX13" s="258">
        <v>0</v>
      </c>
      <c r="AZ13" s="258">
        <v>0</v>
      </c>
      <c r="BB13" s="258">
        <v>0</v>
      </c>
      <c r="BC13" s="258">
        <v>0</v>
      </c>
      <c r="BD13" s="297" t="s">
        <v>597</v>
      </c>
      <c r="BF13" s="258">
        <v>0</v>
      </c>
      <c r="BG13" s="258">
        <v>31</v>
      </c>
      <c r="BO13" s="258">
        <v>0</v>
      </c>
      <c r="BP13" s="258">
        <v>0</v>
      </c>
      <c r="BW13" s="258">
        <v>0</v>
      </c>
      <c r="BX13" s="258">
        <v>0</v>
      </c>
      <c r="BY13" s="258">
        <v>8094</v>
      </c>
      <c r="BZ13" s="258">
        <v>2811</v>
      </c>
      <c r="CA13" s="258">
        <v>0</v>
      </c>
      <c r="CC13" s="325">
        <v>1504</v>
      </c>
      <c r="CD13" s="258">
        <v>0</v>
      </c>
      <c r="CJ13" s="258">
        <v>0</v>
      </c>
      <c r="CK13" s="258">
        <v>0</v>
      </c>
      <c r="CQ13" s="325">
        <v>238</v>
      </c>
      <c r="CR13" s="258">
        <v>28.6</v>
      </c>
      <c r="CS13" s="258">
        <v>5.04</v>
      </c>
      <c r="CT13" s="258">
        <v>161</v>
      </c>
      <c r="CU13" s="258">
        <v>0</v>
      </c>
      <c r="CV13" s="258">
        <v>0</v>
      </c>
      <c r="CW13" s="258">
        <v>0</v>
      </c>
      <c r="DE13" s="258">
        <v>211</v>
      </c>
      <c r="DF13" s="298">
        <v>0</v>
      </c>
      <c r="DG13" s="258" t="s">
        <v>210</v>
      </c>
      <c r="DH13" s="258">
        <v>1</v>
      </c>
      <c r="DI13" s="258">
        <v>13.270142180094787</v>
      </c>
      <c r="DJ13" s="258">
        <v>10.263157894736842</v>
      </c>
      <c r="DK13" s="258">
        <v>11.368421052631579</v>
      </c>
      <c r="DL13" s="258">
        <v>8.3684210526315788</v>
      </c>
      <c r="DM13" s="258">
        <v>9360</v>
      </c>
      <c r="DN13" s="258">
        <v>6480</v>
      </c>
      <c r="DO13" s="258">
        <v>7155</v>
      </c>
      <c r="DP13" s="258">
        <v>32.842105263157897</v>
      </c>
      <c r="DQ13" s="258">
        <v>22.736842105263158</v>
      </c>
      <c r="DR13" s="258">
        <v>25.105263157894736</v>
      </c>
      <c r="DS13" s="258">
        <v>3.426526315789475</v>
      </c>
      <c r="DT13" s="258">
        <v>2.3722105263157904</v>
      </c>
      <c r="DU13" s="258">
        <v>2.6193157894736849</v>
      </c>
      <c r="DZ13" s="259">
        <v>14</v>
      </c>
      <c r="EA13" s="259">
        <v>180</v>
      </c>
      <c r="EB13" s="259">
        <v>3</v>
      </c>
      <c r="EC13" s="259">
        <v>10</v>
      </c>
      <c r="ED13" s="259">
        <v>2</v>
      </c>
      <c r="EE13" s="259">
        <v>6</v>
      </c>
      <c r="EF13" s="262">
        <v>2</v>
      </c>
      <c r="EG13" s="262">
        <v>18</v>
      </c>
      <c r="EH13" s="262">
        <v>8</v>
      </c>
      <c r="EI13" s="262">
        <v>51</v>
      </c>
    </row>
    <row r="14" spans="1:249">
      <c r="A14" s="295">
        <v>3300</v>
      </c>
      <c r="B14" s="258" t="s">
        <v>329</v>
      </c>
      <c r="C14" s="258">
        <v>57</v>
      </c>
      <c r="D14" s="258">
        <v>221</v>
      </c>
      <c r="E14" s="296">
        <v>0</v>
      </c>
      <c r="F14" s="258">
        <v>0</v>
      </c>
      <c r="G14" s="258">
        <v>58174.28282720891</v>
      </c>
      <c r="H14" s="258">
        <v>71.590000000000089</v>
      </c>
      <c r="I14" s="258">
        <v>0</v>
      </c>
      <c r="J14" s="258">
        <v>0</v>
      </c>
      <c r="K14" s="258">
        <v>110</v>
      </c>
      <c r="L14" s="258">
        <v>0</v>
      </c>
      <c r="M14" s="257">
        <v>31</v>
      </c>
      <c r="N14" s="257">
        <v>30</v>
      </c>
      <c r="O14" s="257">
        <v>31</v>
      </c>
      <c r="P14" s="257">
        <v>30</v>
      </c>
      <c r="Q14" s="257">
        <v>24</v>
      </c>
      <c r="R14" s="257">
        <v>29</v>
      </c>
      <c r="X14" s="257">
        <v>0</v>
      </c>
      <c r="Z14" s="257">
        <v>30</v>
      </c>
      <c r="AA14" s="257">
        <v>0</v>
      </c>
      <c r="AC14" s="258">
        <v>0</v>
      </c>
      <c r="AE14" s="258">
        <v>0</v>
      </c>
      <c r="AF14" s="258">
        <v>0</v>
      </c>
      <c r="AG14" s="258">
        <v>0</v>
      </c>
      <c r="AH14" s="258">
        <v>0</v>
      </c>
      <c r="AJ14" s="258">
        <v>57</v>
      </c>
      <c r="AN14" s="258">
        <v>1</v>
      </c>
      <c r="AQ14" s="258">
        <v>89</v>
      </c>
      <c r="AR14" s="258">
        <v>0</v>
      </c>
      <c r="AS14" s="258">
        <v>0</v>
      </c>
      <c r="AT14" s="258">
        <v>1</v>
      </c>
      <c r="AV14" s="258">
        <v>0</v>
      </c>
      <c r="AW14" s="296"/>
      <c r="AX14" s="258">
        <v>0</v>
      </c>
      <c r="AZ14" s="258">
        <v>0</v>
      </c>
      <c r="BB14" s="258">
        <v>0</v>
      </c>
      <c r="BC14" s="258">
        <v>0</v>
      </c>
      <c r="BD14" s="297" t="s">
        <v>597</v>
      </c>
      <c r="BF14" s="258">
        <v>0</v>
      </c>
      <c r="BG14" s="258">
        <v>118</v>
      </c>
      <c r="BO14" s="258">
        <v>0</v>
      </c>
      <c r="BP14" s="258">
        <v>0</v>
      </c>
      <c r="BW14" s="258">
        <v>0</v>
      </c>
      <c r="BX14" s="258">
        <v>0</v>
      </c>
      <c r="BY14" s="258">
        <v>3399</v>
      </c>
      <c r="BZ14" s="258">
        <v>1804</v>
      </c>
      <c r="CA14" s="258">
        <v>0</v>
      </c>
      <c r="CC14" s="325">
        <v>1105</v>
      </c>
      <c r="CD14" s="258">
        <v>0</v>
      </c>
      <c r="CJ14" s="258">
        <v>0</v>
      </c>
      <c r="CK14" s="258">
        <v>0</v>
      </c>
      <c r="CQ14" s="325">
        <v>205</v>
      </c>
      <c r="CR14" s="258">
        <v>57</v>
      </c>
      <c r="CS14" s="258">
        <v>12</v>
      </c>
      <c r="CT14" s="258">
        <v>221</v>
      </c>
      <c r="CU14" s="258">
        <v>0</v>
      </c>
      <c r="CV14" s="258">
        <v>0</v>
      </c>
      <c r="CW14" s="258">
        <v>0</v>
      </c>
      <c r="DE14" s="258">
        <v>205</v>
      </c>
      <c r="DF14" s="298">
        <v>0</v>
      </c>
      <c r="DG14" s="258" t="s">
        <v>210</v>
      </c>
      <c r="DH14" s="258">
        <v>1</v>
      </c>
      <c r="DI14" s="258">
        <v>27.804878048780491</v>
      </c>
      <c r="DJ14" s="258">
        <v>0</v>
      </c>
      <c r="DK14" s="258">
        <v>0</v>
      </c>
      <c r="DL14" s="258">
        <v>0</v>
      </c>
      <c r="DM14" s="258">
        <v>0</v>
      </c>
      <c r="DN14" s="258">
        <v>0</v>
      </c>
      <c r="DO14" s="258">
        <v>0</v>
      </c>
      <c r="DP14" s="258">
        <v>0</v>
      </c>
      <c r="DQ14" s="258">
        <v>0</v>
      </c>
      <c r="DR14" s="258">
        <v>0</v>
      </c>
      <c r="DS14" s="258">
        <v>0</v>
      </c>
      <c r="DT14" s="258">
        <v>0</v>
      </c>
      <c r="DU14" s="258">
        <v>0</v>
      </c>
      <c r="DZ14" s="259">
        <v>23</v>
      </c>
      <c r="EA14" s="259">
        <v>175</v>
      </c>
      <c r="EB14" s="259">
        <v>20</v>
      </c>
      <c r="EC14" s="259">
        <v>31</v>
      </c>
      <c r="ED14" s="259">
        <v>7</v>
      </c>
      <c r="EE14" s="259">
        <v>6</v>
      </c>
      <c r="EF14" s="262">
        <v>10</v>
      </c>
      <c r="EG14" s="262">
        <v>20</v>
      </c>
      <c r="EH14" s="262">
        <v>14</v>
      </c>
      <c r="EI14" s="262">
        <v>29</v>
      </c>
    </row>
    <row r="15" spans="1:249">
      <c r="A15" s="295">
        <v>2064</v>
      </c>
      <c r="B15" s="258" t="s">
        <v>598</v>
      </c>
      <c r="C15" s="258">
        <v>0</v>
      </c>
      <c r="D15" s="258">
        <v>0</v>
      </c>
      <c r="E15" s="258"/>
      <c r="F15" s="258">
        <v>0</v>
      </c>
      <c r="G15" s="258">
        <v>0</v>
      </c>
      <c r="H15" s="258">
        <v>0</v>
      </c>
      <c r="K15" s="258">
        <v>0</v>
      </c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E15" s="258">
        <v>0</v>
      </c>
      <c r="AF15" s="258">
        <v>0</v>
      </c>
      <c r="AG15" s="258">
        <v>0</v>
      </c>
      <c r="AH15" s="258">
        <v>0</v>
      </c>
      <c r="AN15" s="258">
        <v>0</v>
      </c>
      <c r="AQ15" s="258">
        <v>0</v>
      </c>
      <c r="BD15" s="258"/>
      <c r="BF15" s="258">
        <v>0</v>
      </c>
      <c r="BG15" s="258">
        <v>0</v>
      </c>
      <c r="BO15" s="258">
        <v>0</v>
      </c>
      <c r="BW15" s="258">
        <v>0</v>
      </c>
      <c r="BZ15" s="258">
        <v>0</v>
      </c>
      <c r="CC15" s="325">
        <v>0</v>
      </c>
      <c r="CR15" s="258">
        <v>0</v>
      </c>
      <c r="CT15" s="258">
        <v>0</v>
      </c>
      <c r="DE15" s="258">
        <v>0</v>
      </c>
      <c r="DI15" s="258">
        <v>0</v>
      </c>
      <c r="DJ15" s="258">
        <v>0</v>
      </c>
      <c r="DK15" s="258">
        <v>0</v>
      </c>
      <c r="DL15" s="258">
        <v>0</v>
      </c>
      <c r="DM15" s="258">
        <v>0</v>
      </c>
      <c r="DN15" s="258">
        <v>0</v>
      </c>
      <c r="DO15" s="258">
        <v>0</v>
      </c>
      <c r="DP15" s="258">
        <v>0</v>
      </c>
      <c r="DQ15" s="258">
        <v>0</v>
      </c>
      <c r="DR15" s="258">
        <v>0</v>
      </c>
      <c r="DS15" s="258">
        <v>0</v>
      </c>
      <c r="DT15" s="258">
        <v>0</v>
      </c>
      <c r="DU15" s="258">
        <v>0</v>
      </c>
      <c r="DZ15" s="259">
        <v>0</v>
      </c>
      <c r="EA15" s="259">
        <v>0</v>
      </c>
      <c r="EB15" s="259">
        <v>0</v>
      </c>
      <c r="EC15" s="259">
        <v>0</v>
      </c>
      <c r="ED15" s="259">
        <v>0</v>
      </c>
      <c r="EE15" s="259">
        <v>0</v>
      </c>
      <c r="EF15" s="262">
        <v>0</v>
      </c>
      <c r="EG15" s="262">
        <v>0</v>
      </c>
      <c r="EH15" s="262">
        <v>0</v>
      </c>
      <c r="EI15" s="262">
        <v>0</v>
      </c>
    </row>
    <row r="16" spans="1:249">
      <c r="A16" s="295">
        <v>2002</v>
      </c>
      <c r="B16" s="258" t="s">
        <v>330</v>
      </c>
      <c r="C16" s="258">
        <v>227</v>
      </c>
      <c r="D16" s="258">
        <v>869</v>
      </c>
      <c r="E16" s="296">
        <v>0</v>
      </c>
      <c r="F16" s="258">
        <v>0</v>
      </c>
      <c r="G16" s="258">
        <v>107152.6642403931</v>
      </c>
      <c r="H16" s="258">
        <v>193.94774859287119</v>
      </c>
      <c r="I16" s="258">
        <v>0</v>
      </c>
      <c r="J16" s="258">
        <v>0</v>
      </c>
      <c r="K16" s="258">
        <v>150</v>
      </c>
      <c r="L16" s="258">
        <v>0</v>
      </c>
      <c r="M16" s="257">
        <v>89</v>
      </c>
      <c r="N16" s="257">
        <v>63</v>
      </c>
      <c r="O16" s="257">
        <v>60</v>
      </c>
      <c r="P16" s="257">
        <v>59</v>
      </c>
      <c r="Q16" s="257">
        <v>58</v>
      </c>
      <c r="R16" s="257">
        <v>54</v>
      </c>
      <c r="X16" s="257">
        <v>60</v>
      </c>
      <c r="Z16" s="257">
        <v>90</v>
      </c>
      <c r="AA16" s="257">
        <v>0</v>
      </c>
      <c r="AC16" s="258">
        <v>0</v>
      </c>
      <c r="AE16" s="258">
        <v>30</v>
      </c>
      <c r="AF16" s="258">
        <v>0</v>
      </c>
      <c r="AG16" s="258">
        <v>34179</v>
      </c>
      <c r="AH16" s="258">
        <v>22.855957017543854</v>
      </c>
      <c r="AJ16" s="258">
        <v>227</v>
      </c>
      <c r="AN16" s="258">
        <v>1</v>
      </c>
      <c r="AQ16" s="258">
        <v>273</v>
      </c>
      <c r="AR16" s="258">
        <v>0</v>
      </c>
      <c r="AS16" s="258">
        <v>0</v>
      </c>
      <c r="AT16" s="258">
        <v>1</v>
      </c>
      <c r="AV16" s="258">
        <v>3</v>
      </c>
      <c r="AW16" s="296"/>
      <c r="AX16" s="258">
        <v>0</v>
      </c>
      <c r="AZ16" s="258">
        <v>0</v>
      </c>
      <c r="BB16" s="258">
        <v>0</v>
      </c>
      <c r="BC16" s="258">
        <v>0</v>
      </c>
      <c r="BD16" s="297" t="s">
        <v>214</v>
      </c>
      <c r="BF16" s="258">
        <v>509</v>
      </c>
      <c r="BG16" s="258">
        <v>322</v>
      </c>
      <c r="BO16" s="258">
        <v>0</v>
      </c>
      <c r="BP16" s="258">
        <v>75909.895234882017</v>
      </c>
      <c r="BW16" s="258">
        <v>0</v>
      </c>
      <c r="BX16" s="258">
        <v>1423.02</v>
      </c>
      <c r="BY16" s="258">
        <v>8900</v>
      </c>
      <c r="BZ16" s="258">
        <v>8315</v>
      </c>
      <c r="CA16" s="258">
        <v>22882.722802290333</v>
      </c>
      <c r="CC16" s="325">
        <v>2747</v>
      </c>
      <c r="CD16" s="258">
        <v>0</v>
      </c>
      <c r="CJ16" s="258">
        <v>0</v>
      </c>
      <c r="CK16" s="258">
        <v>0</v>
      </c>
      <c r="CQ16" s="325">
        <v>509</v>
      </c>
      <c r="CR16" s="258">
        <v>229.4</v>
      </c>
      <c r="CS16" s="258">
        <v>15</v>
      </c>
      <c r="CT16" s="258">
        <v>869</v>
      </c>
      <c r="CU16" s="258">
        <v>0</v>
      </c>
      <c r="CV16" s="258">
        <v>0</v>
      </c>
      <c r="CW16" s="258">
        <v>0</v>
      </c>
      <c r="DE16" s="258">
        <v>473</v>
      </c>
      <c r="DF16" s="298">
        <v>0</v>
      </c>
      <c r="DG16" s="258" t="s">
        <v>210</v>
      </c>
      <c r="DH16" s="258">
        <v>1</v>
      </c>
      <c r="DI16" s="258">
        <v>47.991543340380552</v>
      </c>
      <c r="DJ16" s="258">
        <v>10.263157894736842</v>
      </c>
      <c r="DK16" s="258">
        <v>11.368421052631579</v>
      </c>
      <c r="DL16" s="258">
        <v>8.3684210526315788</v>
      </c>
      <c r="DM16" s="258">
        <v>11895</v>
      </c>
      <c r="DN16" s="258">
        <v>12744</v>
      </c>
      <c r="DO16" s="258">
        <v>9540</v>
      </c>
      <c r="DP16" s="258">
        <v>0</v>
      </c>
      <c r="DQ16" s="258">
        <v>0</v>
      </c>
      <c r="DR16" s="258">
        <v>0</v>
      </c>
      <c r="DS16" s="258">
        <v>7.9543464912280681</v>
      </c>
      <c r="DT16" s="258">
        <v>8.5220842105263124</v>
      </c>
      <c r="DU16" s="258">
        <v>6.3795263157894722</v>
      </c>
      <c r="DZ16" s="259">
        <v>41</v>
      </c>
      <c r="EA16" s="259">
        <v>383</v>
      </c>
      <c r="EB16" s="259">
        <v>80</v>
      </c>
      <c r="EC16" s="259">
        <v>54</v>
      </c>
      <c r="ED16" s="259">
        <v>7</v>
      </c>
      <c r="EE16" s="259">
        <v>7</v>
      </c>
      <c r="EF16" s="262">
        <v>30</v>
      </c>
      <c r="EG16" s="262">
        <v>34</v>
      </c>
      <c r="EH16" s="262">
        <v>128</v>
      </c>
      <c r="EI16" s="262">
        <v>139</v>
      </c>
    </row>
    <row r="17" spans="1:139">
      <c r="A17" s="295">
        <v>2079</v>
      </c>
      <c r="B17" s="258" t="s">
        <v>331</v>
      </c>
      <c r="C17" s="258">
        <v>14</v>
      </c>
      <c r="D17" s="258">
        <v>89</v>
      </c>
      <c r="E17" s="296">
        <v>0</v>
      </c>
      <c r="F17" s="258">
        <v>0</v>
      </c>
      <c r="G17" s="258">
        <v>25619.787153475296</v>
      </c>
      <c r="H17" s="258">
        <v>55.853539651837544</v>
      </c>
      <c r="I17" s="258">
        <v>0</v>
      </c>
      <c r="J17" s="258">
        <v>0</v>
      </c>
      <c r="K17" s="258">
        <v>85</v>
      </c>
      <c r="L17" s="258">
        <v>0</v>
      </c>
      <c r="M17" s="257">
        <v>59</v>
      </c>
      <c r="N17" s="257">
        <v>56</v>
      </c>
      <c r="O17" s="257">
        <v>63</v>
      </c>
      <c r="P17" s="257">
        <v>77</v>
      </c>
      <c r="Q17" s="257">
        <v>59</v>
      </c>
      <c r="R17" s="257">
        <v>62</v>
      </c>
      <c r="X17" s="257">
        <v>81</v>
      </c>
      <c r="Z17" s="257">
        <v>60</v>
      </c>
      <c r="AA17" s="257">
        <v>0</v>
      </c>
      <c r="AC17" s="258">
        <v>0</v>
      </c>
      <c r="AE17" s="258">
        <v>30</v>
      </c>
      <c r="AF17" s="258">
        <v>146.94736842105263</v>
      </c>
      <c r="AG17" s="258">
        <v>41880</v>
      </c>
      <c r="AH17" s="258">
        <v>9.1382894736842104</v>
      </c>
      <c r="AJ17" s="258">
        <v>14</v>
      </c>
      <c r="AQ17" s="258">
        <v>18</v>
      </c>
      <c r="AR17" s="258">
        <v>0</v>
      </c>
      <c r="AS17" s="258">
        <v>0</v>
      </c>
      <c r="AT17" s="258">
        <v>1</v>
      </c>
      <c r="AV17" s="258">
        <v>1</v>
      </c>
      <c r="AW17" s="296"/>
      <c r="AX17" s="258">
        <v>0</v>
      </c>
      <c r="AZ17" s="258">
        <v>0</v>
      </c>
      <c r="BB17" s="258">
        <v>0</v>
      </c>
      <c r="BC17" s="258">
        <v>0</v>
      </c>
      <c r="BD17" s="297" t="s">
        <v>597</v>
      </c>
      <c r="BF17" s="258">
        <v>0</v>
      </c>
      <c r="BG17" s="258">
        <v>0</v>
      </c>
      <c r="BO17" s="258">
        <v>0</v>
      </c>
      <c r="BP17" s="258">
        <v>0</v>
      </c>
      <c r="BW17" s="258">
        <v>0</v>
      </c>
      <c r="BX17" s="258">
        <v>0</v>
      </c>
      <c r="BY17" s="258">
        <v>3556</v>
      </c>
      <c r="BZ17" s="258">
        <v>3239</v>
      </c>
      <c r="CA17" s="258">
        <v>0</v>
      </c>
      <c r="CC17" s="325">
        <v>2272</v>
      </c>
      <c r="CD17" s="258">
        <v>0</v>
      </c>
      <c r="CJ17" s="258">
        <v>0</v>
      </c>
      <c r="CK17" s="258">
        <v>0</v>
      </c>
      <c r="CQ17" s="325">
        <v>484.6</v>
      </c>
      <c r="CR17" s="258">
        <v>14.6</v>
      </c>
      <c r="CS17" s="258">
        <v>8.85</v>
      </c>
      <c r="CT17" s="258">
        <v>0</v>
      </c>
      <c r="CU17" s="258">
        <v>0</v>
      </c>
      <c r="CV17" s="258">
        <v>0</v>
      </c>
      <c r="CW17" s="258">
        <v>0</v>
      </c>
      <c r="CY17" s="258">
        <v>1</v>
      </c>
      <c r="DE17" s="258">
        <v>436</v>
      </c>
      <c r="DF17" s="298">
        <v>0</v>
      </c>
      <c r="DG17" s="258" t="s">
        <v>210</v>
      </c>
      <c r="DH17" s="258">
        <v>1</v>
      </c>
      <c r="DI17" s="258">
        <v>3.2110091743119269</v>
      </c>
      <c r="DJ17" s="258">
        <v>10.263157894736842</v>
      </c>
      <c r="DK17" s="258">
        <v>11.368421052631579</v>
      </c>
      <c r="DL17" s="258">
        <v>8.3684210526315788</v>
      </c>
      <c r="DM17" s="258">
        <v>11505</v>
      </c>
      <c r="DN17" s="258">
        <v>17496</v>
      </c>
      <c r="DO17" s="258">
        <v>12879</v>
      </c>
      <c r="DP17" s="258">
        <v>40.368421052631582</v>
      </c>
      <c r="DQ17" s="258">
        <v>61.389473684210529</v>
      </c>
      <c r="DR17" s="258">
        <v>45.189473684210526</v>
      </c>
      <c r="DS17" s="258">
        <v>2.5104111842105263</v>
      </c>
      <c r="DT17" s="258">
        <v>3.817657894736842</v>
      </c>
      <c r="DU17" s="258">
        <v>2.8102203947368416</v>
      </c>
      <c r="DZ17" s="259">
        <v>9</v>
      </c>
      <c r="EA17" s="259">
        <v>376</v>
      </c>
      <c r="EB17" s="259">
        <v>0</v>
      </c>
      <c r="EC17" s="259">
        <v>0</v>
      </c>
      <c r="ED17" s="259">
        <v>0</v>
      </c>
      <c r="EE17" s="259">
        <v>0</v>
      </c>
      <c r="EF17" s="262">
        <v>0</v>
      </c>
      <c r="EG17" s="262">
        <v>8</v>
      </c>
      <c r="EH17" s="262">
        <v>8</v>
      </c>
      <c r="EI17" s="262">
        <v>33</v>
      </c>
    </row>
    <row r="18" spans="1:139">
      <c r="A18" s="295">
        <v>2003</v>
      </c>
      <c r="B18" s="258" t="s">
        <v>332</v>
      </c>
      <c r="C18" s="258">
        <v>131</v>
      </c>
      <c r="D18" s="258">
        <v>835</v>
      </c>
      <c r="E18" s="296">
        <v>0</v>
      </c>
      <c r="F18" s="258">
        <v>67</v>
      </c>
      <c r="G18" s="258">
        <v>81923.080027727789</v>
      </c>
      <c r="H18" s="258">
        <v>86.281140142517799</v>
      </c>
      <c r="I18" s="258">
        <v>0</v>
      </c>
      <c r="J18" s="258">
        <v>0</v>
      </c>
      <c r="K18" s="258">
        <v>125</v>
      </c>
      <c r="L18" s="258">
        <v>0</v>
      </c>
      <c r="M18" s="257">
        <v>49</v>
      </c>
      <c r="N18" s="257">
        <v>57</v>
      </c>
      <c r="O18" s="257">
        <v>55</v>
      </c>
      <c r="P18" s="257">
        <v>52</v>
      </c>
      <c r="Q18" s="257">
        <v>49</v>
      </c>
      <c r="R18" s="257">
        <v>50</v>
      </c>
      <c r="X18" s="257">
        <v>52</v>
      </c>
      <c r="Z18" s="257">
        <v>57</v>
      </c>
      <c r="AA18" s="257">
        <v>0</v>
      </c>
      <c r="AC18" s="258">
        <v>0</v>
      </c>
      <c r="AE18" s="258">
        <v>30</v>
      </c>
      <c r="AF18" s="258">
        <v>0</v>
      </c>
      <c r="AG18" s="258">
        <v>28149</v>
      </c>
      <c r="AH18" s="258">
        <v>10.932308565531478</v>
      </c>
      <c r="AJ18" s="258">
        <v>131</v>
      </c>
      <c r="AQ18" s="258">
        <v>161</v>
      </c>
      <c r="AR18" s="258">
        <v>0</v>
      </c>
      <c r="AS18" s="258">
        <v>0</v>
      </c>
      <c r="AT18" s="258">
        <v>1</v>
      </c>
      <c r="AV18" s="258">
        <v>1</v>
      </c>
      <c r="AW18" s="296"/>
      <c r="AX18" s="258">
        <v>0</v>
      </c>
      <c r="AZ18" s="258">
        <v>0</v>
      </c>
      <c r="BB18" s="258">
        <v>0</v>
      </c>
      <c r="BC18" s="258">
        <v>0</v>
      </c>
      <c r="BD18" s="297" t="s">
        <v>214</v>
      </c>
      <c r="BF18" s="258">
        <v>400.2</v>
      </c>
      <c r="BG18" s="258">
        <v>214</v>
      </c>
      <c r="BO18" s="258">
        <v>1</v>
      </c>
      <c r="BP18" s="258">
        <v>83401.517513885148</v>
      </c>
      <c r="BW18" s="258">
        <v>0</v>
      </c>
      <c r="BX18" s="258">
        <v>1304.44</v>
      </c>
      <c r="BY18" s="258">
        <v>7400</v>
      </c>
      <c r="BZ18" s="258">
        <v>4661</v>
      </c>
      <c r="CA18" s="258">
        <v>18528.7240867113</v>
      </c>
      <c r="CC18" s="325">
        <v>2198</v>
      </c>
      <c r="CD18" s="258">
        <v>0</v>
      </c>
      <c r="CJ18" s="258">
        <v>0</v>
      </c>
      <c r="CK18" s="258">
        <v>0</v>
      </c>
      <c r="CQ18" s="325">
        <v>400.2</v>
      </c>
      <c r="CR18" s="258">
        <v>131</v>
      </c>
      <c r="CS18" s="258">
        <v>23.03</v>
      </c>
      <c r="CT18" s="258">
        <v>835</v>
      </c>
      <c r="CU18" s="258">
        <v>0</v>
      </c>
      <c r="CV18" s="258">
        <v>0</v>
      </c>
      <c r="CW18" s="258">
        <v>0</v>
      </c>
      <c r="DE18" s="258">
        <v>369</v>
      </c>
      <c r="DF18" s="298">
        <v>0</v>
      </c>
      <c r="DG18" s="258" t="s">
        <v>210</v>
      </c>
      <c r="DH18" s="258">
        <v>1</v>
      </c>
      <c r="DI18" s="258">
        <v>35.501355013550132</v>
      </c>
      <c r="DJ18" s="258">
        <v>10.263157894736842</v>
      </c>
      <c r="DK18" s="258">
        <v>11.368421052631579</v>
      </c>
      <c r="DL18" s="258">
        <v>8.3684210526315788</v>
      </c>
      <c r="DM18" s="258">
        <v>9945</v>
      </c>
      <c r="DN18" s="258">
        <v>9936</v>
      </c>
      <c r="DO18" s="258">
        <v>8268</v>
      </c>
      <c r="DP18" s="258">
        <v>0</v>
      </c>
      <c r="DQ18" s="258">
        <v>0</v>
      </c>
      <c r="DR18" s="258">
        <v>0</v>
      </c>
      <c r="DS18" s="258">
        <v>3.8623684210526328</v>
      </c>
      <c r="DT18" s="258">
        <v>3.8588730650154806</v>
      </c>
      <c r="DU18" s="258">
        <v>3.2110670794633656</v>
      </c>
      <c r="DZ18" s="259">
        <v>67</v>
      </c>
      <c r="EA18" s="259">
        <v>312</v>
      </c>
      <c r="EB18" s="259">
        <v>37</v>
      </c>
      <c r="EC18" s="259">
        <v>54</v>
      </c>
      <c r="ED18" s="259">
        <v>13</v>
      </c>
      <c r="EE18" s="259">
        <v>10</v>
      </c>
      <c r="EF18" s="262">
        <v>22</v>
      </c>
      <c r="EG18" s="262">
        <v>88</v>
      </c>
      <c r="EH18" s="262">
        <v>76</v>
      </c>
      <c r="EI18" s="262">
        <v>101</v>
      </c>
    </row>
    <row r="19" spans="1:139">
      <c r="A19" s="295">
        <v>3511</v>
      </c>
      <c r="B19" s="258" t="s">
        <v>40</v>
      </c>
      <c r="C19" s="258">
        <v>53</v>
      </c>
      <c r="D19" s="258">
        <v>245</v>
      </c>
      <c r="E19" s="296">
        <v>0</v>
      </c>
      <c r="F19" s="258">
        <v>0</v>
      </c>
      <c r="G19" s="258">
        <v>50501.556338621958</v>
      </c>
      <c r="H19" s="258">
        <v>100.10819277108422</v>
      </c>
      <c r="I19" s="258">
        <v>0</v>
      </c>
      <c r="J19" s="258">
        <v>0</v>
      </c>
      <c r="K19" s="258">
        <v>145</v>
      </c>
      <c r="L19" s="258">
        <v>0</v>
      </c>
      <c r="M19" s="257">
        <v>30</v>
      </c>
      <c r="N19" s="257">
        <v>30</v>
      </c>
      <c r="O19" s="257">
        <v>30</v>
      </c>
      <c r="P19" s="257">
        <v>23</v>
      </c>
      <c r="Q19" s="257">
        <v>29</v>
      </c>
      <c r="R19" s="257">
        <v>27</v>
      </c>
      <c r="X19" s="257">
        <v>26</v>
      </c>
      <c r="Z19" s="257">
        <v>54</v>
      </c>
      <c r="AA19" s="257">
        <v>0</v>
      </c>
      <c r="AC19" s="258">
        <v>0</v>
      </c>
      <c r="AE19" s="258">
        <v>24.557894736842101</v>
      </c>
      <c r="AF19" s="258">
        <v>0</v>
      </c>
      <c r="AG19" s="258">
        <v>13998</v>
      </c>
      <c r="AH19" s="258">
        <v>12.505635627530362</v>
      </c>
      <c r="AJ19" s="258">
        <v>53</v>
      </c>
      <c r="AQ19" s="258">
        <v>72</v>
      </c>
      <c r="AR19" s="258">
        <v>0</v>
      </c>
      <c r="AS19" s="258">
        <v>0</v>
      </c>
      <c r="AT19" s="258">
        <v>1</v>
      </c>
      <c r="AV19" s="258">
        <v>3</v>
      </c>
      <c r="AW19" s="296"/>
      <c r="AX19" s="258">
        <v>0</v>
      </c>
      <c r="AZ19" s="258">
        <v>1</v>
      </c>
      <c r="BB19" s="258">
        <v>0</v>
      </c>
      <c r="BC19" s="258">
        <v>0</v>
      </c>
      <c r="BD19" s="297" t="s">
        <v>597</v>
      </c>
      <c r="BF19" s="258">
        <v>0</v>
      </c>
      <c r="BG19" s="258">
        <v>152</v>
      </c>
      <c r="BO19" s="258">
        <v>0</v>
      </c>
      <c r="BP19" s="258">
        <v>0</v>
      </c>
      <c r="BW19" s="258">
        <v>0</v>
      </c>
      <c r="BX19" s="258">
        <v>1264.9100000000001</v>
      </c>
      <c r="BY19" s="258">
        <v>4249</v>
      </c>
      <c r="BZ19" s="258">
        <v>3459</v>
      </c>
      <c r="CA19" s="258">
        <v>0</v>
      </c>
      <c r="CC19" s="325">
        <v>1337.5</v>
      </c>
      <c r="CD19" s="258">
        <v>0</v>
      </c>
      <c r="CJ19" s="258">
        <v>0</v>
      </c>
      <c r="CK19" s="258">
        <v>0</v>
      </c>
      <c r="CQ19" s="325">
        <v>238.6</v>
      </c>
      <c r="CR19" s="258">
        <v>53</v>
      </c>
      <c r="CS19" s="258">
        <v>5.98</v>
      </c>
      <c r="CT19" s="258">
        <v>245</v>
      </c>
      <c r="CU19" s="258">
        <v>0</v>
      </c>
      <c r="CV19" s="258">
        <v>0</v>
      </c>
      <c r="CW19" s="258">
        <v>0</v>
      </c>
      <c r="DE19" s="258">
        <v>223</v>
      </c>
      <c r="DF19" s="298">
        <v>0</v>
      </c>
      <c r="DG19" s="258" t="s">
        <v>210</v>
      </c>
      <c r="DH19" s="258">
        <v>1</v>
      </c>
      <c r="DI19" s="258">
        <v>23.766816143497756</v>
      </c>
      <c r="DJ19" s="258">
        <v>8.2105263157894743</v>
      </c>
      <c r="DK19" s="258">
        <v>9.094736842105263</v>
      </c>
      <c r="DL19" s="258">
        <v>7.2526315789473674</v>
      </c>
      <c r="DM19" s="258">
        <v>4680</v>
      </c>
      <c r="DN19" s="258">
        <v>5184</v>
      </c>
      <c r="DO19" s="258">
        <v>4134</v>
      </c>
      <c r="DP19" s="258">
        <v>0</v>
      </c>
      <c r="DQ19" s="258">
        <v>0</v>
      </c>
      <c r="DR19" s="258">
        <v>0</v>
      </c>
      <c r="DS19" s="258">
        <v>4.1810526315789467</v>
      </c>
      <c r="DT19" s="258">
        <v>4.6313198380566796</v>
      </c>
      <c r="DU19" s="258">
        <v>3.6932631578947359</v>
      </c>
      <c r="DZ19" s="259">
        <v>12</v>
      </c>
      <c r="EA19" s="259">
        <v>169</v>
      </c>
      <c r="EB19" s="259">
        <v>26</v>
      </c>
      <c r="EC19" s="259">
        <v>53</v>
      </c>
      <c r="ED19" s="259">
        <v>3</v>
      </c>
      <c r="EE19" s="259">
        <v>12</v>
      </c>
      <c r="EF19" s="262">
        <v>2</v>
      </c>
      <c r="EG19" s="262">
        <v>14</v>
      </c>
      <c r="EH19" s="262">
        <v>30</v>
      </c>
      <c r="EI19" s="262">
        <v>85</v>
      </c>
    </row>
    <row r="20" spans="1:139">
      <c r="A20" s="295">
        <v>3519</v>
      </c>
      <c r="B20" s="258" t="s">
        <v>41</v>
      </c>
      <c r="C20" s="258">
        <v>165</v>
      </c>
      <c r="D20" s="258">
        <v>774</v>
      </c>
      <c r="E20" s="296">
        <v>0</v>
      </c>
      <c r="F20" s="258">
        <v>0</v>
      </c>
      <c r="G20" s="258">
        <v>78005.375292487879</v>
      </c>
      <c r="H20" s="258">
        <v>171.05124555160188</v>
      </c>
      <c r="I20" s="258">
        <v>431553.96754444443</v>
      </c>
      <c r="J20" s="258">
        <v>0</v>
      </c>
      <c r="K20" s="258">
        <v>235</v>
      </c>
      <c r="L20" s="258">
        <v>0</v>
      </c>
      <c r="M20" s="257">
        <v>89</v>
      </c>
      <c r="N20" s="257">
        <v>65</v>
      </c>
      <c r="O20" s="257">
        <v>62</v>
      </c>
      <c r="P20" s="257">
        <v>57</v>
      </c>
      <c r="Q20" s="257">
        <v>61</v>
      </c>
      <c r="R20" s="257">
        <v>62</v>
      </c>
      <c r="X20" s="257">
        <v>76</v>
      </c>
      <c r="Z20" s="257">
        <v>90</v>
      </c>
      <c r="AA20" s="257">
        <v>0</v>
      </c>
      <c r="AC20" s="258">
        <v>0</v>
      </c>
      <c r="AE20" s="258">
        <v>30</v>
      </c>
      <c r="AF20" s="258">
        <v>131.90526315789475</v>
      </c>
      <c r="AG20" s="258">
        <v>37593</v>
      </c>
      <c r="AH20" s="258">
        <v>24.776799431009934</v>
      </c>
      <c r="AJ20" s="258">
        <v>165</v>
      </c>
      <c r="AN20" s="258">
        <v>1</v>
      </c>
      <c r="AQ20" s="258">
        <v>220</v>
      </c>
      <c r="AR20" s="258">
        <v>1</v>
      </c>
      <c r="AS20" s="258">
        <v>0</v>
      </c>
      <c r="AT20" s="258">
        <v>1</v>
      </c>
      <c r="AV20" s="258">
        <v>2</v>
      </c>
      <c r="AW20" s="296"/>
      <c r="AX20" s="258">
        <v>0</v>
      </c>
      <c r="AZ20" s="258">
        <v>0</v>
      </c>
      <c r="BB20" s="258">
        <v>0</v>
      </c>
      <c r="BC20" s="258">
        <v>0</v>
      </c>
      <c r="BD20" s="297" t="s">
        <v>214</v>
      </c>
      <c r="BF20" s="258">
        <v>531.6</v>
      </c>
      <c r="BG20" s="258">
        <v>292</v>
      </c>
      <c r="BO20" s="258">
        <v>3</v>
      </c>
      <c r="BP20" s="258">
        <v>45954.050722385386</v>
      </c>
      <c r="BW20" s="258">
        <v>0</v>
      </c>
      <c r="BX20" s="258">
        <v>0</v>
      </c>
      <c r="BY20" s="258">
        <v>41697</v>
      </c>
      <c r="BZ20" s="258">
        <v>9628</v>
      </c>
      <c r="CA20" s="258">
        <v>25047</v>
      </c>
      <c r="CC20" s="325">
        <v>3369</v>
      </c>
      <c r="CD20" s="258">
        <v>0</v>
      </c>
      <c r="CJ20" s="258">
        <v>0</v>
      </c>
      <c r="CK20" s="258">
        <v>0</v>
      </c>
      <c r="CQ20" s="325">
        <v>531.6</v>
      </c>
      <c r="CR20" s="258">
        <v>175.8</v>
      </c>
      <c r="CS20" s="258">
        <v>11.97</v>
      </c>
      <c r="CT20" s="258">
        <v>774</v>
      </c>
      <c r="CU20" s="258">
        <v>0</v>
      </c>
      <c r="CV20" s="258">
        <v>0</v>
      </c>
      <c r="CW20" s="258">
        <v>0</v>
      </c>
      <c r="CY20" s="258">
        <v>1</v>
      </c>
      <c r="DE20" s="258">
        <v>486</v>
      </c>
      <c r="DF20" s="298">
        <v>0</v>
      </c>
      <c r="DG20" s="258" t="s">
        <v>210</v>
      </c>
      <c r="DH20" s="258">
        <v>1</v>
      </c>
      <c r="DI20" s="258">
        <v>33.950617283950621</v>
      </c>
      <c r="DJ20" s="258">
        <v>10.263157894736842</v>
      </c>
      <c r="DK20" s="258">
        <v>11.368421052631579</v>
      </c>
      <c r="DL20" s="258">
        <v>8.3684210526315788</v>
      </c>
      <c r="DM20" s="258">
        <v>13845</v>
      </c>
      <c r="DN20" s="258">
        <v>11664</v>
      </c>
      <c r="DO20" s="258">
        <v>12084</v>
      </c>
      <c r="DP20" s="258">
        <v>48.578947368421055</v>
      </c>
      <c r="DQ20" s="258">
        <v>40.926315789473684</v>
      </c>
      <c r="DR20" s="258">
        <v>42.4</v>
      </c>
      <c r="DS20" s="258">
        <v>9.1249644381223245</v>
      </c>
      <c r="DT20" s="258">
        <v>7.6875106685632941</v>
      </c>
      <c r="DU20" s="258">
        <v>7.9643243243243163</v>
      </c>
      <c r="DZ20" s="259">
        <v>66</v>
      </c>
      <c r="EA20" s="259">
        <v>396</v>
      </c>
      <c r="EB20" s="259">
        <v>45</v>
      </c>
      <c r="EC20" s="259">
        <v>75</v>
      </c>
      <c r="ED20" s="259">
        <v>24</v>
      </c>
      <c r="EE20" s="259">
        <v>10</v>
      </c>
      <c r="EF20" s="262">
        <v>24</v>
      </c>
      <c r="EG20" s="262">
        <v>56</v>
      </c>
      <c r="EH20" s="262">
        <v>90</v>
      </c>
      <c r="EI20" s="262">
        <v>112</v>
      </c>
    </row>
    <row r="21" spans="1:139">
      <c r="A21" s="295">
        <v>2008</v>
      </c>
      <c r="B21" s="258" t="s">
        <v>333</v>
      </c>
      <c r="C21" s="258">
        <v>34</v>
      </c>
      <c r="D21" s="258">
        <v>392</v>
      </c>
      <c r="E21" s="296">
        <v>0</v>
      </c>
      <c r="F21" s="258">
        <v>0</v>
      </c>
      <c r="G21" s="258">
        <v>30383.968950888226</v>
      </c>
      <c r="H21" s="258">
        <v>29.18012422360248</v>
      </c>
      <c r="I21" s="258">
        <v>0</v>
      </c>
      <c r="J21" s="258">
        <v>0</v>
      </c>
      <c r="K21" s="258">
        <v>100</v>
      </c>
      <c r="L21" s="258">
        <v>0</v>
      </c>
      <c r="M21" s="257">
        <v>90</v>
      </c>
      <c r="N21" s="257">
        <v>90</v>
      </c>
      <c r="O21" s="257">
        <v>0</v>
      </c>
      <c r="P21" s="257">
        <v>0</v>
      </c>
      <c r="Q21" s="257">
        <v>0</v>
      </c>
      <c r="R21" s="257">
        <v>0</v>
      </c>
      <c r="X21" s="257">
        <v>52</v>
      </c>
      <c r="Z21" s="257">
        <v>90</v>
      </c>
      <c r="AA21" s="257">
        <v>0</v>
      </c>
      <c r="AC21" s="258">
        <v>0</v>
      </c>
      <c r="AE21" s="258">
        <v>30</v>
      </c>
      <c r="AF21" s="258">
        <v>103.2421052631579</v>
      </c>
      <c r="AG21" s="258">
        <v>29424</v>
      </c>
      <c r="AH21" s="258">
        <v>5.6479504643962848</v>
      </c>
      <c r="AJ21" s="258">
        <v>34</v>
      </c>
      <c r="AQ21" s="258">
        <v>35</v>
      </c>
      <c r="AR21" s="258">
        <v>0</v>
      </c>
      <c r="AS21" s="258">
        <v>0</v>
      </c>
      <c r="AT21" s="258">
        <v>1</v>
      </c>
      <c r="AV21" s="258">
        <v>0</v>
      </c>
      <c r="AW21" s="296"/>
      <c r="AX21" s="258">
        <v>0</v>
      </c>
      <c r="AZ21" s="258">
        <v>0</v>
      </c>
      <c r="BB21" s="258">
        <v>0</v>
      </c>
      <c r="BC21" s="258">
        <v>0</v>
      </c>
      <c r="BD21" s="297" t="s">
        <v>214</v>
      </c>
      <c r="BF21" s="258">
        <v>301.2</v>
      </c>
      <c r="BG21" s="258">
        <v>33</v>
      </c>
      <c r="BO21" s="258">
        <v>0</v>
      </c>
      <c r="BP21" s="258">
        <v>0</v>
      </c>
      <c r="BW21" s="258">
        <v>0</v>
      </c>
      <c r="BX21" s="258">
        <v>632.46</v>
      </c>
      <c r="BY21" s="258">
        <v>9226.2348003873885</v>
      </c>
      <c r="BZ21" s="258">
        <v>2649</v>
      </c>
      <c r="CA21" s="258">
        <v>15535</v>
      </c>
      <c r="CC21" s="325">
        <v>1735</v>
      </c>
      <c r="CD21" s="258">
        <v>0</v>
      </c>
      <c r="CJ21" s="258">
        <v>0</v>
      </c>
      <c r="CK21" s="258">
        <v>0</v>
      </c>
      <c r="CQ21" s="325">
        <v>301.2</v>
      </c>
      <c r="CR21" s="258">
        <v>34</v>
      </c>
      <c r="CS21" s="258">
        <v>8</v>
      </c>
      <c r="CT21" s="258">
        <v>392</v>
      </c>
      <c r="CU21" s="258">
        <v>0</v>
      </c>
      <c r="CV21" s="258">
        <v>0</v>
      </c>
      <c r="CW21" s="258">
        <v>0</v>
      </c>
      <c r="DE21" s="258">
        <v>270</v>
      </c>
      <c r="DF21" s="298">
        <v>0</v>
      </c>
      <c r="DG21" s="258" t="s">
        <v>280</v>
      </c>
      <c r="DH21" s="258">
        <v>1</v>
      </c>
      <c r="DI21" s="258">
        <v>12.592592592592592</v>
      </c>
      <c r="DJ21" s="258">
        <v>10.263157894736842</v>
      </c>
      <c r="DK21" s="258">
        <v>11.368421052631579</v>
      </c>
      <c r="DL21" s="258">
        <v>8.3684210526315788</v>
      </c>
      <c r="DM21" s="258">
        <v>10140</v>
      </c>
      <c r="DN21" s="258">
        <v>11016</v>
      </c>
      <c r="DO21" s="258">
        <v>8268</v>
      </c>
      <c r="DP21" s="258">
        <v>35.578947368421055</v>
      </c>
      <c r="DQ21" s="258">
        <v>38.652631578947364</v>
      </c>
      <c r="DR21" s="258">
        <v>29.01052631578947</v>
      </c>
      <c r="DS21" s="258">
        <v>1.9463777089783283</v>
      </c>
      <c r="DT21" s="258">
        <v>2.1145263157894738</v>
      </c>
      <c r="DU21" s="258">
        <v>1.5870464396284829</v>
      </c>
      <c r="DZ21" s="259">
        <v>17</v>
      </c>
      <c r="EA21" s="259">
        <v>180</v>
      </c>
      <c r="EB21" s="259">
        <v>5</v>
      </c>
      <c r="EC21" s="259">
        <v>8</v>
      </c>
      <c r="ED21" s="259">
        <v>1</v>
      </c>
      <c r="EE21" s="259">
        <v>7</v>
      </c>
      <c r="EF21" s="262">
        <v>0</v>
      </c>
      <c r="EG21" s="262">
        <v>26</v>
      </c>
      <c r="EH21" s="262">
        <v>54</v>
      </c>
      <c r="EI21" s="262">
        <v>126</v>
      </c>
    </row>
    <row r="22" spans="1:139">
      <c r="A22" s="295">
        <v>2007</v>
      </c>
      <c r="B22" s="258" t="s">
        <v>43</v>
      </c>
      <c r="C22" s="258">
        <v>27</v>
      </c>
      <c r="D22" s="258">
        <v>114</v>
      </c>
      <c r="E22" s="296">
        <v>0</v>
      </c>
      <c r="F22" s="258">
        <v>0</v>
      </c>
      <c r="G22" s="258">
        <v>40.833703703703698</v>
      </c>
      <c r="H22" s="258">
        <v>43.120000000000076</v>
      </c>
      <c r="I22" s="258">
        <v>0</v>
      </c>
      <c r="J22" s="258">
        <v>0</v>
      </c>
      <c r="K22" s="258">
        <v>175</v>
      </c>
      <c r="L22" s="258">
        <v>0</v>
      </c>
      <c r="M22" s="257">
        <v>0</v>
      </c>
      <c r="N22" s="257">
        <v>0</v>
      </c>
      <c r="O22" s="257">
        <v>90</v>
      </c>
      <c r="P22" s="257">
        <v>90</v>
      </c>
      <c r="Q22" s="257">
        <v>90</v>
      </c>
      <c r="R22" s="257">
        <v>90</v>
      </c>
      <c r="X22" s="257">
        <v>0</v>
      </c>
      <c r="Z22" s="257">
        <v>0</v>
      </c>
      <c r="AA22" s="257">
        <v>0</v>
      </c>
      <c r="AC22" s="258">
        <v>0</v>
      </c>
      <c r="AE22" s="258">
        <v>0</v>
      </c>
      <c r="AF22" s="258">
        <v>0</v>
      </c>
      <c r="AG22" s="258">
        <v>0</v>
      </c>
      <c r="AH22" s="258">
        <v>0</v>
      </c>
      <c r="AJ22" s="258">
        <v>27</v>
      </c>
      <c r="AQ22" s="258">
        <v>47</v>
      </c>
      <c r="AR22" s="258">
        <v>0</v>
      </c>
      <c r="AS22" s="258">
        <v>0</v>
      </c>
      <c r="AT22" s="258">
        <v>1</v>
      </c>
      <c r="AV22" s="258">
        <v>1</v>
      </c>
      <c r="AW22" s="296"/>
      <c r="AX22" s="258">
        <v>0</v>
      </c>
      <c r="AZ22" s="258">
        <v>0</v>
      </c>
      <c r="BB22" s="258">
        <v>0</v>
      </c>
      <c r="BC22" s="258">
        <v>0</v>
      </c>
      <c r="BD22" s="297" t="s">
        <v>214</v>
      </c>
      <c r="BF22" s="258">
        <v>360</v>
      </c>
      <c r="BG22" s="258">
        <v>32</v>
      </c>
      <c r="BO22" s="258">
        <v>0</v>
      </c>
      <c r="BP22" s="258">
        <v>0</v>
      </c>
      <c r="BW22" s="258">
        <v>0</v>
      </c>
      <c r="BX22" s="258">
        <v>632.45000000000005</v>
      </c>
      <c r="BY22" s="258">
        <v>20312.765199612611</v>
      </c>
      <c r="BZ22" s="258">
        <v>3331</v>
      </c>
      <c r="CA22" s="258">
        <v>15535</v>
      </c>
      <c r="CC22" s="325">
        <v>1815.93</v>
      </c>
      <c r="CD22" s="258">
        <v>1</v>
      </c>
      <c r="CJ22" s="258">
        <v>0</v>
      </c>
      <c r="CK22" s="258">
        <v>0</v>
      </c>
      <c r="CQ22" s="325">
        <v>360</v>
      </c>
      <c r="CR22" s="258">
        <v>27</v>
      </c>
      <c r="CS22" s="258">
        <v>5.34</v>
      </c>
      <c r="CT22" s="258">
        <v>114</v>
      </c>
      <c r="CU22" s="258">
        <v>0</v>
      </c>
      <c r="CV22" s="258">
        <v>0</v>
      </c>
      <c r="CW22" s="258">
        <v>0</v>
      </c>
      <c r="DE22" s="258">
        <v>360</v>
      </c>
      <c r="DF22" s="298">
        <v>0</v>
      </c>
      <c r="DG22" s="258" t="s">
        <v>279</v>
      </c>
      <c r="DH22" s="258">
        <v>1</v>
      </c>
      <c r="DI22" s="258">
        <v>7.5</v>
      </c>
      <c r="DJ22" s="258">
        <v>0</v>
      </c>
      <c r="DK22" s="258">
        <v>0</v>
      </c>
      <c r="DL22" s="258">
        <v>0</v>
      </c>
      <c r="DM22" s="258">
        <v>0</v>
      </c>
      <c r="DN22" s="258">
        <v>0</v>
      </c>
      <c r="DO22" s="258">
        <v>0</v>
      </c>
      <c r="DP22" s="258">
        <v>0</v>
      </c>
      <c r="DQ22" s="258">
        <v>0</v>
      </c>
      <c r="DR22" s="258">
        <v>0</v>
      </c>
      <c r="DS22" s="258">
        <v>0</v>
      </c>
      <c r="DT22" s="258">
        <v>0</v>
      </c>
      <c r="DU22" s="258">
        <v>0</v>
      </c>
      <c r="DZ22" s="259">
        <v>18</v>
      </c>
      <c r="EA22" s="259">
        <v>360</v>
      </c>
      <c r="EB22" s="259">
        <v>3</v>
      </c>
      <c r="EC22" s="259">
        <v>11</v>
      </c>
      <c r="ED22" s="259">
        <v>2</v>
      </c>
      <c r="EE22" s="259">
        <v>6</v>
      </c>
      <c r="EF22" s="262">
        <v>6</v>
      </c>
      <c r="EG22" s="262">
        <v>18</v>
      </c>
      <c r="EH22" s="262">
        <v>0</v>
      </c>
      <c r="EI22" s="262">
        <v>0</v>
      </c>
    </row>
    <row r="23" spans="1:139">
      <c r="A23" s="295">
        <v>2009</v>
      </c>
      <c r="B23" s="258" t="s">
        <v>334</v>
      </c>
      <c r="C23" s="258">
        <v>74</v>
      </c>
      <c r="D23" s="258">
        <v>320</v>
      </c>
      <c r="E23" s="296">
        <v>0</v>
      </c>
      <c r="F23" s="258">
        <v>0</v>
      </c>
      <c r="G23" s="258">
        <v>67383.091913187323</v>
      </c>
      <c r="H23" s="258">
        <v>65.612453531598362</v>
      </c>
      <c r="I23" s="258">
        <v>0</v>
      </c>
      <c r="J23" s="258">
        <v>0</v>
      </c>
      <c r="K23" s="258">
        <v>150</v>
      </c>
      <c r="L23" s="258">
        <v>0</v>
      </c>
      <c r="M23" s="257">
        <v>30</v>
      </c>
      <c r="N23" s="257">
        <v>29</v>
      </c>
      <c r="O23" s="257">
        <v>29</v>
      </c>
      <c r="P23" s="257">
        <v>32</v>
      </c>
      <c r="Q23" s="257">
        <v>30</v>
      </c>
      <c r="R23" s="257">
        <v>29</v>
      </c>
      <c r="X23" s="257">
        <v>36</v>
      </c>
      <c r="Z23" s="257">
        <v>54</v>
      </c>
      <c r="AA23" s="257">
        <v>0</v>
      </c>
      <c r="AC23" s="258">
        <v>0</v>
      </c>
      <c r="AE23" s="258">
        <v>28.484210526315788</v>
      </c>
      <c r="AF23" s="258">
        <v>34.263157894736842</v>
      </c>
      <c r="AG23" s="258">
        <v>19530</v>
      </c>
      <c r="AH23" s="258">
        <v>9.9363157894736833</v>
      </c>
      <c r="AJ23" s="258">
        <v>74</v>
      </c>
      <c r="AQ23" s="258">
        <v>100</v>
      </c>
      <c r="AR23" s="258">
        <v>0</v>
      </c>
      <c r="AS23" s="258">
        <v>0</v>
      </c>
      <c r="AT23" s="258">
        <v>1</v>
      </c>
      <c r="AV23" s="258">
        <v>1</v>
      </c>
      <c r="AW23" s="296"/>
      <c r="AX23" s="258">
        <v>0</v>
      </c>
      <c r="AZ23" s="258">
        <v>1</v>
      </c>
      <c r="BB23" s="258">
        <v>0</v>
      </c>
      <c r="BC23" s="258">
        <v>0</v>
      </c>
      <c r="BD23" s="297" t="s">
        <v>214</v>
      </c>
      <c r="BF23" s="258">
        <v>254.6</v>
      </c>
      <c r="BG23" s="258">
        <v>101</v>
      </c>
      <c r="BO23" s="258">
        <v>0</v>
      </c>
      <c r="BP23" s="258">
        <v>67764.445046474953</v>
      </c>
      <c r="BW23" s="258">
        <v>0</v>
      </c>
      <c r="BX23" s="258">
        <v>0</v>
      </c>
      <c r="BY23" s="258">
        <v>11300</v>
      </c>
      <c r="BZ23" s="258">
        <v>2432</v>
      </c>
      <c r="CA23" s="258">
        <v>10763</v>
      </c>
      <c r="CC23" s="325">
        <v>1193.4000000000001</v>
      </c>
      <c r="CD23" s="258">
        <v>0</v>
      </c>
      <c r="CJ23" s="258">
        <v>0</v>
      </c>
      <c r="CK23" s="258">
        <v>0</v>
      </c>
      <c r="CQ23" s="325">
        <v>254.6</v>
      </c>
      <c r="CR23" s="258">
        <v>74</v>
      </c>
      <c r="CS23" s="258">
        <v>3.1</v>
      </c>
      <c r="CT23" s="258">
        <v>320</v>
      </c>
      <c r="CU23" s="258">
        <v>0</v>
      </c>
      <c r="CV23" s="258">
        <v>0</v>
      </c>
      <c r="CW23" s="258">
        <v>0</v>
      </c>
      <c r="DE23" s="258">
        <v>233</v>
      </c>
      <c r="DF23" s="298">
        <v>0</v>
      </c>
      <c r="DG23" s="258" t="s">
        <v>210</v>
      </c>
      <c r="DH23" s="258">
        <v>1</v>
      </c>
      <c r="DI23" s="258">
        <v>31.759656652360512</v>
      </c>
      <c r="DJ23" s="258">
        <v>10.263157894736842</v>
      </c>
      <c r="DK23" s="258">
        <v>9.8526315789473689</v>
      </c>
      <c r="DL23" s="258">
        <v>8.3684210526315788</v>
      </c>
      <c r="DM23" s="258">
        <v>8190</v>
      </c>
      <c r="DN23" s="258">
        <v>5616</v>
      </c>
      <c r="DO23" s="258">
        <v>5724</v>
      </c>
      <c r="DP23" s="258">
        <v>14.368421052631579</v>
      </c>
      <c r="DQ23" s="258">
        <v>9.8526315789473689</v>
      </c>
      <c r="DR23" s="258">
        <v>10.042105263157893</v>
      </c>
      <c r="DS23" s="258">
        <v>4.1668421052631581</v>
      </c>
      <c r="DT23" s="258">
        <v>2.8572631578947365</v>
      </c>
      <c r="DU23" s="258">
        <v>2.9122105263157891</v>
      </c>
      <c r="DZ23" s="259">
        <v>31</v>
      </c>
      <c r="EA23" s="259">
        <v>179</v>
      </c>
      <c r="EB23" s="259">
        <v>20</v>
      </c>
      <c r="EC23" s="259">
        <v>18</v>
      </c>
      <c r="ED23" s="259">
        <v>6</v>
      </c>
      <c r="EE23" s="259">
        <v>5</v>
      </c>
      <c r="EF23" s="262">
        <v>2</v>
      </c>
      <c r="EG23" s="262">
        <v>38</v>
      </c>
      <c r="EH23" s="262">
        <v>28</v>
      </c>
      <c r="EI23" s="262">
        <v>70</v>
      </c>
    </row>
    <row r="24" spans="1:139">
      <c r="A24" s="295">
        <v>2067</v>
      </c>
      <c r="B24" s="258" t="s">
        <v>335</v>
      </c>
      <c r="C24" s="258">
        <v>35</v>
      </c>
      <c r="D24" s="258">
        <v>281</v>
      </c>
      <c r="E24" s="296">
        <v>0</v>
      </c>
      <c r="F24" s="258">
        <v>0</v>
      </c>
      <c r="G24" s="258">
        <v>38064.066832581782</v>
      </c>
      <c r="H24" s="258">
        <v>36.130000000000003</v>
      </c>
      <c r="I24" s="258">
        <v>0</v>
      </c>
      <c r="J24" s="258">
        <v>0</v>
      </c>
      <c r="K24" s="258">
        <v>70</v>
      </c>
      <c r="L24" s="258">
        <v>0</v>
      </c>
      <c r="M24" s="257">
        <v>30</v>
      </c>
      <c r="N24" s="257">
        <v>29</v>
      </c>
      <c r="O24" s="257">
        <v>30</v>
      </c>
      <c r="P24" s="257">
        <v>30</v>
      </c>
      <c r="Q24" s="257">
        <v>25</v>
      </c>
      <c r="R24" s="257">
        <v>29</v>
      </c>
      <c r="X24" s="257">
        <v>0</v>
      </c>
      <c r="Z24" s="257">
        <v>30</v>
      </c>
      <c r="AA24" s="257">
        <v>0</v>
      </c>
      <c r="AC24" s="258">
        <v>0</v>
      </c>
      <c r="AE24" s="258">
        <v>0</v>
      </c>
      <c r="AF24" s="258">
        <v>0</v>
      </c>
      <c r="AG24" s="258">
        <v>0</v>
      </c>
      <c r="AH24" s="258">
        <v>0</v>
      </c>
      <c r="AJ24" s="258">
        <v>35</v>
      </c>
      <c r="AQ24" s="258">
        <v>62</v>
      </c>
      <c r="AR24" s="258">
        <v>0</v>
      </c>
      <c r="AS24" s="258">
        <v>1</v>
      </c>
      <c r="AT24" s="258">
        <v>1</v>
      </c>
      <c r="AV24" s="258">
        <v>0</v>
      </c>
      <c r="AW24" s="296"/>
      <c r="AX24" s="258">
        <v>0</v>
      </c>
      <c r="AZ24" s="258">
        <v>0</v>
      </c>
      <c r="BB24" s="258">
        <v>0</v>
      </c>
      <c r="BC24" s="258">
        <v>0</v>
      </c>
      <c r="BD24" s="297" t="s">
        <v>214</v>
      </c>
      <c r="BF24" s="258">
        <v>203</v>
      </c>
      <c r="BG24" s="258">
        <v>32</v>
      </c>
      <c r="BO24" s="258">
        <v>1</v>
      </c>
      <c r="BP24" s="258">
        <v>0</v>
      </c>
      <c r="BW24" s="258">
        <v>0</v>
      </c>
      <c r="BX24" s="258">
        <v>1423.02</v>
      </c>
      <c r="BY24" s="258">
        <v>25000</v>
      </c>
      <c r="BZ24" s="258">
        <v>2400</v>
      </c>
      <c r="CA24" s="258">
        <v>13969</v>
      </c>
      <c r="CC24" s="325">
        <v>1347</v>
      </c>
      <c r="CD24" s="258">
        <v>0</v>
      </c>
      <c r="CJ24" s="258">
        <v>0</v>
      </c>
      <c r="CK24" s="258">
        <v>0</v>
      </c>
      <c r="CQ24" s="325">
        <v>203</v>
      </c>
      <c r="CR24" s="258">
        <v>35</v>
      </c>
      <c r="CS24" s="258">
        <v>5.0599999999999996</v>
      </c>
      <c r="CT24" s="258">
        <v>281</v>
      </c>
      <c r="CU24" s="258">
        <v>0</v>
      </c>
      <c r="CV24" s="258">
        <v>0</v>
      </c>
      <c r="CW24" s="258">
        <v>0</v>
      </c>
      <c r="DE24" s="258">
        <v>203</v>
      </c>
      <c r="DF24" s="298">
        <v>0</v>
      </c>
      <c r="DG24" s="258" t="s">
        <v>210</v>
      </c>
      <c r="DH24" s="258">
        <v>1</v>
      </c>
      <c r="DI24" s="258">
        <v>17.241379310344829</v>
      </c>
      <c r="DJ24" s="258">
        <v>0</v>
      </c>
      <c r="DK24" s="258">
        <v>0</v>
      </c>
      <c r="DL24" s="258">
        <v>0</v>
      </c>
      <c r="DM24" s="258">
        <v>0</v>
      </c>
      <c r="DN24" s="258">
        <v>0</v>
      </c>
      <c r="DO24" s="258">
        <v>0</v>
      </c>
      <c r="DP24" s="258">
        <v>0</v>
      </c>
      <c r="DQ24" s="258">
        <v>0</v>
      </c>
      <c r="DR24" s="258">
        <v>0</v>
      </c>
      <c r="DS24" s="258">
        <v>0</v>
      </c>
      <c r="DT24" s="258">
        <v>0</v>
      </c>
      <c r="DU24" s="258">
        <v>0</v>
      </c>
      <c r="DZ24" s="259">
        <v>24</v>
      </c>
      <c r="EA24" s="259">
        <v>173</v>
      </c>
      <c r="EB24" s="259">
        <v>4</v>
      </c>
      <c r="EC24" s="259">
        <v>18</v>
      </c>
      <c r="ED24" s="259">
        <v>0</v>
      </c>
      <c r="EE24" s="259">
        <v>2</v>
      </c>
      <c r="EF24" s="262">
        <v>8</v>
      </c>
      <c r="EG24" s="262">
        <v>38</v>
      </c>
      <c r="EH24" s="262">
        <v>14</v>
      </c>
      <c r="EI24" s="262">
        <v>31</v>
      </c>
    </row>
    <row r="25" spans="1:139">
      <c r="A25" s="295">
        <v>2010</v>
      </c>
      <c r="B25" s="258" t="s">
        <v>46</v>
      </c>
      <c r="C25" s="258">
        <v>122</v>
      </c>
      <c r="D25" s="258">
        <v>612</v>
      </c>
      <c r="E25" s="296">
        <v>0</v>
      </c>
      <c r="F25" s="258">
        <v>0</v>
      </c>
      <c r="G25" s="258">
        <v>85729.877862949201</v>
      </c>
      <c r="H25" s="258">
        <v>107.74613157894711</v>
      </c>
      <c r="I25" s="258">
        <v>290833.00309999997</v>
      </c>
      <c r="J25" s="258">
        <v>0</v>
      </c>
      <c r="K25" s="258">
        <v>265</v>
      </c>
      <c r="L25" s="258">
        <v>0</v>
      </c>
      <c r="M25" s="257">
        <v>47</v>
      </c>
      <c r="N25" s="257">
        <v>43</v>
      </c>
      <c r="O25" s="257">
        <v>46</v>
      </c>
      <c r="P25" s="257">
        <v>44</v>
      </c>
      <c r="Q25" s="257">
        <v>43</v>
      </c>
      <c r="R25" s="257">
        <v>45</v>
      </c>
      <c r="X25" s="257">
        <v>67</v>
      </c>
      <c r="Z25" s="257">
        <v>45</v>
      </c>
      <c r="AA25" s="257">
        <v>0</v>
      </c>
      <c r="AC25" s="258">
        <v>0</v>
      </c>
      <c r="AE25" s="258">
        <v>30</v>
      </c>
      <c r="AF25" s="258">
        <v>63.257894736842104</v>
      </c>
      <c r="AG25" s="258">
        <v>36057</v>
      </c>
      <c r="AH25" s="258">
        <v>21.800369992144539</v>
      </c>
      <c r="AJ25" s="258">
        <v>122</v>
      </c>
      <c r="AQ25" s="258">
        <v>169</v>
      </c>
      <c r="AR25" s="258">
        <v>0</v>
      </c>
      <c r="AS25" s="258">
        <v>0</v>
      </c>
      <c r="AT25" s="258">
        <v>1</v>
      </c>
      <c r="AV25" s="258">
        <v>1</v>
      </c>
      <c r="AW25" s="296"/>
      <c r="AX25" s="258">
        <v>1</v>
      </c>
      <c r="AZ25" s="258">
        <v>0</v>
      </c>
      <c r="BB25" s="258">
        <v>0</v>
      </c>
      <c r="BC25" s="258">
        <v>0</v>
      </c>
      <c r="BD25" s="297" t="s">
        <v>214</v>
      </c>
      <c r="BF25" s="258">
        <v>353.2</v>
      </c>
      <c r="BG25" s="258">
        <v>178</v>
      </c>
      <c r="BO25" s="258">
        <v>1</v>
      </c>
      <c r="BP25" s="258">
        <v>67602.700146890216</v>
      </c>
      <c r="BW25" s="258">
        <v>0</v>
      </c>
      <c r="BX25" s="258">
        <v>869.62</v>
      </c>
      <c r="BY25" s="258">
        <v>4087</v>
      </c>
      <c r="BZ25" s="258">
        <v>4567</v>
      </c>
      <c r="CA25" s="258">
        <v>18392.204584744635</v>
      </c>
      <c r="CC25" s="325">
        <v>2576</v>
      </c>
      <c r="CD25" s="258">
        <v>0</v>
      </c>
      <c r="CJ25" s="258">
        <v>0</v>
      </c>
      <c r="CK25" s="258">
        <v>0</v>
      </c>
      <c r="CQ25" s="325">
        <v>353.2</v>
      </c>
      <c r="CR25" s="258">
        <v>122</v>
      </c>
      <c r="CS25" s="258">
        <v>17.940000000000001</v>
      </c>
      <c r="CT25" s="258">
        <v>612</v>
      </c>
      <c r="CU25" s="258">
        <v>0</v>
      </c>
      <c r="CV25" s="258">
        <v>0</v>
      </c>
      <c r="CW25" s="258">
        <v>0</v>
      </c>
      <c r="CY25" s="258">
        <v>1</v>
      </c>
      <c r="DE25" s="258">
        <v>313</v>
      </c>
      <c r="DF25" s="298">
        <v>0</v>
      </c>
      <c r="DG25" s="258" t="s">
        <v>210</v>
      </c>
      <c r="DH25" s="258">
        <v>1</v>
      </c>
      <c r="DI25" s="258">
        <v>38.977635782747605</v>
      </c>
      <c r="DJ25" s="258">
        <v>10.263157894736842</v>
      </c>
      <c r="DK25" s="258">
        <v>11.368421052631579</v>
      </c>
      <c r="DL25" s="258">
        <v>8.3684210526315788</v>
      </c>
      <c r="DM25" s="258">
        <v>14820</v>
      </c>
      <c r="DN25" s="258">
        <v>10584</v>
      </c>
      <c r="DO25" s="258">
        <v>10653</v>
      </c>
      <c r="DP25" s="258">
        <v>26</v>
      </c>
      <c r="DQ25" s="258">
        <v>18.568421052631578</v>
      </c>
      <c r="DR25" s="258">
        <v>18.689473684210526</v>
      </c>
      <c r="DS25" s="258">
        <v>8.9602985074626851</v>
      </c>
      <c r="DT25" s="258">
        <v>6.3991767478397481</v>
      </c>
      <c r="DU25" s="258">
        <v>6.4408947368421039</v>
      </c>
      <c r="DZ25" s="259">
        <v>41</v>
      </c>
      <c r="EA25" s="259">
        <v>268</v>
      </c>
      <c r="EB25" s="259">
        <v>33</v>
      </c>
      <c r="EC25" s="259">
        <v>45</v>
      </c>
      <c r="ED25" s="259">
        <v>8</v>
      </c>
      <c r="EE25" s="259">
        <v>10</v>
      </c>
      <c r="EF25" s="262">
        <v>30</v>
      </c>
      <c r="EG25" s="262">
        <v>24</v>
      </c>
      <c r="EH25" s="262">
        <v>68</v>
      </c>
      <c r="EI25" s="262">
        <v>102</v>
      </c>
    </row>
    <row r="26" spans="1:139">
      <c r="A26" s="295">
        <v>3302</v>
      </c>
      <c r="B26" s="258" t="s">
        <v>336</v>
      </c>
      <c r="C26" s="258">
        <v>15</v>
      </c>
      <c r="D26" s="258">
        <v>46</v>
      </c>
      <c r="E26" s="296">
        <v>0</v>
      </c>
      <c r="F26" s="258">
        <v>0</v>
      </c>
      <c r="G26" s="258">
        <v>14795.520681384423</v>
      </c>
      <c r="H26" s="258">
        <v>28.808571428571419</v>
      </c>
      <c r="I26" s="258">
        <v>0</v>
      </c>
      <c r="J26" s="258">
        <v>0</v>
      </c>
      <c r="K26" s="258">
        <v>70</v>
      </c>
      <c r="L26" s="258">
        <v>0</v>
      </c>
      <c r="M26" s="257">
        <v>29</v>
      </c>
      <c r="N26" s="257">
        <v>30</v>
      </c>
      <c r="O26" s="257">
        <v>31</v>
      </c>
      <c r="P26" s="257">
        <v>30</v>
      </c>
      <c r="Q26" s="257">
        <v>30</v>
      </c>
      <c r="R26" s="257">
        <v>30</v>
      </c>
      <c r="X26" s="257">
        <v>35</v>
      </c>
      <c r="Z26" s="257">
        <v>30</v>
      </c>
      <c r="AA26" s="257">
        <v>0</v>
      </c>
      <c r="AC26" s="258">
        <v>0</v>
      </c>
      <c r="AE26" s="258">
        <v>28.484210526315788</v>
      </c>
      <c r="AF26" s="258">
        <v>68.652631578947364</v>
      </c>
      <c r="AG26" s="258">
        <v>19566</v>
      </c>
      <c r="AH26" s="258">
        <v>4.1583879699248119</v>
      </c>
      <c r="AJ26" s="258">
        <v>15</v>
      </c>
      <c r="AQ26" s="258">
        <v>22</v>
      </c>
      <c r="AR26" s="258">
        <v>0</v>
      </c>
      <c r="AS26" s="258">
        <v>0</v>
      </c>
      <c r="AT26" s="258">
        <v>1</v>
      </c>
      <c r="AV26" s="258">
        <v>0</v>
      </c>
      <c r="AW26" s="296"/>
      <c r="AX26" s="258">
        <v>0</v>
      </c>
      <c r="AZ26" s="258">
        <v>0</v>
      </c>
      <c r="BB26" s="258">
        <v>0</v>
      </c>
      <c r="BC26" s="258">
        <v>0</v>
      </c>
      <c r="BD26" s="297" t="s">
        <v>597</v>
      </c>
      <c r="BF26" s="258">
        <v>0</v>
      </c>
      <c r="BG26" s="258">
        <v>12</v>
      </c>
      <c r="BO26" s="258">
        <v>0</v>
      </c>
      <c r="BP26" s="258">
        <v>0</v>
      </c>
      <c r="BW26" s="258">
        <v>0</v>
      </c>
      <c r="BX26" s="258">
        <v>0</v>
      </c>
      <c r="BY26" s="258">
        <v>4842</v>
      </c>
      <c r="BZ26" s="258">
        <v>1647</v>
      </c>
      <c r="CA26" s="258">
        <v>0</v>
      </c>
      <c r="CC26" s="325">
        <v>1252</v>
      </c>
      <c r="CD26" s="258">
        <v>0</v>
      </c>
      <c r="CJ26" s="258">
        <v>0</v>
      </c>
      <c r="CK26" s="258">
        <v>0</v>
      </c>
      <c r="CQ26" s="325">
        <v>231</v>
      </c>
      <c r="CR26" s="258">
        <v>15.6</v>
      </c>
      <c r="CS26" s="258">
        <v>0</v>
      </c>
      <c r="CT26" s="258">
        <v>46</v>
      </c>
      <c r="CU26" s="258">
        <v>0</v>
      </c>
      <c r="CV26" s="258">
        <v>0</v>
      </c>
      <c r="CW26" s="258">
        <v>0</v>
      </c>
      <c r="DE26" s="258">
        <v>210</v>
      </c>
      <c r="DF26" s="298">
        <v>0</v>
      </c>
      <c r="DG26" s="258" t="s">
        <v>210</v>
      </c>
      <c r="DH26" s="258">
        <v>1</v>
      </c>
      <c r="DI26" s="258">
        <v>7.1428571428571423</v>
      </c>
      <c r="DJ26" s="258">
        <v>10.263157894736842</v>
      </c>
      <c r="DK26" s="258">
        <v>9.8526315789473689</v>
      </c>
      <c r="DL26" s="258">
        <v>8.3684210526315788</v>
      </c>
      <c r="DM26" s="258">
        <v>8385</v>
      </c>
      <c r="DN26" s="258">
        <v>5616</v>
      </c>
      <c r="DO26" s="258">
        <v>5565</v>
      </c>
      <c r="DP26" s="258">
        <v>29.421052631578949</v>
      </c>
      <c r="DQ26" s="258">
        <v>19.705263157894738</v>
      </c>
      <c r="DR26" s="258">
        <v>19.526315789473685</v>
      </c>
      <c r="DS26" s="258">
        <v>1.7820751879699248</v>
      </c>
      <c r="DT26" s="258">
        <v>1.1935759398496242</v>
      </c>
      <c r="DU26" s="258">
        <v>1.1827368421052633</v>
      </c>
      <c r="DZ26" s="259">
        <v>11</v>
      </c>
      <c r="EA26" s="259">
        <v>180</v>
      </c>
      <c r="EB26" s="259">
        <v>0</v>
      </c>
      <c r="EC26" s="259">
        <v>8</v>
      </c>
      <c r="ED26" s="259">
        <v>0</v>
      </c>
      <c r="EE26" s="259">
        <v>4</v>
      </c>
      <c r="EF26" s="262">
        <v>0</v>
      </c>
      <c r="EG26" s="262">
        <v>4</v>
      </c>
      <c r="EH26" s="262">
        <v>2</v>
      </c>
      <c r="EI26" s="262">
        <v>24</v>
      </c>
    </row>
    <row r="27" spans="1:139">
      <c r="A27" s="295">
        <v>2011</v>
      </c>
      <c r="B27" s="258" t="s">
        <v>48</v>
      </c>
      <c r="C27" s="258">
        <v>19</v>
      </c>
      <c r="D27" s="258">
        <v>107</v>
      </c>
      <c r="E27" s="296">
        <v>0</v>
      </c>
      <c r="F27" s="258">
        <v>0</v>
      </c>
      <c r="G27" s="258">
        <v>18294.063404439603</v>
      </c>
      <c r="H27" s="258">
        <v>38.559999999999938</v>
      </c>
      <c r="I27" s="258">
        <v>0</v>
      </c>
      <c r="J27" s="258">
        <v>0</v>
      </c>
      <c r="K27" s="258">
        <v>100</v>
      </c>
      <c r="L27" s="258">
        <v>0</v>
      </c>
      <c r="M27" s="257">
        <v>30</v>
      </c>
      <c r="N27" s="257">
        <v>31</v>
      </c>
      <c r="O27" s="257">
        <v>30</v>
      </c>
      <c r="P27" s="257">
        <v>30</v>
      </c>
      <c r="Q27" s="257">
        <v>28</v>
      </c>
      <c r="R27" s="257">
        <v>29</v>
      </c>
      <c r="X27" s="257">
        <v>0</v>
      </c>
      <c r="Z27" s="257">
        <v>46</v>
      </c>
      <c r="AA27" s="257">
        <v>0</v>
      </c>
      <c r="AC27" s="258">
        <v>0</v>
      </c>
      <c r="AE27" s="258">
        <v>0</v>
      </c>
      <c r="AF27" s="258">
        <v>0</v>
      </c>
      <c r="AG27" s="258">
        <v>0</v>
      </c>
      <c r="AH27" s="258">
        <v>0</v>
      </c>
      <c r="AJ27" s="258">
        <v>19</v>
      </c>
      <c r="AN27" s="258">
        <v>1</v>
      </c>
      <c r="AO27" s="258">
        <v>43503.839999999997</v>
      </c>
      <c r="AQ27" s="258">
        <v>28</v>
      </c>
      <c r="AR27" s="258">
        <v>1</v>
      </c>
      <c r="AS27" s="258">
        <v>0</v>
      </c>
      <c r="AT27" s="258">
        <v>1</v>
      </c>
      <c r="AV27" s="258">
        <v>1</v>
      </c>
      <c r="AW27" s="296"/>
      <c r="AX27" s="258">
        <v>0</v>
      </c>
      <c r="AZ27" s="258">
        <v>0</v>
      </c>
      <c r="BB27" s="258">
        <v>0</v>
      </c>
      <c r="BC27" s="258">
        <v>0</v>
      </c>
      <c r="BD27" s="297" t="s">
        <v>214</v>
      </c>
      <c r="BF27" s="258">
        <v>224</v>
      </c>
      <c r="BG27" s="258">
        <v>11</v>
      </c>
      <c r="BO27" s="258">
        <v>0</v>
      </c>
      <c r="BP27" s="258">
        <v>0</v>
      </c>
      <c r="BW27" s="258">
        <v>0</v>
      </c>
      <c r="BX27" s="258">
        <v>1739.25</v>
      </c>
      <c r="BY27" s="258">
        <v>6900</v>
      </c>
      <c r="BZ27" s="258">
        <v>3082</v>
      </c>
      <c r="CA27" s="258">
        <v>14427</v>
      </c>
      <c r="CC27" s="325">
        <v>1557</v>
      </c>
      <c r="CD27" s="258">
        <v>0</v>
      </c>
      <c r="CJ27" s="258">
        <v>0</v>
      </c>
      <c r="CK27" s="258">
        <v>0</v>
      </c>
      <c r="CQ27" s="325">
        <v>224</v>
      </c>
      <c r="CR27" s="258">
        <v>19</v>
      </c>
      <c r="CS27" s="258">
        <v>2.0299999999999998</v>
      </c>
      <c r="CT27" s="258">
        <v>107</v>
      </c>
      <c r="CU27" s="258">
        <v>0</v>
      </c>
      <c r="CV27" s="258">
        <v>0</v>
      </c>
      <c r="CW27" s="258">
        <v>0</v>
      </c>
      <c r="DE27" s="258">
        <v>224</v>
      </c>
      <c r="DF27" s="298">
        <v>0</v>
      </c>
      <c r="DG27" s="258" t="s">
        <v>210</v>
      </c>
      <c r="DH27" s="258">
        <v>1</v>
      </c>
      <c r="DI27" s="258">
        <v>8.4821428571428577</v>
      </c>
      <c r="DJ27" s="258">
        <v>0</v>
      </c>
      <c r="DK27" s="258">
        <v>0</v>
      </c>
      <c r="DL27" s="258">
        <v>0</v>
      </c>
      <c r="DM27" s="258">
        <v>0</v>
      </c>
      <c r="DN27" s="258">
        <v>0</v>
      </c>
      <c r="DO27" s="258">
        <v>0</v>
      </c>
      <c r="DP27" s="258">
        <v>0</v>
      </c>
      <c r="DQ27" s="258">
        <v>0</v>
      </c>
      <c r="DR27" s="258">
        <v>0</v>
      </c>
      <c r="DS27" s="258">
        <v>0</v>
      </c>
      <c r="DT27" s="258">
        <v>0</v>
      </c>
      <c r="DU27" s="258">
        <v>0</v>
      </c>
      <c r="DZ27" s="259">
        <v>9</v>
      </c>
      <c r="EA27" s="259">
        <v>178</v>
      </c>
      <c r="EB27" s="259">
        <v>1</v>
      </c>
      <c r="EC27" s="259">
        <v>5</v>
      </c>
      <c r="ED27" s="259">
        <v>0</v>
      </c>
      <c r="EE27" s="259">
        <v>3</v>
      </c>
      <c r="EF27" s="262">
        <v>4</v>
      </c>
      <c r="EG27" s="262">
        <v>12</v>
      </c>
      <c r="EH27" s="262">
        <v>2</v>
      </c>
      <c r="EI27" s="262">
        <v>25</v>
      </c>
    </row>
    <row r="28" spans="1:139">
      <c r="A28" s="295">
        <v>3522</v>
      </c>
      <c r="B28" s="258" t="s">
        <v>337</v>
      </c>
      <c r="C28" s="258">
        <v>160</v>
      </c>
      <c r="D28" s="258">
        <v>1133</v>
      </c>
      <c r="E28" s="296">
        <v>0</v>
      </c>
      <c r="F28" s="258">
        <v>70</v>
      </c>
      <c r="G28" s="258">
        <v>102092.11526357528</v>
      </c>
      <c r="H28" s="258">
        <v>134.7012918660283</v>
      </c>
      <c r="I28" s="258">
        <v>0</v>
      </c>
      <c r="J28" s="258">
        <v>0</v>
      </c>
      <c r="K28" s="258">
        <v>65</v>
      </c>
      <c r="L28" s="258">
        <v>0</v>
      </c>
      <c r="M28" s="257">
        <v>63</v>
      </c>
      <c r="N28" s="257">
        <v>58</v>
      </c>
      <c r="O28" s="257">
        <v>52</v>
      </c>
      <c r="P28" s="257">
        <v>40</v>
      </c>
      <c r="Q28" s="257">
        <v>42</v>
      </c>
      <c r="R28" s="257">
        <v>44</v>
      </c>
      <c r="X28" s="257">
        <v>51</v>
      </c>
      <c r="Z28" s="257">
        <v>68</v>
      </c>
      <c r="AA28" s="257">
        <v>0</v>
      </c>
      <c r="AC28" s="258">
        <v>0</v>
      </c>
      <c r="AE28" s="258">
        <v>30</v>
      </c>
      <c r="AF28" s="258">
        <v>45.65789473684211</v>
      </c>
      <c r="AG28" s="258">
        <v>26025</v>
      </c>
      <c r="AH28" s="258">
        <v>16.785990712074305</v>
      </c>
      <c r="AJ28" s="258">
        <v>160</v>
      </c>
      <c r="AN28" s="258">
        <v>1</v>
      </c>
      <c r="AO28" s="258">
        <v>21751.919999999998</v>
      </c>
      <c r="AQ28" s="258">
        <v>213</v>
      </c>
      <c r="AR28" s="258">
        <v>0</v>
      </c>
      <c r="AS28" s="258">
        <v>0</v>
      </c>
      <c r="AT28" s="258">
        <v>1</v>
      </c>
      <c r="AV28" s="258">
        <v>2</v>
      </c>
      <c r="AW28" s="296"/>
      <c r="AX28" s="258">
        <v>0</v>
      </c>
      <c r="AZ28" s="258">
        <v>0</v>
      </c>
      <c r="BB28" s="258">
        <v>0</v>
      </c>
      <c r="BC28" s="258">
        <v>0</v>
      </c>
      <c r="BD28" s="297" t="s">
        <v>214</v>
      </c>
      <c r="BF28" s="258">
        <v>397.6</v>
      </c>
      <c r="BG28" s="258">
        <v>175</v>
      </c>
      <c r="BO28" s="258">
        <v>0</v>
      </c>
      <c r="BP28" s="258">
        <v>61364.186850372578</v>
      </c>
      <c r="BW28" s="258">
        <v>0</v>
      </c>
      <c r="BX28" s="258">
        <v>1423.02</v>
      </c>
      <c r="BY28" s="258">
        <v>12318</v>
      </c>
      <c r="BZ28" s="258">
        <v>5105</v>
      </c>
      <c r="CA28" s="258">
        <v>17404</v>
      </c>
      <c r="CC28" s="325">
        <v>2838</v>
      </c>
      <c r="CD28" s="258">
        <v>0</v>
      </c>
      <c r="CJ28" s="258">
        <v>0</v>
      </c>
      <c r="CK28" s="258">
        <v>0</v>
      </c>
      <c r="CQ28" s="325">
        <v>397.6</v>
      </c>
      <c r="CR28" s="258">
        <v>160</v>
      </c>
      <c r="CS28" s="258">
        <v>22.14</v>
      </c>
      <c r="CT28" s="258">
        <v>1133</v>
      </c>
      <c r="CU28" s="258">
        <v>0</v>
      </c>
      <c r="CV28" s="258">
        <v>0</v>
      </c>
      <c r="CW28" s="258">
        <v>0</v>
      </c>
      <c r="DE28" s="258">
        <v>367</v>
      </c>
      <c r="DF28" s="298">
        <v>0</v>
      </c>
      <c r="DG28" s="258" t="s">
        <v>210</v>
      </c>
      <c r="DH28" s="258">
        <v>1</v>
      </c>
      <c r="DI28" s="258">
        <v>43.596730245231605</v>
      </c>
      <c r="DJ28" s="258">
        <v>10.263157894736842</v>
      </c>
      <c r="DK28" s="258">
        <v>11.368421052631579</v>
      </c>
      <c r="DL28" s="258">
        <v>8.3684210526315788</v>
      </c>
      <c r="DM28" s="258">
        <v>10140</v>
      </c>
      <c r="DN28" s="258">
        <v>7776</v>
      </c>
      <c r="DO28" s="258">
        <v>8109</v>
      </c>
      <c r="DP28" s="258">
        <v>17.789473684210527</v>
      </c>
      <c r="DQ28" s="258">
        <v>13.642105263157895</v>
      </c>
      <c r="DR28" s="258">
        <v>14.226315789473684</v>
      </c>
      <c r="DS28" s="258">
        <v>6.5402476780185772</v>
      </c>
      <c r="DT28" s="258">
        <v>5.0154798761609918</v>
      </c>
      <c r="DU28" s="258">
        <v>5.2302631578947372</v>
      </c>
      <c r="DZ28" s="259">
        <v>70</v>
      </c>
      <c r="EA28" s="259">
        <v>299</v>
      </c>
      <c r="EB28" s="259">
        <v>40</v>
      </c>
      <c r="EC28" s="259">
        <v>48</v>
      </c>
      <c r="ED28" s="259">
        <v>1</v>
      </c>
      <c r="EE28" s="259">
        <v>4</v>
      </c>
      <c r="EF28" s="262">
        <v>50</v>
      </c>
      <c r="EG28" s="262">
        <v>80</v>
      </c>
      <c r="EH28" s="262">
        <v>120</v>
      </c>
      <c r="EI28" s="262">
        <v>103</v>
      </c>
    </row>
    <row r="29" spans="1:139">
      <c r="A29" s="295">
        <v>2014</v>
      </c>
      <c r="B29" s="258" t="s">
        <v>338</v>
      </c>
      <c r="C29" s="258">
        <v>78</v>
      </c>
      <c r="D29" s="258">
        <v>653</v>
      </c>
      <c r="E29" s="296">
        <v>0</v>
      </c>
      <c r="F29" s="258">
        <v>0</v>
      </c>
      <c r="G29" s="258">
        <v>39408.584924924129</v>
      </c>
      <c r="H29" s="258">
        <v>165.9374744027304</v>
      </c>
      <c r="I29" s="258">
        <v>210091.95333333334</v>
      </c>
      <c r="J29" s="258">
        <v>0</v>
      </c>
      <c r="K29" s="258">
        <v>205</v>
      </c>
      <c r="L29" s="258">
        <v>0</v>
      </c>
      <c r="M29" s="257">
        <v>90</v>
      </c>
      <c r="N29" s="257">
        <v>90</v>
      </c>
      <c r="O29" s="257">
        <v>60</v>
      </c>
      <c r="P29" s="257">
        <v>60</v>
      </c>
      <c r="Q29" s="257">
        <v>59</v>
      </c>
      <c r="R29" s="257">
        <v>60</v>
      </c>
      <c r="X29" s="257">
        <v>77</v>
      </c>
      <c r="Z29" s="257">
        <v>90</v>
      </c>
      <c r="AA29" s="257">
        <v>0</v>
      </c>
      <c r="AC29" s="258">
        <v>0</v>
      </c>
      <c r="AE29" s="258">
        <v>30</v>
      </c>
      <c r="AF29" s="258">
        <v>108.92631578947368</v>
      </c>
      <c r="AG29" s="258">
        <v>31044</v>
      </c>
      <c r="AH29" s="258">
        <v>17.456875346260389</v>
      </c>
      <c r="AJ29" s="258">
        <v>78</v>
      </c>
      <c r="AQ29" s="258">
        <v>148</v>
      </c>
      <c r="AR29" s="258">
        <v>0</v>
      </c>
      <c r="AS29" s="258">
        <v>0</v>
      </c>
      <c r="AT29" s="258">
        <v>1</v>
      </c>
      <c r="AV29" s="258">
        <v>1</v>
      </c>
      <c r="AW29" s="296"/>
      <c r="AX29" s="258">
        <v>0</v>
      </c>
      <c r="AZ29" s="258">
        <v>0</v>
      </c>
      <c r="BB29" s="258">
        <v>0</v>
      </c>
      <c r="BC29" s="258">
        <v>0</v>
      </c>
      <c r="BD29" s="297" t="s">
        <v>214</v>
      </c>
      <c r="BF29" s="258">
        <v>555.20000000000005</v>
      </c>
      <c r="BG29" s="258">
        <v>170</v>
      </c>
      <c r="BO29" s="258">
        <v>1</v>
      </c>
      <c r="BP29" s="258">
        <v>0</v>
      </c>
      <c r="BW29" s="258">
        <v>0</v>
      </c>
      <c r="BX29" s="258">
        <v>1423.02</v>
      </c>
      <c r="BY29" s="258">
        <v>17700</v>
      </c>
      <c r="BZ29" s="258">
        <v>4202</v>
      </c>
      <c r="CA29" s="258">
        <v>21640.5</v>
      </c>
      <c r="CC29" s="325">
        <v>4108</v>
      </c>
      <c r="CD29" s="258">
        <v>1</v>
      </c>
      <c r="CJ29" s="258">
        <v>0</v>
      </c>
      <c r="CK29" s="258">
        <v>0</v>
      </c>
      <c r="CQ29" s="325">
        <v>555.20000000000005</v>
      </c>
      <c r="CR29" s="258">
        <v>78</v>
      </c>
      <c r="CS29" s="258">
        <v>14.25</v>
      </c>
      <c r="CT29" s="258">
        <v>653</v>
      </c>
      <c r="CU29" s="258">
        <v>0</v>
      </c>
      <c r="CV29" s="258">
        <v>0</v>
      </c>
      <c r="CW29" s="258">
        <v>0</v>
      </c>
      <c r="DE29" s="258">
        <v>509</v>
      </c>
      <c r="DF29" s="298">
        <v>0</v>
      </c>
      <c r="DG29" s="258" t="s">
        <v>210</v>
      </c>
      <c r="DH29" s="258">
        <v>1</v>
      </c>
      <c r="DI29" s="258">
        <v>15.324165029469548</v>
      </c>
      <c r="DJ29" s="258">
        <v>10.263157894736842</v>
      </c>
      <c r="DK29" s="258">
        <v>11.368421052631579</v>
      </c>
      <c r="DL29" s="258">
        <v>8.3684210526315788</v>
      </c>
      <c r="DM29" s="258">
        <v>9945</v>
      </c>
      <c r="DN29" s="258">
        <v>8856</v>
      </c>
      <c r="DO29" s="258">
        <v>12243</v>
      </c>
      <c r="DP29" s="258">
        <v>34.89473684210526</v>
      </c>
      <c r="DQ29" s="258">
        <v>31.073684210526313</v>
      </c>
      <c r="DR29" s="258">
        <v>42.9578947368421</v>
      </c>
      <c r="DS29" s="258">
        <v>5.5923407202216078</v>
      </c>
      <c r="DT29" s="258">
        <v>4.979966759002771</v>
      </c>
      <c r="DU29" s="258">
        <v>6.8845678670360106</v>
      </c>
      <c r="DZ29" s="259">
        <v>40</v>
      </c>
      <c r="EA29" s="259">
        <v>419</v>
      </c>
      <c r="EB29" s="259">
        <v>22</v>
      </c>
      <c r="EC29" s="259">
        <v>60</v>
      </c>
      <c r="ED29" s="259">
        <v>10</v>
      </c>
      <c r="EE29" s="259">
        <v>14</v>
      </c>
      <c r="EF29" s="262">
        <v>6</v>
      </c>
      <c r="EG29" s="262">
        <v>60</v>
      </c>
      <c r="EH29" s="262">
        <v>50</v>
      </c>
      <c r="EI29" s="262">
        <v>221</v>
      </c>
    </row>
    <row r="30" spans="1:139">
      <c r="A30" s="295">
        <v>2015</v>
      </c>
      <c r="B30" s="258" t="s">
        <v>339</v>
      </c>
      <c r="C30" s="258">
        <v>71</v>
      </c>
      <c r="D30" s="258">
        <v>227</v>
      </c>
      <c r="E30" s="296">
        <v>0</v>
      </c>
      <c r="F30" s="258">
        <v>0</v>
      </c>
      <c r="G30" s="258">
        <v>70160.295655763563</v>
      </c>
      <c r="H30" s="258">
        <v>71.849999999999994</v>
      </c>
      <c r="I30" s="258">
        <v>191245.26310000001</v>
      </c>
      <c r="J30" s="258">
        <v>0</v>
      </c>
      <c r="K30" s="258">
        <v>147.91636840849438</v>
      </c>
      <c r="L30" s="258">
        <v>0</v>
      </c>
      <c r="M30" s="257">
        <v>31</v>
      </c>
      <c r="N30" s="257">
        <v>30</v>
      </c>
      <c r="O30" s="257">
        <v>30</v>
      </c>
      <c r="P30" s="257">
        <v>31</v>
      </c>
      <c r="Q30" s="257">
        <v>29</v>
      </c>
      <c r="R30" s="257">
        <v>29</v>
      </c>
      <c r="X30" s="257">
        <v>42</v>
      </c>
      <c r="Z30" s="257">
        <v>30</v>
      </c>
      <c r="AA30" s="257">
        <v>0</v>
      </c>
      <c r="AC30" s="258">
        <v>0</v>
      </c>
      <c r="AE30" s="258">
        <v>28.484210526315788</v>
      </c>
      <c r="AF30" s="258">
        <v>78.031578947368416</v>
      </c>
      <c r="AG30" s="258">
        <v>22239</v>
      </c>
      <c r="AH30" s="258">
        <v>12.355</v>
      </c>
      <c r="AJ30" s="258">
        <v>71</v>
      </c>
      <c r="AN30" s="258">
        <v>1</v>
      </c>
      <c r="AQ30" s="258">
        <v>93</v>
      </c>
      <c r="AR30" s="258">
        <v>1</v>
      </c>
      <c r="AS30" s="258">
        <v>0</v>
      </c>
      <c r="AT30" s="258">
        <v>1</v>
      </c>
      <c r="AV30" s="258">
        <v>0</v>
      </c>
      <c r="AW30" s="296"/>
      <c r="AX30" s="258">
        <v>0</v>
      </c>
      <c r="AZ30" s="258">
        <v>0</v>
      </c>
      <c r="BB30" s="258">
        <v>0</v>
      </c>
      <c r="BC30" s="258">
        <v>0</v>
      </c>
      <c r="BD30" s="297" t="s">
        <v>214</v>
      </c>
      <c r="BF30" s="258">
        <v>235.2</v>
      </c>
      <c r="BG30" s="258">
        <v>117</v>
      </c>
      <c r="BO30" s="258">
        <v>1</v>
      </c>
      <c r="BP30" s="258">
        <v>64341.501940303257</v>
      </c>
      <c r="BW30" s="258">
        <v>0</v>
      </c>
      <c r="BX30" s="258">
        <v>1264.9100000000001</v>
      </c>
      <c r="BY30" s="258">
        <v>31000</v>
      </c>
      <c r="BZ30" s="258">
        <v>2881</v>
      </c>
      <c r="CA30" s="258">
        <v>14766.555858025336</v>
      </c>
      <c r="CC30" s="325">
        <v>1895</v>
      </c>
      <c r="CD30" s="258">
        <v>0</v>
      </c>
      <c r="CJ30" s="258">
        <v>0</v>
      </c>
      <c r="CK30" s="258">
        <v>0</v>
      </c>
      <c r="CQ30" s="325">
        <v>235.2</v>
      </c>
      <c r="CR30" s="258">
        <v>71</v>
      </c>
      <c r="CS30" s="258">
        <v>8.91</v>
      </c>
      <c r="CT30" s="258">
        <v>227</v>
      </c>
      <c r="CU30" s="258">
        <v>0</v>
      </c>
      <c r="CV30" s="258">
        <v>0</v>
      </c>
      <c r="CW30" s="258">
        <v>0</v>
      </c>
      <c r="CY30" s="258">
        <v>1</v>
      </c>
      <c r="DE30" s="258">
        <v>210</v>
      </c>
      <c r="DF30" s="298">
        <v>0</v>
      </c>
      <c r="DG30" s="258" t="s">
        <v>210</v>
      </c>
      <c r="DH30" s="258">
        <v>1</v>
      </c>
      <c r="DI30" s="258">
        <v>33.80952380952381</v>
      </c>
      <c r="DJ30" s="258">
        <v>10.263157894736842</v>
      </c>
      <c r="DK30" s="258">
        <v>9.8526315789473689</v>
      </c>
      <c r="DL30" s="258">
        <v>8.3684210526315788</v>
      </c>
      <c r="DM30" s="258">
        <v>9945</v>
      </c>
      <c r="DN30" s="258">
        <v>5616</v>
      </c>
      <c r="DO30" s="258">
        <v>6678</v>
      </c>
      <c r="DP30" s="258">
        <v>34.89473684210526</v>
      </c>
      <c r="DQ30" s="258">
        <v>19.705263157894738</v>
      </c>
      <c r="DR30" s="258">
        <v>23.431578947368422</v>
      </c>
      <c r="DS30" s="258">
        <v>5.5250000000000004</v>
      </c>
      <c r="DT30" s="258">
        <v>3.12</v>
      </c>
      <c r="DU30" s="258">
        <v>3.71</v>
      </c>
      <c r="DZ30" s="259">
        <v>15</v>
      </c>
      <c r="EA30" s="259">
        <v>180</v>
      </c>
      <c r="EB30" s="259">
        <v>22</v>
      </c>
      <c r="EC30" s="259">
        <v>33</v>
      </c>
      <c r="ED30" s="259">
        <v>3</v>
      </c>
      <c r="EE30" s="259">
        <v>9</v>
      </c>
      <c r="EF30" s="262">
        <v>4</v>
      </c>
      <c r="EG30" s="262">
        <v>14</v>
      </c>
      <c r="EH30" s="262">
        <v>32</v>
      </c>
      <c r="EI30" s="262">
        <v>47</v>
      </c>
    </row>
    <row r="31" spans="1:139">
      <c r="A31" s="295">
        <v>2016</v>
      </c>
      <c r="B31" s="258" t="s">
        <v>53</v>
      </c>
      <c r="C31" s="258">
        <v>28</v>
      </c>
      <c r="D31" s="258">
        <v>110</v>
      </c>
      <c r="E31" s="296">
        <v>0</v>
      </c>
      <c r="F31" s="258">
        <v>0</v>
      </c>
      <c r="G31" s="258">
        <v>27826.821992145073</v>
      </c>
      <c r="H31" s="258">
        <v>40.25000000000005</v>
      </c>
      <c r="I31" s="258">
        <v>0</v>
      </c>
      <c r="J31" s="258">
        <v>0</v>
      </c>
      <c r="K31" s="258">
        <v>90</v>
      </c>
      <c r="L31" s="258">
        <v>0</v>
      </c>
      <c r="M31" s="257">
        <v>30</v>
      </c>
      <c r="N31" s="257">
        <v>31</v>
      </c>
      <c r="O31" s="257">
        <v>30</v>
      </c>
      <c r="P31" s="257">
        <v>30</v>
      </c>
      <c r="Q31" s="257">
        <v>30</v>
      </c>
      <c r="R31" s="257">
        <v>30</v>
      </c>
      <c r="X31" s="257">
        <v>0</v>
      </c>
      <c r="Z31" s="257">
        <v>30</v>
      </c>
      <c r="AA31" s="257">
        <v>0</v>
      </c>
      <c r="AC31" s="258">
        <v>0</v>
      </c>
      <c r="AE31" s="258">
        <v>0</v>
      </c>
      <c r="AF31" s="258">
        <v>0</v>
      </c>
      <c r="AG31" s="258">
        <v>0</v>
      </c>
      <c r="AH31" s="258">
        <v>0</v>
      </c>
      <c r="AJ31" s="258">
        <v>28</v>
      </c>
      <c r="AN31" s="258">
        <v>1</v>
      </c>
      <c r="AQ31" s="258">
        <v>38</v>
      </c>
      <c r="AR31" s="258">
        <v>1</v>
      </c>
      <c r="AS31" s="258">
        <v>0</v>
      </c>
      <c r="AT31" s="258">
        <v>1</v>
      </c>
      <c r="AV31" s="258">
        <v>1</v>
      </c>
      <c r="AW31" s="296"/>
      <c r="AX31" s="258">
        <v>0</v>
      </c>
      <c r="AZ31" s="258">
        <v>0</v>
      </c>
      <c r="BB31" s="258">
        <v>0</v>
      </c>
      <c r="BC31" s="258">
        <v>0</v>
      </c>
      <c r="BD31" s="297" t="s">
        <v>214</v>
      </c>
      <c r="BF31" s="258">
        <v>211</v>
      </c>
      <c r="BG31" s="258">
        <v>39</v>
      </c>
      <c r="BO31" s="258">
        <v>0</v>
      </c>
      <c r="BP31" s="258">
        <v>0</v>
      </c>
      <c r="BW31" s="258">
        <v>0</v>
      </c>
      <c r="BX31" s="258">
        <v>1739.25</v>
      </c>
      <c r="BY31" s="258">
        <v>10600</v>
      </c>
      <c r="BZ31" s="258">
        <v>3393</v>
      </c>
      <c r="CA31" s="258">
        <v>14541.5</v>
      </c>
      <c r="CC31" s="325">
        <v>1338</v>
      </c>
      <c r="CD31" s="258">
        <v>0</v>
      </c>
      <c r="CJ31" s="258">
        <v>0</v>
      </c>
      <c r="CK31" s="258">
        <v>0</v>
      </c>
      <c r="CN31" s="258">
        <v>-6374</v>
      </c>
      <c r="CQ31" s="325">
        <v>211</v>
      </c>
      <c r="CR31" s="258">
        <v>28</v>
      </c>
      <c r="CS31" s="258">
        <v>0</v>
      </c>
      <c r="CT31" s="258">
        <v>110</v>
      </c>
      <c r="CU31" s="258">
        <v>0</v>
      </c>
      <c r="CV31" s="258">
        <v>0</v>
      </c>
      <c r="CW31" s="258">
        <v>0</v>
      </c>
      <c r="DE31" s="258">
        <v>211</v>
      </c>
      <c r="DF31" s="298">
        <v>0</v>
      </c>
      <c r="DG31" s="258" t="s">
        <v>210</v>
      </c>
      <c r="DH31" s="258">
        <v>1</v>
      </c>
      <c r="DI31" s="258">
        <v>13.270142180094787</v>
      </c>
      <c r="DJ31" s="258">
        <v>0</v>
      </c>
      <c r="DK31" s="258">
        <v>0</v>
      </c>
      <c r="DL31" s="258">
        <v>0</v>
      </c>
      <c r="DM31" s="258">
        <v>0</v>
      </c>
      <c r="DN31" s="258">
        <v>0</v>
      </c>
      <c r="DO31" s="258">
        <v>0</v>
      </c>
      <c r="DP31" s="258">
        <v>0</v>
      </c>
      <c r="DQ31" s="258">
        <v>0</v>
      </c>
      <c r="DR31" s="258">
        <v>0</v>
      </c>
      <c r="DS31" s="258">
        <v>0</v>
      </c>
      <c r="DT31" s="258">
        <v>0</v>
      </c>
      <c r="DU31" s="258">
        <v>0</v>
      </c>
      <c r="DZ31" s="259">
        <v>14</v>
      </c>
      <c r="EA31" s="259">
        <v>181</v>
      </c>
      <c r="EB31" s="259">
        <v>4</v>
      </c>
      <c r="EC31" s="259">
        <v>21</v>
      </c>
      <c r="ED31" s="259">
        <v>1</v>
      </c>
      <c r="EE31" s="259">
        <v>3</v>
      </c>
      <c r="EF31" s="262">
        <v>0</v>
      </c>
      <c r="EG31" s="262">
        <v>14</v>
      </c>
      <c r="EH31" s="262">
        <v>6</v>
      </c>
      <c r="EI31" s="262">
        <v>36</v>
      </c>
    </row>
    <row r="32" spans="1:139">
      <c r="A32" s="295">
        <v>2017</v>
      </c>
      <c r="B32" s="258" t="s">
        <v>340</v>
      </c>
      <c r="C32" s="258">
        <v>98</v>
      </c>
      <c r="D32" s="258">
        <v>272</v>
      </c>
      <c r="E32" s="296">
        <v>0</v>
      </c>
      <c r="F32" s="258">
        <v>0</v>
      </c>
      <c r="G32" s="258">
        <v>52695.378522660612</v>
      </c>
      <c r="H32" s="258">
        <v>81.2</v>
      </c>
      <c r="I32" s="258">
        <v>0</v>
      </c>
      <c r="J32" s="258">
        <v>0</v>
      </c>
      <c r="K32" s="258">
        <v>50.416964924838936</v>
      </c>
      <c r="L32" s="258">
        <v>0</v>
      </c>
      <c r="M32" s="257">
        <v>58</v>
      </c>
      <c r="N32" s="257">
        <v>59</v>
      </c>
      <c r="O32" s="257">
        <v>56</v>
      </c>
      <c r="P32" s="257">
        <v>51</v>
      </c>
      <c r="Q32" s="257">
        <v>56</v>
      </c>
      <c r="R32" s="257">
        <v>57</v>
      </c>
      <c r="X32" s="257">
        <v>0</v>
      </c>
      <c r="Z32" s="257">
        <v>60</v>
      </c>
      <c r="AA32" s="257">
        <v>0</v>
      </c>
      <c r="AC32" s="258">
        <v>0</v>
      </c>
      <c r="AE32" s="258">
        <v>0</v>
      </c>
      <c r="AF32" s="258">
        <v>0</v>
      </c>
      <c r="AG32" s="258">
        <v>0</v>
      </c>
      <c r="AH32" s="258">
        <v>0</v>
      </c>
      <c r="AJ32" s="258">
        <v>98</v>
      </c>
      <c r="AQ32" s="258">
        <v>115</v>
      </c>
      <c r="AR32" s="258">
        <v>0</v>
      </c>
      <c r="AS32" s="258">
        <v>0</v>
      </c>
      <c r="AT32" s="258">
        <v>1</v>
      </c>
      <c r="AV32" s="258">
        <v>3</v>
      </c>
      <c r="AW32" s="296"/>
      <c r="AX32" s="258">
        <v>0</v>
      </c>
      <c r="AZ32" s="258">
        <v>0</v>
      </c>
      <c r="BB32" s="258">
        <v>0</v>
      </c>
      <c r="BC32" s="258">
        <v>0</v>
      </c>
      <c r="BD32" s="297" t="s">
        <v>214</v>
      </c>
      <c r="BF32" s="258">
        <v>397</v>
      </c>
      <c r="BG32" s="258">
        <v>63</v>
      </c>
      <c r="BO32" s="258">
        <v>1</v>
      </c>
      <c r="BP32" s="258">
        <v>0</v>
      </c>
      <c r="BW32" s="258">
        <v>0</v>
      </c>
      <c r="BX32" s="258">
        <v>1739.25</v>
      </c>
      <c r="BY32" s="258">
        <v>23870</v>
      </c>
      <c r="BZ32" s="258">
        <v>5303</v>
      </c>
      <c r="CA32" s="258">
        <v>18892.5</v>
      </c>
      <c r="CC32" s="325">
        <v>2102</v>
      </c>
      <c r="CD32" s="258">
        <v>1</v>
      </c>
      <c r="CJ32" s="258">
        <v>0</v>
      </c>
      <c r="CK32" s="258">
        <v>0</v>
      </c>
      <c r="CQ32" s="325">
        <v>397</v>
      </c>
      <c r="CR32" s="258">
        <v>98</v>
      </c>
      <c r="CS32" s="258">
        <v>8.26</v>
      </c>
      <c r="CT32" s="258">
        <v>272</v>
      </c>
      <c r="CU32" s="258">
        <v>0</v>
      </c>
      <c r="CV32" s="258">
        <v>0</v>
      </c>
      <c r="CW32" s="258">
        <v>0</v>
      </c>
      <c r="DE32" s="258">
        <v>397</v>
      </c>
      <c r="DF32" s="298">
        <v>0</v>
      </c>
      <c r="DG32" s="258" t="s">
        <v>210</v>
      </c>
      <c r="DH32" s="258">
        <v>1</v>
      </c>
      <c r="DI32" s="258">
        <v>24.685138539042821</v>
      </c>
      <c r="DJ32" s="258">
        <v>0</v>
      </c>
      <c r="DK32" s="258">
        <v>0</v>
      </c>
      <c r="DL32" s="258">
        <v>0</v>
      </c>
      <c r="DM32" s="258">
        <v>0</v>
      </c>
      <c r="DN32" s="258">
        <v>0</v>
      </c>
      <c r="DO32" s="258">
        <v>0</v>
      </c>
      <c r="DP32" s="258">
        <v>0</v>
      </c>
      <c r="DQ32" s="258">
        <v>0</v>
      </c>
      <c r="DR32" s="258">
        <v>0</v>
      </c>
      <c r="DS32" s="258">
        <v>0</v>
      </c>
      <c r="DT32" s="258">
        <v>0</v>
      </c>
      <c r="DU32" s="258">
        <v>0</v>
      </c>
      <c r="DZ32" s="259">
        <v>32</v>
      </c>
      <c r="EA32" s="259">
        <v>337</v>
      </c>
      <c r="EB32" s="259">
        <v>10</v>
      </c>
      <c r="EC32" s="259">
        <v>8</v>
      </c>
      <c r="ED32" s="259">
        <v>7</v>
      </c>
      <c r="EE32" s="259">
        <v>4</v>
      </c>
      <c r="EF32" s="262">
        <v>18</v>
      </c>
      <c r="EG32" s="262">
        <v>10</v>
      </c>
      <c r="EH32" s="262">
        <v>26</v>
      </c>
      <c r="EI32" s="262">
        <v>28</v>
      </c>
    </row>
    <row r="33" spans="1:139">
      <c r="A33" s="295">
        <v>2073</v>
      </c>
      <c r="B33" s="258" t="s">
        <v>341</v>
      </c>
      <c r="C33" s="258">
        <v>126</v>
      </c>
      <c r="D33" s="258">
        <v>365</v>
      </c>
      <c r="E33" s="296">
        <v>1</v>
      </c>
      <c r="F33" s="258">
        <v>0</v>
      </c>
      <c r="G33" s="258">
        <v>43356.517173771812</v>
      </c>
      <c r="H33" s="258">
        <v>129.95999999999935</v>
      </c>
      <c r="I33" s="258">
        <v>0</v>
      </c>
      <c r="J33" s="258">
        <v>0</v>
      </c>
      <c r="K33" s="258">
        <v>259.16726318301124</v>
      </c>
      <c r="L33" s="258">
        <v>0</v>
      </c>
      <c r="M33" s="257">
        <v>89</v>
      </c>
      <c r="N33" s="257">
        <v>89</v>
      </c>
      <c r="O33" s="257">
        <v>90</v>
      </c>
      <c r="P33" s="257">
        <v>89</v>
      </c>
      <c r="Q33" s="257">
        <v>90</v>
      </c>
      <c r="R33" s="257">
        <v>89</v>
      </c>
      <c r="X33" s="257">
        <v>0</v>
      </c>
      <c r="Z33" s="257">
        <v>116</v>
      </c>
      <c r="AA33" s="257">
        <v>0</v>
      </c>
      <c r="AC33" s="258">
        <v>0</v>
      </c>
      <c r="AE33" s="258">
        <v>0</v>
      </c>
      <c r="AF33" s="258">
        <v>0</v>
      </c>
      <c r="AG33" s="258">
        <v>0</v>
      </c>
      <c r="AH33" s="258">
        <v>0</v>
      </c>
      <c r="AJ33" s="258">
        <v>126</v>
      </c>
      <c r="AQ33" s="258">
        <v>170</v>
      </c>
      <c r="AR33" s="258">
        <v>1</v>
      </c>
      <c r="AS33" s="258">
        <v>0</v>
      </c>
      <c r="AT33" s="258">
        <v>1</v>
      </c>
      <c r="AV33" s="258">
        <v>0</v>
      </c>
      <c r="AW33" s="296"/>
      <c r="AX33" s="258">
        <v>0</v>
      </c>
      <c r="AZ33" s="258">
        <v>0</v>
      </c>
      <c r="BB33" s="258">
        <v>1</v>
      </c>
      <c r="BC33" s="258">
        <v>0</v>
      </c>
      <c r="BD33" s="297" t="s">
        <v>214</v>
      </c>
      <c r="BF33" s="258">
        <v>652</v>
      </c>
      <c r="BG33" s="258">
        <v>191</v>
      </c>
      <c r="BO33" s="258">
        <v>0</v>
      </c>
      <c r="BP33" s="258">
        <v>0</v>
      </c>
      <c r="BW33" s="258">
        <v>0</v>
      </c>
      <c r="BX33" s="258">
        <v>1739.25</v>
      </c>
      <c r="BY33" s="258">
        <v>33029</v>
      </c>
      <c r="BZ33" s="258">
        <v>7731</v>
      </c>
      <c r="CA33" s="258">
        <v>36089</v>
      </c>
      <c r="CC33" s="325">
        <v>3721</v>
      </c>
      <c r="CD33" s="258">
        <v>0</v>
      </c>
      <c r="CJ33" s="258">
        <v>0</v>
      </c>
      <c r="CK33" s="258">
        <v>0</v>
      </c>
      <c r="CQ33" s="325">
        <v>652</v>
      </c>
      <c r="CR33" s="258">
        <v>126</v>
      </c>
      <c r="CS33" s="258">
        <v>8.4599999999999937</v>
      </c>
      <c r="CT33" s="258">
        <v>365</v>
      </c>
      <c r="CU33" s="258">
        <v>0</v>
      </c>
      <c r="CV33" s="258">
        <v>0</v>
      </c>
      <c r="CW33" s="258">
        <v>0</v>
      </c>
      <c r="DE33" s="258">
        <v>652</v>
      </c>
      <c r="DF33" s="298">
        <v>0</v>
      </c>
      <c r="DG33" s="258" t="s">
        <v>210</v>
      </c>
      <c r="DH33" s="258">
        <v>1</v>
      </c>
      <c r="DI33" s="258">
        <v>19.325153374233128</v>
      </c>
      <c r="DJ33" s="258">
        <v>0</v>
      </c>
      <c r="DK33" s="258">
        <v>0</v>
      </c>
      <c r="DL33" s="258">
        <v>0</v>
      </c>
      <c r="DM33" s="258">
        <v>0</v>
      </c>
      <c r="DN33" s="258">
        <v>0</v>
      </c>
      <c r="DO33" s="258">
        <v>0</v>
      </c>
      <c r="DP33" s="258">
        <v>0</v>
      </c>
      <c r="DQ33" s="258">
        <v>0</v>
      </c>
      <c r="DR33" s="258">
        <v>0</v>
      </c>
      <c r="DS33" s="258">
        <v>0</v>
      </c>
      <c r="DT33" s="258">
        <v>0</v>
      </c>
      <c r="DU33" s="258">
        <v>0</v>
      </c>
      <c r="DZ33" s="259">
        <v>42</v>
      </c>
      <c r="EA33" s="259">
        <v>536</v>
      </c>
      <c r="EB33" s="259">
        <v>30</v>
      </c>
      <c r="EC33" s="259">
        <v>34</v>
      </c>
      <c r="ED33" s="259">
        <v>16</v>
      </c>
      <c r="EE33" s="259">
        <v>19</v>
      </c>
      <c r="EF33" s="262">
        <v>8</v>
      </c>
      <c r="EG33" s="262">
        <v>38</v>
      </c>
      <c r="EH33" s="262">
        <v>24</v>
      </c>
      <c r="EI33" s="262">
        <v>85</v>
      </c>
    </row>
    <row r="34" spans="1:139">
      <c r="A34" s="295">
        <v>2019</v>
      </c>
      <c r="B34" s="258" t="s">
        <v>56</v>
      </c>
      <c r="C34" s="258">
        <v>117</v>
      </c>
      <c r="D34" s="258">
        <v>676</v>
      </c>
      <c r="E34" s="296">
        <v>0</v>
      </c>
      <c r="F34" s="258">
        <v>0</v>
      </c>
      <c r="G34" s="258">
        <v>86659.37493535431</v>
      </c>
      <c r="H34" s="258">
        <v>98.46916890080432</v>
      </c>
      <c r="I34" s="258">
        <v>0</v>
      </c>
      <c r="J34" s="258">
        <v>0</v>
      </c>
      <c r="K34" s="258">
        <v>75</v>
      </c>
      <c r="L34" s="258">
        <v>0</v>
      </c>
      <c r="M34" s="257">
        <v>90</v>
      </c>
      <c r="N34" s="257">
        <v>120</v>
      </c>
      <c r="O34" s="257">
        <v>0</v>
      </c>
      <c r="P34" s="257">
        <v>0</v>
      </c>
      <c r="Q34" s="257">
        <v>0</v>
      </c>
      <c r="R34" s="257">
        <v>0</v>
      </c>
      <c r="X34" s="257">
        <v>73</v>
      </c>
      <c r="Z34" s="257">
        <v>90</v>
      </c>
      <c r="AA34" s="257">
        <v>0</v>
      </c>
      <c r="AC34" s="258">
        <v>0</v>
      </c>
      <c r="AE34" s="258">
        <v>30</v>
      </c>
      <c r="AF34" s="258">
        <v>147.90526315789475</v>
      </c>
      <c r="AG34" s="258">
        <v>42153</v>
      </c>
      <c r="AH34" s="258">
        <v>23.654570906432756</v>
      </c>
      <c r="AJ34" s="258">
        <v>117</v>
      </c>
      <c r="AQ34" s="258">
        <v>138</v>
      </c>
      <c r="AR34" s="258">
        <v>1</v>
      </c>
      <c r="AS34" s="258">
        <v>0</v>
      </c>
      <c r="AT34" s="258">
        <v>1</v>
      </c>
      <c r="AV34" s="258">
        <v>0</v>
      </c>
      <c r="AW34" s="296"/>
      <c r="AX34" s="258">
        <v>0</v>
      </c>
      <c r="AZ34" s="258">
        <v>0</v>
      </c>
      <c r="BB34" s="258">
        <v>0</v>
      </c>
      <c r="BC34" s="258">
        <v>0</v>
      </c>
      <c r="BD34" s="297" t="s">
        <v>214</v>
      </c>
      <c r="BF34" s="258">
        <v>343.8</v>
      </c>
      <c r="BG34" s="258">
        <v>206</v>
      </c>
      <c r="BO34" s="258">
        <v>1</v>
      </c>
      <c r="BP34" s="258">
        <v>35595.986657957561</v>
      </c>
      <c r="BW34" s="258">
        <v>0</v>
      </c>
      <c r="BX34" s="258">
        <v>869.63</v>
      </c>
      <c r="BY34" s="258">
        <v>8955.9328884652041</v>
      </c>
      <c r="BZ34" s="258">
        <v>2374</v>
      </c>
      <c r="CA34" s="258">
        <v>13503.5</v>
      </c>
      <c r="CC34" s="325">
        <v>1179</v>
      </c>
      <c r="CD34" s="258">
        <v>0</v>
      </c>
      <c r="CJ34" s="258">
        <v>0</v>
      </c>
      <c r="CK34" s="258">
        <v>0</v>
      </c>
      <c r="CQ34" s="325">
        <v>343.8</v>
      </c>
      <c r="CR34" s="258">
        <v>134.4</v>
      </c>
      <c r="CS34" s="258">
        <v>12</v>
      </c>
      <c r="CT34" s="258">
        <v>676</v>
      </c>
      <c r="CU34" s="258">
        <v>0</v>
      </c>
      <c r="CV34" s="258">
        <v>0</v>
      </c>
      <c r="CW34" s="258">
        <v>0</v>
      </c>
      <c r="CY34" s="258">
        <v>1</v>
      </c>
      <c r="DE34" s="258">
        <v>300</v>
      </c>
      <c r="DF34" s="298">
        <v>0</v>
      </c>
      <c r="DG34" s="258" t="s">
        <v>280</v>
      </c>
      <c r="DH34" s="258">
        <v>1</v>
      </c>
      <c r="DI34" s="258">
        <v>39</v>
      </c>
      <c r="DJ34" s="258">
        <v>10.263157894736842</v>
      </c>
      <c r="DK34" s="258">
        <v>11.368421052631579</v>
      </c>
      <c r="DL34" s="258">
        <v>8.3684210526315788</v>
      </c>
      <c r="DM34" s="258">
        <v>15210</v>
      </c>
      <c r="DN34" s="258">
        <v>15336</v>
      </c>
      <c r="DO34" s="258">
        <v>11607</v>
      </c>
      <c r="DP34" s="258">
        <v>53.368421052631582</v>
      </c>
      <c r="DQ34" s="258">
        <v>53.810526315789474</v>
      </c>
      <c r="DR34" s="258">
        <v>40.726315789473681</v>
      </c>
      <c r="DS34" s="258">
        <v>8.5352412280701788</v>
      </c>
      <c r="DT34" s="258">
        <v>8.6059473684210559</v>
      </c>
      <c r="DU34" s="258">
        <v>6.5133823099415222</v>
      </c>
      <c r="DZ34" s="259">
        <v>21</v>
      </c>
      <c r="EA34" s="259">
        <v>210</v>
      </c>
      <c r="EB34" s="259">
        <v>47</v>
      </c>
      <c r="EC34" s="259">
        <v>42</v>
      </c>
      <c r="ED34" s="259">
        <v>5</v>
      </c>
      <c r="EE34" s="259">
        <v>8</v>
      </c>
      <c r="EF34" s="262">
        <v>10</v>
      </c>
      <c r="EG34" s="262">
        <v>22</v>
      </c>
      <c r="EH34" s="262">
        <v>132</v>
      </c>
      <c r="EI34" s="262">
        <v>122</v>
      </c>
    </row>
    <row r="35" spans="1:139">
      <c r="A35" s="295">
        <v>2018</v>
      </c>
      <c r="B35" s="258" t="s">
        <v>57</v>
      </c>
      <c r="C35" s="258">
        <v>118</v>
      </c>
      <c r="D35" s="258">
        <v>216</v>
      </c>
      <c r="E35" s="296">
        <v>0</v>
      </c>
      <c r="F35" s="258">
        <v>0</v>
      </c>
      <c r="G35" s="258">
        <v>54.610493827160489</v>
      </c>
      <c r="H35" s="258">
        <v>116.92</v>
      </c>
      <c r="I35" s="258">
        <v>0</v>
      </c>
      <c r="J35" s="258">
        <v>0</v>
      </c>
      <c r="K35" s="258">
        <v>248.33452636602237</v>
      </c>
      <c r="L35" s="258">
        <v>0</v>
      </c>
      <c r="M35" s="257">
        <v>0</v>
      </c>
      <c r="N35" s="257">
        <v>0</v>
      </c>
      <c r="O35" s="257">
        <v>90</v>
      </c>
      <c r="P35" s="257">
        <v>90</v>
      </c>
      <c r="Q35" s="257">
        <v>90</v>
      </c>
      <c r="R35" s="257">
        <v>88</v>
      </c>
      <c r="X35" s="257">
        <v>0</v>
      </c>
      <c r="Z35" s="257">
        <v>0</v>
      </c>
      <c r="AA35" s="257">
        <v>0</v>
      </c>
      <c r="AC35" s="258">
        <v>0</v>
      </c>
      <c r="AE35" s="258">
        <v>0</v>
      </c>
      <c r="AF35" s="258">
        <v>0</v>
      </c>
      <c r="AG35" s="258">
        <v>0</v>
      </c>
      <c r="AH35" s="258">
        <v>0</v>
      </c>
      <c r="AJ35" s="258">
        <v>118</v>
      </c>
      <c r="AQ35" s="258">
        <v>194</v>
      </c>
      <c r="AR35" s="258">
        <v>1</v>
      </c>
      <c r="AS35" s="258">
        <v>0</v>
      </c>
      <c r="AT35" s="258">
        <v>1</v>
      </c>
      <c r="AV35" s="258">
        <v>3</v>
      </c>
      <c r="AW35" s="296"/>
      <c r="AX35" s="258">
        <v>0</v>
      </c>
      <c r="AZ35" s="258">
        <v>1</v>
      </c>
      <c r="BB35" s="258">
        <v>0</v>
      </c>
      <c r="BC35" s="258">
        <v>0</v>
      </c>
      <c r="BD35" s="297" t="s">
        <v>214</v>
      </c>
      <c r="BF35" s="258">
        <v>358</v>
      </c>
      <c r="BG35" s="258">
        <v>181</v>
      </c>
      <c r="BO35" s="258">
        <v>1</v>
      </c>
      <c r="BP35" s="258">
        <v>37541.409857875471</v>
      </c>
      <c r="BW35" s="258">
        <v>0</v>
      </c>
      <c r="BX35" s="258">
        <v>869.62</v>
      </c>
      <c r="BY35" s="258">
        <v>11912.067111534796</v>
      </c>
      <c r="BZ35" s="258">
        <v>3059</v>
      </c>
      <c r="CA35" s="258">
        <v>13503.5</v>
      </c>
      <c r="CC35" s="325">
        <v>2028</v>
      </c>
      <c r="CD35" s="258">
        <v>0</v>
      </c>
      <c r="CJ35" s="258">
        <v>0</v>
      </c>
      <c r="CK35" s="258">
        <v>0</v>
      </c>
      <c r="CQ35" s="325">
        <v>358</v>
      </c>
      <c r="CR35" s="258">
        <v>118</v>
      </c>
      <c r="CS35" s="258">
        <v>30.6</v>
      </c>
      <c r="CT35" s="258">
        <v>216</v>
      </c>
      <c r="CU35" s="258">
        <v>0</v>
      </c>
      <c r="CV35" s="258">
        <v>0</v>
      </c>
      <c r="CW35" s="258">
        <v>0</v>
      </c>
      <c r="DE35" s="258">
        <v>358</v>
      </c>
      <c r="DF35" s="298">
        <v>0</v>
      </c>
      <c r="DG35" s="258" t="s">
        <v>279</v>
      </c>
      <c r="DH35" s="258">
        <v>1</v>
      </c>
      <c r="DI35" s="258">
        <v>32.960893854748605</v>
      </c>
      <c r="DJ35" s="258">
        <v>0</v>
      </c>
      <c r="DK35" s="258">
        <v>0</v>
      </c>
      <c r="DL35" s="258">
        <v>0</v>
      </c>
      <c r="DM35" s="258">
        <v>0</v>
      </c>
      <c r="DN35" s="258">
        <v>0</v>
      </c>
      <c r="DO35" s="258">
        <v>0</v>
      </c>
      <c r="DP35" s="258">
        <v>0</v>
      </c>
      <c r="DQ35" s="258">
        <v>0</v>
      </c>
      <c r="DR35" s="258">
        <v>0</v>
      </c>
      <c r="DS35" s="258">
        <v>0</v>
      </c>
      <c r="DT35" s="258">
        <v>0</v>
      </c>
      <c r="DU35" s="258">
        <v>0</v>
      </c>
      <c r="DZ35" s="259">
        <v>29</v>
      </c>
      <c r="EA35" s="259">
        <v>358</v>
      </c>
      <c r="EB35" s="259">
        <v>28</v>
      </c>
      <c r="EC35" s="259">
        <v>60</v>
      </c>
      <c r="ED35" s="259">
        <v>9</v>
      </c>
      <c r="EE35" s="259">
        <v>10</v>
      </c>
      <c r="EF35" s="262">
        <v>16</v>
      </c>
      <c r="EG35" s="262">
        <v>26</v>
      </c>
      <c r="EH35" s="262">
        <v>0</v>
      </c>
      <c r="EI35" s="262">
        <v>0</v>
      </c>
    </row>
    <row r="36" spans="1:139">
      <c r="A36" s="295">
        <v>2021</v>
      </c>
      <c r="B36" s="258" t="s">
        <v>58</v>
      </c>
      <c r="C36" s="258">
        <v>99</v>
      </c>
      <c r="D36" s="258">
        <v>659</v>
      </c>
      <c r="E36" s="296">
        <v>0</v>
      </c>
      <c r="F36" s="258">
        <v>0</v>
      </c>
      <c r="G36" s="258">
        <v>78953.580124951972</v>
      </c>
      <c r="H36" s="258">
        <v>95.447177177177082</v>
      </c>
      <c r="I36" s="258">
        <v>0</v>
      </c>
      <c r="J36" s="258">
        <v>0</v>
      </c>
      <c r="K36" s="258">
        <v>165</v>
      </c>
      <c r="L36" s="258">
        <v>0</v>
      </c>
      <c r="M36" s="257">
        <v>86</v>
      </c>
      <c r="N36" s="257">
        <v>90</v>
      </c>
      <c r="O36" s="257">
        <v>0</v>
      </c>
      <c r="P36" s="257">
        <v>0</v>
      </c>
      <c r="Q36" s="257">
        <v>0</v>
      </c>
      <c r="R36" s="257">
        <v>0</v>
      </c>
      <c r="X36" s="257">
        <v>52</v>
      </c>
      <c r="Z36" s="257">
        <v>105</v>
      </c>
      <c r="AA36" s="257">
        <v>0</v>
      </c>
      <c r="AC36" s="258">
        <v>0</v>
      </c>
      <c r="AE36" s="258">
        <v>30</v>
      </c>
      <c r="AF36" s="258">
        <v>98.15789473684211</v>
      </c>
      <c r="AG36" s="258">
        <v>27975</v>
      </c>
      <c r="AH36" s="258">
        <v>17.196508097165999</v>
      </c>
      <c r="AJ36" s="258">
        <v>99</v>
      </c>
      <c r="AO36" s="258">
        <v>40784.85</v>
      </c>
      <c r="AQ36" s="258">
        <v>119</v>
      </c>
      <c r="AR36" s="258">
        <v>1</v>
      </c>
      <c r="AS36" s="258">
        <v>0</v>
      </c>
      <c r="AT36" s="258">
        <v>1</v>
      </c>
      <c r="AV36" s="258">
        <v>0</v>
      </c>
      <c r="AW36" s="296"/>
      <c r="AX36" s="258">
        <v>0</v>
      </c>
      <c r="AZ36" s="258">
        <v>0</v>
      </c>
      <c r="BB36" s="258">
        <v>0</v>
      </c>
      <c r="BC36" s="258">
        <v>0</v>
      </c>
      <c r="BD36" s="297" t="s">
        <v>214</v>
      </c>
      <c r="BF36" s="258">
        <v>312.2</v>
      </c>
      <c r="BG36" s="258">
        <v>189</v>
      </c>
      <c r="BO36" s="258">
        <v>0</v>
      </c>
      <c r="BP36" s="258">
        <v>0</v>
      </c>
      <c r="BW36" s="258">
        <v>0</v>
      </c>
      <c r="BX36" s="258">
        <v>869.63</v>
      </c>
      <c r="BY36" s="258">
        <v>13300</v>
      </c>
      <c r="BZ36" s="258">
        <v>2984</v>
      </c>
      <c r="CA36" s="258">
        <v>18320</v>
      </c>
      <c r="CC36" s="325">
        <v>1844.48</v>
      </c>
      <c r="CD36" s="258">
        <v>0</v>
      </c>
      <c r="CJ36" s="258">
        <v>0</v>
      </c>
      <c r="CK36" s="258">
        <v>0</v>
      </c>
      <c r="CQ36" s="325">
        <v>312.2</v>
      </c>
      <c r="CR36" s="258">
        <v>108</v>
      </c>
      <c r="CS36" s="258">
        <v>18</v>
      </c>
      <c r="CT36" s="258">
        <v>659</v>
      </c>
      <c r="CU36" s="258">
        <v>0</v>
      </c>
      <c r="CV36" s="258">
        <v>0</v>
      </c>
      <c r="CW36" s="258">
        <v>0</v>
      </c>
      <c r="CY36" s="258">
        <v>1</v>
      </c>
      <c r="DE36" s="258">
        <v>281</v>
      </c>
      <c r="DF36" s="298">
        <v>0</v>
      </c>
      <c r="DG36" s="258" t="s">
        <v>280</v>
      </c>
      <c r="DH36" s="258">
        <v>1</v>
      </c>
      <c r="DI36" s="258">
        <v>35.231316725978644</v>
      </c>
      <c r="DJ36" s="258">
        <v>10.263157894736842</v>
      </c>
      <c r="DK36" s="258">
        <v>11.368421052631579</v>
      </c>
      <c r="DL36" s="258">
        <v>8.3684210526315788</v>
      </c>
      <c r="DM36" s="258">
        <v>9555</v>
      </c>
      <c r="DN36" s="258">
        <v>10152</v>
      </c>
      <c r="DO36" s="258">
        <v>8268</v>
      </c>
      <c r="DP36" s="258">
        <v>33.526315789473685</v>
      </c>
      <c r="DQ36" s="258">
        <v>35.621052631578948</v>
      </c>
      <c r="DR36" s="258">
        <v>29.01052631578947</v>
      </c>
      <c r="DS36" s="258">
        <v>5.8735526315789501</v>
      </c>
      <c r="DT36" s="258">
        <v>6.2405344129554674</v>
      </c>
      <c r="DU36" s="258">
        <v>5.0824210526315809</v>
      </c>
      <c r="DZ36" s="259">
        <v>23</v>
      </c>
      <c r="EA36" s="259">
        <v>176</v>
      </c>
      <c r="EB36" s="259">
        <v>37</v>
      </c>
      <c r="EC36" s="259">
        <v>22</v>
      </c>
      <c r="ED36" s="259">
        <v>16</v>
      </c>
      <c r="EE36" s="259">
        <v>8</v>
      </c>
      <c r="EF36" s="262">
        <v>18</v>
      </c>
      <c r="EG36" s="262">
        <v>16</v>
      </c>
      <c r="EH36" s="262">
        <v>106</v>
      </c>
      <c r="EI36" s="262">
        <v>151</v>
      </c>
    </row>
    <row r="37" spans="1:139">
      <c r="A37" s="295">
        <v>5200</v>
      </c>
      <c r="B37" s="258" t="s">
        <v>59</v>
      </c>
      <c r="C37" s="258">
        <v>113</v>
      </c>
      <c r="D37" s="258">
        <v>318</v>
      </c>
      <c r="E37" s="296">
        <v>0</v>
      </c>
      <c r="F37" s="258">
        <v>0</v>
      </c>
      <c r="G37" s="258">
        <v>97.01</v>
      </c>
      <c r="H37" s="258">
        <v>110.46</v>
      </c>
      <c r="I37" s="258">
        <v>0</v>
      </c>
      <c r="J37" s="258">
        <v>0</v>
      </c>
      <c r="K37" s="258">
        <v>260</v>
      </c>
      <c r="L37" s="258">
        <v>0</v>
      </c>
      <c r="M37" s="257">
        <v>0</v>
      </c>
      <c r="N37" s="257">
        <v>0</v>
      </c>
      <c r="O37" s="257">
        <v>90</v>
      </c>
      <c r="P37" s="257">
        <v>89</v>
      </c>
      <c r="Q37" s="257">
        <v>78</v>
      </c>
      <c r="R37" s="257">
        <v>78</v>
      </c>
      <c r="X37" s="257">
        <v>0</v>
      </c>
      <c r="Z37" s="257">
        <v>0</v>
      </c>
      <c r="AA37" s="257">
        <v>0</v>
      </c>
      <c r="AC37" s="258">
        <v>0</v>
      </c>
      <c r="AE37" s="258">
        <v>0</v>
      </c>
      <c r="AF37" s="258">
        <v>0</v>
      </c>
      <c r="AG37" s="258">
        <v>0</v>
      </c>
      <c r="AH37" s="258">
        <v>0</v>
      </c>
      <c r="AJ37" s="258">
        <v>113</v>
      </c>
      <c r="AN37" s="258">
        <v>0</v>
      </c>
      <c r="AQ37" s="258">
        <v>172</v>
      </c>
      <c r="AR37" s="258">
        <v>2</v>
      </c>
      <c r="AS37" s="258">
        <v>0</v>
      </c>
      <c r="AT37" s="258">
        <v>1</v>
      </c>
      <c r="AV37" s="258">
        <v>0</v>
      </c>
      <c r="AW37" s="296"/>
      <c r="AX37" s="258">
        <v>0</v>
      </c>
      <c r="AZ37" s="258">
        <v>0</v>
      </c>
      <c r="BB37" s="258">
        <v>0</v>
      </c>
      <c r="BC37" s="258">
        <v>0</v>
      </c>
      <c r="BD37" s="297" t="s">
        <v>599</v>
      </c>
      <c r="BF37" s="258">
        <v>335</v>
      </c>
      <c r="BG37" s="258">
        <v>185</v>
      </c>
      <c r="BO37" s="258">
        <v>0</v>
      </c>
      <c r="BP37" s="258">
        <v>0</v>
      </c>
      <c r="BW37" s="258">
        <v>0</v>
      </c>
      <c r="BX37" s="258">
        <v>869.62</v>
      </c>
      <c r="BY37" s="258">
        <v>18100</v>
      </c>
      <c r="BZ37" s="258">
        <v>2727</v>
      </c>
      <c r="CA37" s="258">
        <v>0</v>
      </c>
      <c r="CC37" s="325">
        <v>3002</v>
      </c>
      <c r="CD37" s="258">
        <v>0</v>
      </c>
      <c r="CJ37" s="258">
        <v>0</v>
      </c>
      <c r="CK37" s="258">
        <v>0</v>
      </c>
      <c r="CQ37" s="325">
        <v>335</v>
      </c>
      <c r="CR37" s="258">
        <v>113</v>
      </c>
      <c r="CS37" s="258">
        <v>25.2</v>
      </c>
      <c r="CT37" s="258">
        <v>318</v>
      </c>
      <c r="CU37" s="258">
        <v>0</v>
      </c>
      <c r="CV37" s="258">
        <v>0</v>
      </c>
      <c r="CW37" s="258">
        <v>0</v>
      </c>
      <c r="DE37" s="258">
        <v>335</v>
      </c>
      <c r="DF37" s="298">
        <v>0</v>
      </c>
      <c r="DG37" s="258" t="s">
        <v>279</v>
      </c>
      <c r="DH37" s="258">
        <v>1</v>
      </c>
      <c r="DI37" s="258">
        <v>33.731343283582085</v>
      </c>
      <c r="DJ37" s="258">
        <v>0</v>
      </c>
      <c r="DK37" s="258">
        <v>0</v>
      </c>
      <c r="DL37" s="258">
        <v>0</v>
      </c>
      <c r="DM37" s="258">
        <v>0</v>
      </c>
      <c r="DN37" s="258">
        <v>0</v>
      </c>
      <c r="DO37" s="258">
        <v>0</v>
      </c>
      <c r="DP37" s="258">
        <v>0</v>
      </c>
      <c r="DQ37" s="258">
        <v>0</v>
      </c>
      <c r="DR37" s="258">
        <v>0</v>
      </c>
      <c r="DS37" s="258">
        <v>0</v>
      </c>
      <c r="DT37" s="258">
        <v>0</v>
      </c>
      <c r="DU37" s="258">
        <v>0</v>
      </c>
      <c r="DZ37" s="259">
        <v>40</v>
      </c>
      <c r="EA37" s="259">
        <v>335</v>
      </c>
      <c r="EB37" s="259">
        <v>40</v>
      </c>
      <c r="EC37" s="259">
        <v>31</v>
      </c>
      <c r="ED37" s="259">
        <v>9</v>
      </c>
      <c r="EE37" s="259">
        <v>7</v>
      </c>
      <c r="EF37" s="262">
        <v>26</v>
      </c>
      <c r="EG37" s="262">
        <v>34</v>
      </c>
      <c r="EH37" s="262">
        <v>0</v>
      </c>
      <c r="EI37" s="262">
        <v>0</v>
      </c>
    </row>
    <row r="38" spans="1:139">
      <c r="A38" s="295">
        <v>5999</v>
      </c>
      <c r="B38" s="258" t="s">
        <v>600</v>
      </c>
      <c r="C38" s="258">
        <v>0</v>
      </c>
      <c r="D38" s="258">
        <v>0</v>
      </c>
      <c r="E38" s="296">
        <v>0</v>
      </c>
      <c r="F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7">
        <v>0</v>
      </c>
      <c r="N38" s="257">
        <v>0</v>
      </c>
      <c r="O38" s="257">
        <v>0</v>
      </c>
      <c r="P38" s="257">
        <v>0</v>
      </c>
      <c r="Q38" s="257">
        <v>0</v>
      </c>
      <c r="R38" s="257">
        <v>0</v>
      </c>
      <c r="X38" s="257">
        <v>0</v>
      </c>
      <c r="Z38" s="257">
        <v>0</v>
      </c>
      <c r="AA38" s="257">
        <v>0</v>
      </c>
      <c r="AC38" s="258">
        <v>0</v>
      </c>
      <c r="AE38" s="258">
        <v>0</v>
      </c>
      <c r="AF38" s="258">
        <v>0</v>
      </c>
      <c r="AG38" s="258">
        <v>0</v>
      </c>
      <c r="AH38" s="258">
        <v>0</v>
      </c>
      <c r="AJ38" s="258">
        <v>0</v>
      </c>
      <c r="AN38" s="258">
        <v>0</v>
      </c>
      <c r="AQ38" s="258">
        <v>0</v>
      </c>
      <c r="AR38" s="258">
        <v>0</v>
      </c>
      <c r="AS38" s="258">
        <v>0</v>
      </c>
      <c r="AT38" s="258">
        <v>1</v>
      </c>
      <c r="AV38" s="258">
        <v>0</v>
      </c>
      <c r="AW38" s="296"/>
      <c r="AX38" s="258">
        <v>0</v>
      </c>
      <c r="AZ38" s="258">
        <v>0</v>
      </c>
      <c r="BB38" s="258">
        <v>0</v>
      </c>
      <c r="BC38" s="258">
        <v>0</v>
      </c>
      <c r="BD38" s="297" t="s">
        <v>601</v>
      </c>
      <c r="BF38" s="258">
        <v>0</v>
      </c>
      <c r="BG38" s="258">
        <v>0</v>
      </c>
      <c r="BO38" s="258">
        <v>0</v>
      </c>
      <c r="BP38" s="258">
        <v>0</v>
      </c>
      <c r="BW38" s="258">
        <v>0</v>
      </c>
      <c r="BX38" s="258">
        <v>0</v>
      </c>
      <c r="BZ38" s="258">
        <v>0</v>
      </c>
      <c r="CA38" s="258">
        <v>0</v>
      </c>
      <c r="CC38" s="325">
        <v>0</v>
      </c>
      <c r="CD38" s="258">
        <v>0</v>
      </c>
      <c r="CJ38" s="258">
        <v>0</v>
      </c>
      <c r="CK38" s="258">
        <v>0</v>
      </c>
      <c r="CQ38" s="325">
        <v>0</v>
      </c>
      <c r="CR38" s="258">
        <v>0</v>
      </c>
      <c r="CS38" s="258">
        <v>0</v>
      </c>
      <c r="CT38" s="258">
        <v>0</v>
      </c>
      <c r="CU38" s="258">
        <v>0</v>
      </c>
      <c r="CV38" s="258">
        <v>0</v>
      </c>
      <c r="CW38" s="258">
        <v>0</v>
      </c>
      <c r="DE38" s="258">
        <v>0</v>
      </c>
      <c r="DF38" s="298">
        <v>0</v>
      </c>
      <c r="DG38" s="258" t="s">
        <v>210</v>
      </c>
      <c r="DI38" s="258">
        <v>0</v>
      </c>
      <c r="DJ38" s="258">
        <v>0</v>
      </c>
      <c r="DK38" s="258">
        <v>0</v>
      </c>
      <c r="DL38" s="258">
        <v>0</v>
      </c>
      <c r="DM38" s="258">
        <v>0</v>
      </c>
      <c r="DN38" s="258">
        <v>0</v>
      </c>
      <c r="DO38" s="258">
        <v>0</v>
      </c>
      <c r="DP38" s="258">
        <v>0</v>
      </c>
      <c r="DQ38" s="258">
        <v>0</v>
      </c>
      <c r="DR38" s="258">
        <v>0</v>
      </c>
      <c r="DS38" s="258">
        <v>0</v>
      </c>
      <c r="DT38" s="258">
        <v>0</v>
      </c>
      <c r="DU38" s="258">
        <v>0</v>
      </c>
      <c r="DZ38" s="259">
        <v>0</v>
      </c>
      <c r="EA38" s="259">
        <v>0</v>
      </c>
      <c r="EB38" s="259">
        <v>0</v>
      </c>
      <c r="EC38" s="259">
        <v>0</v>
      </c>
      <c r="ED38" s="259">
        <v>0</v>
      </c>
      <c r="EE38" s="259">
        <v>0</v>
      </c>
      <c r="EF38" s="262">
        <v>0</v>
      </c>
      <c r="EG38" s="262">
        <v>0</v>
      </c>
      <c r="EH38" s="262">
        <v>0</v>
      </c>
      <c r="EI38" s="262">
        <v>0</v>
      </c>
    </row>
    <row r="39" spans="1:139">
      <c r="A39" s="295">
        <v>2023</v>
      </c>
      <c r="B39" s="258" t="s">
        <v>60</v>
      </c>
      <c r="C39" s="258">
        <v>81</v>
      </c>
      <c r="D39" s="258">
        <v>667</v>
      </c>
      <c r="E39" s="296">
        <v>0</v>
      </c>
      <c r="F39" s="258">
        <v>0</v>
      </c>
      <c r="G39" s="258">
        <v>68256.896881759414</v>
      </c>
      <c r="H39" s="258">
        <v>101.12182857142888</v>
      </c>
      <c r="I39" s="258">
        <v>0</v>
      </c>
      <c r="J39" s="258">
        <v>0</v>
      </c>
      <c r="K39" s="258">
        <v>155</v>
      </c>
      <c r="L39" s="258">
        <v>0</v>
      </c>
      <c r="M39" s="257">
        <v>89</v>
      </c>
      <c r="N39" s="257">
        <v>94</v>
      </c>
      <c r="O39" s="257">
        <v>0</v>
      </c>
      <c r="P39" s="257">
        <v>0</v>
      </c>
      <c r="Q39" s="257">
        <v>0</v>
      </c>
      <c r="R39" s="257">
        <v>0</v>
      </c>
      <c r="X39" s="257">
        <v>78</v>
      </c>
      <c r="Z39" s="257">
        <v>89</v>
      </c>
      <c r="AA39" s="257">
        <v>0</v>
      </c>
      <c r="AC39" s="258">
        <v>0</v>
      </c>
      <c r="AE39" s="258">
        <v>30</v>
      </c>
      <c r="AF39" s="258">
        <v>148.42105263157896</v>
      </c>
      <c r="AG39" s="258">
        <v>42300</v>
      </c>
      <c r="AH39" s="258">
        <v>27.553036437246956</v>
      </c>
      <c r="AJ39" s="258">
        <v>81</v>
      </c>
      <c r="AN39" s="258">
        <v>0</v>
      </c>
      <c r="AO39" s="258">
        <v>10875.96</v>
      </c>
      <c r="AQ39" s="258">
        <v>100</v>
      </c>
      <c r="AR39" s="258">
        <v>0</v>
      </c>
      <c r="AS39" s="258">
        <v>0</v>
      </c>
      <c r="AT39" s="258">
        <v>1</v>
      </c>
      <c r="AV39" s="258">
        <v>2</v>
      </c>
      <c r="AW39" s="296"/>
      <c r="AX39" s="258">
        <v>0</v>
      </c>
      <c r="AZ39" s="258">
        <v>0</v>
      </c>
      <c r="BB39" s="258">
        <v>0</v>
      </c>
      <c r="BC39" s="258">
        <v>0</v>
      </c>
      <c r="BD39" s="297" t="s">
        <v>214</v>
      </c>
      <c r="BF39" s="258">
        <v>318.8</v>
      </c>
      <c r="BG39" s="258">
        <v>120</v>
      </c>
      <c r="BO39" s="258">
        <v>0</v>
      </c>
      <c r="BP39" s="258">
        <v>62673.387323220268</v>
      </c>
      <c r="BW39" s="258">
        <v>0</v>
      </c>
      <c r="BX39" s="258">
        <v>869.63</v>
      </c>
      <c r="BY39" s="258">
        <v>6300.8642568077375</v>
      </c>
      <c r="BZ39" s="258">
        <v>2282</v>
      </c>
      <c r="CA39" s="258">
        <v>8759.25</v>
      </c>
      <c r="CC39" s="325">
        <v>1360</v>
      </c>
      <c r="CD39" s="258">
        <v>0</v>
      </c>
      <c r="CJ39" s="258">
        <v>0</v>
      </c>
      <c r="CK39" s="258">
        <v>0</v>
      </c>
      <c r="CQ39" s="325">
        <v>318.8</v>
      </c>
      <c r="CR39" s="258">
        <v>90.6</v>
      </c>
      <c r="CS39" s="258">
        <v>25</v>
      </c>
      <c r="CT39" s="258">
        <v>667</v>
      </c>
      <c r="CU39" s="258">
        <v>0</v>
      </c>
      <c r="CV39" s="258">
        <v>0</v>
      </c>
      <c r="CW39" s="258">
        <v>0</v>
      </c>
      <c r="DE39" s="258">
        <v>272</v>
      </c>
      <c r="DF39" s="298">
        <v>0</v>
      </c>
      <c r="DG39" s="258" t="s">
        <v>280</v>
      </c>
      <c r="DH39" s="258">
        <v>1</v>
      </c>
      <c r="DI39" s="258">
        <v>29.77941176470588</v>
      </c>
      <c r="DJ39" s="258">
        <v>10.263157894736842</v>
      </c>
      <c r="DK39" s="258">
        <v>11.368421052631579</v>
      </c>
      <c r="DL39" s="258">
        <v>8.3684210526315788</v>
      </c>
      <c r="DM39" s="258">
        <v>15210</v>
      </c>
      <c r="DN39" s="258">
        <v>14688</v>
      </c>
      <c r="DO39" s="258">
        <v>12402</v>
      </c>
      <c r="DP39" s="258">
        <v>53.368421052631582</v>
      </c>
      <c r="DQ39" s="258">
        <v>51.536842105263162</v>
      </c>
      <c r="DR39" s="258">
        <v>43.515789473684208</v>
      </c>
      <c r="DS39" s="258">
        <v>9.9073684210526292</v>
      </c>
      <c r="DT39" s="258">
        <v>9.5673522267206454</v>
      </c>
      <c r="DU39" s="258">
        <v>8.078315789473681</v>
      </c>
      <c r="DZ39" s="259">
        <v>18</v>
      </c>
      <c r="EA39" s="259">
        <v>183</v>
      </c>
      <c r="EB39" s="259">
        <v>26</v>
      </c>
      <c r="EC39" s="259">
        <v>37</v>
      </c>
      <c r="ED39" s="259">
        <v>1</v>
      </c>
      <c r="EE39" s="259">
        <v>2</v>
      </c>
      <c r="EF39" s="262">
        <v>4</v>
      </c>
      <c r="EG39" s="262">
        <v>24</v>
      </c>
      <c r="EH39" s="262">
        <v>116</v>
      </c>
      <c r="EI39" s="262">
        <v>195</v>
      </c>
    </row>
    <row r="40" spans="1:139">
      <c r="A40" s="295">
        <v>2022</v>
      </c>
      <c r="B40" s="258" t="s">
        <v>61</v>
      </c>
      <c r="C40" s="258">
        <v>95</v>
      </c>
      <c r="D40" s="258">
        <v>428</v>
      </c>
      <c r="E40" s="296">
        <v>0</v>
      </c>
      <c r="F40" s="258">
        <v>55</v>
      </c>
      <c r="G40" s="258">
        <v>132.05135802469135</v>
      </c>
      <c r="H40" s="258">
        <v>121.42</v>
      </c>
      <c r="I40" s="258">
        <v>0</v>
      </c>
      <c r="J40" s="258">
        <v>0</v>
      </c>
      <c r="K40" s="258">
        <v>140</v>
      </c>
      <c r="L40" s="258">
        <v>0</v>
      </c>
      <c r="M40" s="257">
        <v>0</v>
      </c>
      <c r="N40" s="257">
        <v>0</v>
      </c>
      <c r="O40" s="257">
        <v>88</v>
      </c>
      <c r="P40" s="257">
        <v>85</v>
      </c>
      <c r="Q40" s="257">
        <v>80</v>
      </c>
      <c r="R40" s="257">
        <v>71</v>
      </c>
      <c r="X40" s="257">
        <v>0</v>
      </c>
      <c r="Z40" s="257">
        <v>0</v>
      </c>
      <c r="AA40" s="257">
        <v>0</v>
      </c>
      <c r="AC40" s="258">
        <v>0</v>
      </c>
      <c r="AE40" s="258">
        <v>0</v>
      </c>
      <c r="AF40" s="258">
        <v>0</v>
      </c>
      <c r="AG40" s="258">
        <v>0</v>
      </c>
      <c r="AH40" s="258">
        <v>0</v>
      </c>
      <c r="AJ40" s="258">
        <v>95</v>
      </c>
      <c r="AQ40" s="258">
        <v>152</v>
      </c>
      <c r="AR40" s="258">
        <v>0</v>
      </c>
      <c r="AS40" s="258">
        <v>0</v>
      </c>
      <c r="AT40" s="258">
        <v>1</v>
      </c>
      <c r="AV40" s="258">
        <v>2</v>
      </c>
      <c r="AW40" s="296"/>
      <c r="AX40" s="258">
        <v>0</v>
      </c>
      <c r="AZ40" s="258">
        <v>0</v>
      </c>
      <c r="BB40" s="258">
        <v>0</v>
      </c>
      <c r="BC40" s="258">
        <v>0</v>
      </c>
      <c r="BD40" s="297" t="s">
        <v>214</v>
      </c>
      <c r="BF40" s="258">
        <v>324</v>
      </c>
      <c r="BG40" s="258">
        <v>155</v>
      </c>
      <c r="BO40" s="258">
        <v>1</v>
      </c>
      <c r="BP40" s="258">
        <v>63303.999300244242</v>
      </c>
      <c r="BW40" s="258">
        <v>0</v>
      </c>
      <c r="BX40" s="258">
        <v>869.62</v>
      </c>
      <c r="BY40" s="258">
        <v>8399.1357431922625</v>
      </c>
      <c r="BZ40" s="258">
        <v>3001</v>
      </c>
      <c r="CA40" s="258">
        <v>8759.25</v>
      </c>
      <c r="CC40" s="325">
        <v>1700</v>
      </c>
      <c r="CD40" s="258">
        <v>0</v>
      </c>
      <c r="CJ40" s="258">
        <v>0</v>
      </c>
      <c r="CK40" s="258">
        <v>0</v>
      </c>
      <c r="CQ40" s="325">
        <v>324</v>
      </c>
      <c r="CR40" s="258">
        <v>95</v>
      </c>
      <c r="CS40" s="258">
        <v>29.93</v>
      </c>
      <c r="CT40" s="258">
        <v>428</v>
      </c>
      <c r="CU40" s="258">
        <v>0</v>
      </c>
      <c r="CV40" s="258">
        <v>0</v>
      </c>
      <c r="CW40" s="258">
        <v>0</v>
      </c>
      <c r="DE40" s="258">
        <v>324</v>
      </c>
      <c r="DF40" s="298">
        <v>0</v>
      </c>
      <c r="DG40" s="258" t="s">
        <v>279</v>
      </c>
      <c r="DH40" s="258">
        <v>1</v>
      </c>
      <c r="DI40" s="258">
        <v>29.320987654320991</v>
      </c>
      <c r="DJ40" s="258">
        <v>0</v>
      </c>
      <c r="DK40" s="258">
        <v>0</v>
      </c>
      <c r="DL40" s="258">
        <v>0</v>
      </c>
      <c r="DM40" s="258">
        <v>0</v>
      </c>
      <c r="DN40" s="258">
        <v>0</v>
      </c>
      <c r="DO40" s="258">
        <v>0</v>
      </c>
      <c r="DP40" s="258">
        <v>0</v>
      </c>
      <c r="DQ40" s="258">
        <v>0</v>
      </c>
      <c r="DR40" s="258">
        <v>0</v>
      </c>
      <c r="DS40" s="258">
        <v>0</v>
      </c>
      <c r="DT40" s="258">
        <v>0</v>
      </c>
      <c r="DU40" s="258">
        <v>0</v>
      </c>
      <c r="DZ40" s="259">
        <v>55</v>
      </c>
      <c r="EA40" s="259">
        <v>324</v>
      </c>
      <c r="EB40" s="259">
        <v>31</v>
      </c>
      <c r="EC40" s="259">
        <v>48</v>
      </c>
      <c r="ED40" s="259">
        <v>2</v>
      </c>
      <c r="EE40" s="259">
        <v>8</v>
      </c>
      <c r="EF40" s="262">
        <v>20</v>
      </c>
      <c r="EG40" s="262">
        <v>72</v>
      </c>
      <c r="EH40" s="262">
        <v>0</v>
      </c>
      <c r="EI40" s="262">
        <v>0</v>
      </c>
    </row>
    <row r="41" spans="1:139">
      <c r="A41" s="295">
        <v>3524</v>
      </c>
      <c r="B41" s="258" t="s">
        <v>602</v>
      </c>
      <c r="C41" s="258">
        <v>12</v>
      </c>
      <c r="D41" s="258">
        <v>72</v>
      </c>
      <c r="E41" s="296">
        <v>0</v>
      </c>
      <c r="F41" s="258">
        <v>0</v>
      </c>
      <c r="G41" s="258">
        <v>17068.538826617696</v>
      </c>
      <c r="H41" s="258">
        <v>21.584719101123603</v>
      </c>
      <c r="I41" s="258">
        <v>0</v>
      </c>
      <c r="J41" s="258">
        <v>0</v>
      </c>
      <c r="K41" s="258">
        <v>0</v>
      </c>
      <c r="L41" s="258">
        <v>0</v>
      </c>
      <c r="M41" s="257">
        <v>29</v>
      </c>
      <c r="N41" s="257">
        <v>29</v>
      </c>
      <c r="O41" s="257">
        <v>26</v>
      </c>
      <c r="P41" s="257">
        <v>21</v>
      </c>
      <c r="Q41" s="257">
        <v>13</v>
      </c>
      <c r="R41" s="257">
        <v>0</v>
      </c>
      <c r="X41" s="257">
        <v>30</v>
      </c>
      <c r="Z41" s="257">
        <v>30</v>
      </c>
      <c r="AA41" s="257">
        <v>0</v>
      </c>
      <c r="AC41" s="258">
        <v>0</v>
      </c>
      <c r="AE41" s="258">
        <v>30</v>
      </c>
      <c r="AF41" s="258">
        <v>0</v>
      </c>
      <c r="AG41" s="258">
        <v>17100</v>
      </c>
      <c r="AH41" s="258">
        <v>4.95</v>
      </c>
      <c r="AJ41" s="258">
        <v>12</v>
      </c>
      <c r="AQ41" s="258">
        <v>16</v>
      </c>
      <c r="AR41" s="258">
        <v>0</v>
      </c>
      <c r="AS41" s="258">
        <v>0</v>
      </c>
      <c r="AT41" s="258">
        <v>1</v>
      </c>
      <c r="AV41" s="258">
        <v>1</v>
      </c>
      <c r="AW41" s="296"/>
      <c r="AX41" s="258">
        <v>0</v>
      </c>
      <c r="AZ41" s="258">
        <v>0</v>
      </c>
      <c r="BB41" s="258">
        <v>0</v>
      </c>
      <c r="BC41" s="258">
        <v>0</v>
      </c>
      <c r="BD41" s="297" t="s">
        <v>597</v>
      </c>
      <c r="BF41" s="258">
        <v>0</v>
      </c>
      <c r="BG41" s="258">
        <v>0</v>
      </c>
      <c r="BO41" s="258">
        <v>0</v>
      </c>
      <c r="BP41" s="258">
        <v>0</v>
      </c>
      <c r="BW41" s="258">
        <v>0</v>
      </c>
      <c r="BX41" s="258">
        <v>0</v>
      </c>
      <c r="BY41" s="258">
        <v>1902</v>
      </c>
      <c r="BZ41" s="258">
        <v>0</v>
      </c>
      <c r="CA41" s="258">
        <v>0</v>
      </c>
      <c r="CC41" s="325">
        <v>1799</v>
      </c>
      <c r="CD41" s="258">
        <v>0</v>
      </c>
      <c r="CJ41" s="258">
        <v>0</v>
      </c>
      <c r="CK41" s="258">
        <v>0</v>
      </c>
      <c r="CQ41" s="325">
        <v>166</v>
      </c>
      <c r="CR41" s="258">
        <v>12</v>
      </c>
      <c r="CS41" s="258">
        <v>3.2611111111111106</v>
      </c>
      <c r="CT41" s="258">
        <v>72</v>
      </c>
      <c r="CU41" s="258">
        <v>0</v>
      </c>
      <c r="CV41" s="258">
        <v>0</v>
      </c>
      <c r="CW41" s="258">
        <v>0</v>
      </c>
      <c r="CX41" s="258">
        <v>30</v>
      </c>
      <c r="DE41" s="258">
        <v>148</v>
      </c>
      <c r="DF41" s="298">
        <v>0</v>
      </c>
      <c r="DG41" s="258" t="s">
        <v>210</v>
      </c>
      <c r="DH41" s="258">
        <v>1</v>
      </c>
      <c r="DI41" s="258">
        <v>8.1081081081081088</v>
      </c>
      <c r="DJ41" s="258">
        <v>10.263157894736842</v>
      </c>
      <c r="DK41" s="258">
        <v>11.368421052631579</v>
      </c>
      <c r="DL41" s="258">
        <v>8.3684210526315788</v>
      </c>
      <c r="DM41" s="258">
        <v>5850</v>
      </c>
      <c r="DN41" s="258">
        <v>6480</v>
      </c>
      <c r="DO41" s="258">
        <v>4770</v>
      </c>
      <c r="DP41" s="258">
        <v>0</v>
      </c>
      <c r="DQ41" s="258">
        <v>0</v>
      </c>
      <c r="DR41" s="258">
        <v>0</v>
      </c>
      <c r="DS41" s="258">
        <v>1.6934210526315792</v>
      </c>
      <c r="DT41" s="258">
        <v>1.8757894736842105</v>
      </c>
      <c r="DU41" s="258">
        <v>1.3807894736842106</v>
      </c>
      <c r="DZ41" s="259">
        <v>0</v>
      </c>
      <c r="EA41" s="259">
        <v>0</v>
      </c>
      <c r="EB41" s="259">
        <v>0</v>
      </c>
      <c r="EC41" s="259">
        <v>0</v>
      </c>
      <c r="ED41" s="259">
        <v>0</v>
      </c>
      <c r="EE41" s="259">
        <v>0</v>
      </c>
      <c r="EF41" s="262">
        <v>0</v>
      </c>
      <c r="EG41" s="262">
        <v>15</v>
      </c>
      <c r="EH41" s="262">
        <v>2</v>
      </c>
      <c r="EI41" s="262">
        <v>6</v>
      </c>
    </row>
    <row r="42" spans="1:139">
      <c r="A42" s="295">
        <v>2024</v>
      </c>
      <c r="B42" s="258" t="s">
        <v>342</v>
      </c>
      <c r="C42" s="258">
        <v>53</v>
      </c>
      <c r="D42" s="258">
        <v>297</v>
      </c>
      <c r="E42" s="296">
        <v>0</v>
      </c>
      <c r="F42" s="258">
        <v>0</v>
      </c>
      <c r="G42" s="258">
        <v>54376.649593613067</v>
      </c>
      <c r="H42" s="258">
        <v>56.044153846153797</v>
      </c>
      <c r="I42" s="258">
        <v>0</v>
      </c>
      <c r="J42" s="258">
        <v>0</v>
      </c>
      <c r="K42" s="258">
        <v>70</v>
      </c>
      <c r="L42" s="258">
        <v>0</v>
      </c>
      <c r="M42" s="257">
        <v>30</v>
      </c>
      <c r="N42" s="257">
        <v>30</v>
      </c>
      <c r="O42" s="257">
        <v>30</v>
      </c>
      <c r="P42" s="257">
        <v>30</v>
      </c>
      <c r="Q42" s="257">
        <v>29</v>
      </c>
      <c r="R42" s="257">
        <v>30</v>
      </c>
      <c r="X42" s="257">
        <v>51</v>
      </c>
      <c r="Z42" s="257">
        <v>30</v>
      </c>
      <c r="AA42" s="257">
        <v>0</v>
      </c>
      <c r="AC42" s="258">
        <v>0</v>
      </c>
      <c r="AE42" s="258">
        <v>30</v>
      </c>
      <c r="AF42" s="258">
        <v>98.21052631578948</v>
      </c>
      <c r="AG42" s="258">
        <v>27990</v>
      </c>
      <c r="AH42" s="258">
        <v>10.937956656346753</v>
      </c>
      <c r="AJ42" s="258">
        <v>53</v>
      </c>
      <c r="AQ42" s="258">
        <v>82</v>
      </c>
      <c r="AR42" s="258">
        <v>0</v>
      </c>
      <c r="AS42" s="258">
        <v>0</v>
      </c>
      <c r="AT42" s="258">
        <v>1</v>
      </c>
      <c r="AV42" s="258">
        <v>1</v>
      </c>
      <c r="AW42" s="296"/>
      <c r="AX42" s="258">
        <v>0</v>
      </c>
      <c r="AZ42" s="258">
        <v>0</v>
      </c>
      <c r="BB42" s="258">
        <v>0</v>
      </c>
      <c r="BC42" s="258">
        <v>0</v>
      </c>
      <c r="BD42" s="297" t="s">
        <v>214</v>
      </c>
      <c r="BF42" s="258">
        <v>239.6</v>
      </c>
      <c r="BG42" s="258">
        <v>95</v>
      </c>
      <c r="BO42" s="258">
        <v>1</v>
      </c>
      <c r="BP42" s="258">
        <v>0</v>
      </c>
      <c r="BW42" s="258">
        <v>0</v>
      </c>
      <c r="BX42" s="258">
        <v>0</v>
      </c>
      <c r="BY42" s="258">
        <v>28042</v>
      </c>
      <c r="BZ42" s="258">
        <v>7956</v>
      </c>
      <c r="CA42" s="258">
        <v>11908.747145187603</v>
      </c>
      <c r="CC42" s="325">
        <v>1771</v>
      </c>
      <c r="CD42" s="258">
        <v>0</v>
      </c>
      <c r="CJ42" s="258">
        <v>0</v>
      </c>
      <c r="CK42" s="258">
        <v>0</v>
      </c>
      <c r="CQ42" s="325">
        <v>239.6</v>
      </c>
      <c r="CR42" s="258">
        <v>53</v>
      </c>
      <c r="CS42" s="258">
        <v>13.92</v>
      </c>
      <c r="CT42" s="258">
        <v>297</v>
      </c>
      <c r="CU42" s="258">
        <v>0</v>
      </c>
      <c r="CV42" s="258">
        <v>0</v>
      </c>
      <c r="CW42" s="258">
        <v>0</v>
      </c>
      <c r="DE42" s="258">
        <v>209</v>
      </c>
      <c r="DF42" s="298">
        <v>0</v>
      </c>
      <c r="DG42" s="258" t="s">
        <v>210</v>
      </c>
      <c r="DH42" s="258">
        <v>1</v>
      </c>
      <c r="DI42" s="258">
        <v>25.358851674641148</v>
      </c>
      <c r="DJ42" s="258">
        <v>10.263157894736842</v>
      </c>
      <c r="DK42" s="258">
        <v>11.368421052631579</v>
      </c>
      <c r="DL42" s="258">
        <v>8.3684210526315788</v>
      </c>
      <c r="DM42" s="258">
        <v>9945</v>
      </c>
      <c r="DN42" s="258">
        <v>9936</v>
      </c>
      <c r="DO42" s="258">
        <v>8109</v>
      </c>
      <c r="DP42" s="258">
        <v>34.89473684210526</v>
      </c>
      <c r="DQ42" s="258">
        <v>34.863157894736844</v>
      </c>
      <c r="DR42" s="258">
        <v>28.452631578947368</v>
      </c>
      <c r="DS42" s="258">
        <v>3.8863157894736853</v>
      </c>
      <c r="DT42" s="258">
        <v>3.8827987616099087</v>
      </c>
      <c r="DU42" s="258">
        <v>3.1688421052631583</v>
      </c>
      <c r="DZ42" s="259">
        <v>29</v>
      </c>
      <c r="EA42" s="259">
        <v>179</v>
      </c>
      <c r="EB42" s="259">
        <v>13</v>
      </c>
      <c r="EC42" s="259">
        <v>38</v>
      </c>
      <c r="ED42" s="259">
        <v>4</v>
      </c>
      <c r="EE42" s="259">
        <v>6</v>
      </c>
      <c r="EF42" s="262">
        <v>14</v>
      </c>
      <c r="EG42" s="262">
        <v>24</v>
      </c>
      <c r="EH42" s="262">
        <v>12</v>
      </c>
      <c r="EI42" s="262">
        <v>67</v>
      </c>
    </row>
    <row r="43" spans="1:139">
      <c r="A43" s="295">
        <v>2025</v>
      </c>
      <c r="B43" s="258" t="s">
        <v>63</v>
      </c>
      <c r="C43" s="258">
        <v>13</v>
      </c>
      <c r="D43" s="258">
        <v>81</v>
      </c>
      <c r="E43" s="296">
        <v>0</v>
      </c>
      <c r="F43" s="258">
        <v>0</v>
      </c>
      <c r="G43" s="258">
        <v>18684.737111365852</v>
      </c>
      <c r="H43" s="258">
        <v>29.649999999999928</v>
      </c>
      <c r="I43" s="258">
        <v>0</v>
      </c>
      <c r="J43" s="258">
        <v>0</v>
      </c>
      <c r="K43" s="258">
        <v>50</v>
      </c>
      <c r="L43" s="258">
        <v>0</v>
      </c>
      <c r="M43" s="257">
        <v>45</v>
      </c>
      <c r="N43" s="257">
        <v>45</v>
      </c>
      <c r="O43" s="257">
        <v>45</v>
      </c>
      <c r="P43" s="257">
        <v>45</v>
      </c>
      <c r="Q43" s="257">
        <v>44</v>
      </c>
      <c r="R43" s="257">
        <v>45</v>
      </c>
      <c r="X43" s="257">
        <v>0</v>
      </c>
      <c r="Z43" s="257">
        <v>45</v>
      </c>
      <c r="AA43" s="257">
        <v>0</v>
      </c>
      <c r="AC43" s="258">
        <v>0</v>
      </c>
      <c r="AE43" s="258">
        <v>0</v>
      </c>
      <c r="AF43" s="258">
        <v>0</v>
      </c>
      <c r="AG43" s="258">
        <v>0</v>
      </c>
      <c r="AH43" s="258">
        <v>0</v>
      </c>
      <c r="AJ43" s="258">
        <v>13</v>
      </c>
      <c r="AQ43" s="258">
        <v>19</v>
      </c>
      <c r="AR43" s="258">
        <v>0</v>
      </c>
      <c r="AS43" s="258">
        <v>0</v>
      </c>
      <c r="AT43" s="258">
        <v>1</v>
      </c>
      <c r="AV43" s="258">
        <v>0</v>
      </c>
      <c r="AW43" s="296"/>
      <c r="AX43" s="258">
        <v>1</v>
      </c>
      <c r="AZ43" s="258">
        <v>0</v>
      </c>
      <c r="BB43" s="258">
        <v>0</v>
      </c>
      <c r="BC43" s="258">
        <v>0</v>
      </c>
      <c r="BD43" s="297" t="s">
        <v>214</v>
      </c>
      <c r="BF43" s="258">
        <v>314</v>
      </c>
      <c r="BG43" s="258">
        <v>23</v>
      </c>
      <c r="BO43" s="258">
        <v>0</v>
      </c>
      <c r="BP43" s="258">
        <v>0</v>
      </c>
      <c r="BW43" s="258">
        <v>0</v>
      </c>
      <c r="BX43" s="258">
        <v>0</v>
      </c>
      <c r="BY43" s="258">
        <v>6700</v>
      </c>
      <c r="BZ43" s="258">
        <v>3794</v>
      </c>
      <c r="CA43" s="258">
        <v>19923</v>
      </c>
      <c r="CC43" s="325">
        <v>2037.31</v>
      </c>
      <c r="CD43" s="258">
        <v>0</v>
      </c>
      <c r="CJ43" s="258">
        <v>0</v>
      </c>
      <c r="CK43" s="258">
        <v>0</v>
      </c>
      <c r="CQ43" s="325">
        <v>314</v>
      </c>
      <c r="CR43" s="258">
        <v>13</v>
      </c>
      <c r="CS43" s="258">
        <v>2.1</v>
      </c>
      <c r="CT43" s="258">
        <v>81</v>
      </c>
      <c r="CU43" s="258">
        <v>0</v>
      </c>
      <c r="CV43" s="258">
        <v>0</v>
      </c>
      <c r="CW43" s="258">
        <v>0</v>
      </c>
      <c r="DE43" s="258">
        <v>314</v>
      </c>
      <c r="DF43" s="298">
        <v>0</v>
      </c>
      <c r="DG43" s="258" t="s">
        <v>210</v>
      </c>
      <c r="DH43" s="258">
        <v>1</v>
      </c>
      <c r="DI43" s="258">
        <v>4.1401273885350314</v>
      </c>
      <c r="DJ43" s="258">
        <v>0</v>
      </c>
      <c r="DK43" s="258">
        <v>0</v>
      </c>
      <c r="DL43" s="258">
        <v>0</v>
      </c>
      <c r="DM43" s="258">
        <v>0</v>
      </c>
      <c r="DN43" s="258">
        <v>0</v>
      </c>
      <c r="DO43" s="258">
        <v>0</v>
      </c>
      <c r="DP43" s="258">
        <v>0</v>
      </c>
      <c r="DQ43" s="258">
        <v>0</v>
      </c>
      <c r="DR43" s="258">
        <v>0</v>
      </c>
      <c r="DS43" s="258">
        <v>0</v>
      </c>
      <c r="DT43" s="258">
        <v>0</v>
      </c>
      <c r="DU43" s="258">
        <v>0</v>
      </c>
      <c r="DZ43" s="259">
        <v>14</v>
      </c>
      <c r="EA43" s="259">
        <v>269</v>
      </c>
      <c r="EB43" s="259">
        <v>1</v>
      </c>
      <c r="EC43" s="259">
        <v>6</v>
      </c>
      <c r="ED43" s="259">
        <v>0</v>
      </c>
      <c r="EE43" s="259">
        <v>14</v>
      </c>
      <c r="EF43" s="262">
        <v>0</v>
      </c>
      <c r="EG43" s="262">
        <v>12</v>
      </c>
      <c r="EH43" s="262">
        <v>8</v>
      </c>
      <c r="EI43" s="262">
        <v>9</v>
      </c>
    </row>
    <row r="44" spans="1:139">
      <c r="A44" s="295">
        <v>2026</v>
      </c>
      <c r="B44" s="258" t="s">
        <v>343</v>
      </c>
      <c r="C44" s="258">
        <v>79</v>
      </c>
      <c r="D44" s="258">
        <v>719</v>
      </c>
      <c r="E44" s="296">
        <v>0</v>
      </c>
      <c r="F44" s="258">
        <v>0</v>
      </c>
      <c r="G44" s="258">
        <v>44625.668815504847</v>
      </c>
      <c r="H44" s="258">
        <v>139.20937499999999</v>
      </c>
      <c r="I44" s="258">
        <v>0</v>
      </c>
      <c r="J44" s="258">
        <v>0</v>
      </c>
      <c r="K44" s="258">
        <v>140</v>
      </c>
      <c r="L44" s="258">
        <v>0</v>
      </c>
      <c r="M44" s="257">
        <v>92</v>
      </c>
      <c r="N44" s="257">
        <v>91</v>
      </c>
      <c r="O44" s="257">
        <v>90</v>
      </c>
      <c r="P44" s="257">
        <v>87</v>
      </c>
      <c r="Q44" s="257">
        <v>89</v>
      </c>
      <c r="R44" s="257">
        <v>82</v>
      </c>
      <c r="X44" s="257">
        <v>84</v>
      </c>
      <c r="Z44" s="257">
        <v>89</v>
      </c>
      <c r="AA44" s="257">
        <v>0</v>
      </c>
      <c r="AC44" s="258">
        <v>0</v>
      </c>
      <c r="AE44" s="258">
        <v>30</v>
      </c>
      <c r="AF44" s="258">
        <v>175.84210526315792</v>
      </c>
      <c r="AG44" s="258">
        <v>50115</v>
      </c>
      <c r="AH44" s="258">
        <v>25.057500000000001</v>
      </c>
      <c r="AJ44" s="258">
        <v>79</v>
      </c>
      <c r="AN44" s="258">
        <v>2</v>
      </c>
      <c r="AQ44" s="258">
        <v>120</v>
      </c>
      <c r="AR44" s="258">
        <v>2</v>
      </c>
      <c r="AS44" s="258">
        <v>0</v>
      </c>
      <c r="AT44" s="258">
        <v>1</v>
      </c>
      <c r="AV44" s="258">
        <v>1</v>
      </c>
      <c r="AW44" s="296"/>
      <c r="AX44" s="258">
        <v>0</v>
      </c>
      <c r="AZ44" s="258">
        <v>0</v>
      </c>
      <c r="BB44" s="258">
        <v>0</v>
      </c>
      <c r="BC44" s="258">
        <v>0</v>
      </c>
      <c r="BD44" s="297" t="s">
        <v>214</v>
      </c>
      <c r="BF44" s="258">
        <v>670.4</v>
      </c>
      <c r="BG44" s="258">
        <v>163</v>
      </c>
      <c r="BO44" s="258">
        <v>2</v>
      </c>
      <c r="BP44" s="258">
        <v>0</v>
      </c>
      <c r="BW44" s="258">
        <v>0</v>
      </c>
      <c r="BX44" s="258">
        <v>1244.19</v>
      </c>
      <c r="BY44" s="258">
        <v>40400</v>
      </c>
      <c r="BZ44" s="258">
        <v>5980</v>
      </c>
      <c r="CA44" s="258">
        <v>37045</v>
      </c>
      <c r="CC44" s="325">
        <v>3867</v>
      </c>
      <c r="CD44" s="258">
        <v>0</v>
      </c>
      <c r="CJ44" s="258">
        <v>0</v>
      </c>
      <c r="CK44" s="258">
        <v>0</v>
      </c>
      <c r="CQ44" s="325">
        <v>670.4</v>
      </c>
      <c r="CR44" s="258">
        <v>80.8</v>
      </c>
      <c r="CS44" s="258">
        <v>13.2</v>
      </c>
      <c r="CT44" s="258">
        <v>719</v>
      </c>
      <c r="CU44" s="258">
        <v>0</v>
      </c>
      <c r="CV44" s="258">
        <v>0</v>
      </c>
      <c r="CW44" s="258">
        <v>0</v>
      </c>
      <c r="CY44" s="258">
        <v>1</v>
      </c>
      <c r="DE44" s="258">
        <v>620</v>
      </c>
      <c r="DF44" s="298">
        <v>0</v>
      </c>
      <c r="DG44" s="258" t="s">
        <v>210</v>
      </c>
      <c r="DH44" s="258">
        <v>1</v>
      </c>
      <c r="DI44" s="258">
        <v>12.741935483870966</v>
      </c>
      <c r="DJ44" s="258">
        <v>10.263157894736842</v>
      </c>
      <c r="DK44" s="258">
        <v>11.368421052631579</v>
      </c>
      <c r="DL44" s="258">
        <v>8.3684210526315788</v>
      </c>
      <c r="DM44" s="258">
        <v>19695</v>
      </c>
      <c r="DN44" s="258">
        <v>17064</v>
      </c>
      <c r="DO44" s="258">
        <v>13356</v>
      </c>
      <c r="DP44" s="258">
        <v>69.10526315789474</v>
      </c>
      <c r="DQ44" s="258">
        <v>59.873684210526321</v>
      </c>
      <c r="DR44" s="258">
        <v>46.863157894736844</v>
      </c>
      <c r="DS44" s="258">
        <v>9.8475000000000001</v>
      </c>
      <c r="DT44" s="258">
        <v>8.5319999999999983</v>
      </c>
      <c r="DU44" s="258">
        <v>6.6779999999999999</v>
      </c>
      <c r="DZ44" s="259">
        <v>63</v>
      </c>
      <c r="EA44" s="259">
        <v>531</v>
      </c>
      <c r="EB44" s="259">
        <v>27</v>
      </c>
      <c r="EC44" s="259">
        <v>47</v>
      </c>
      <c r="ED44" s="259">
        <v>4</v>
      </c>
      <c r="EE44" s="259">
        <v>23</v>
      </c>
      <c r="EF44" s="262">
        <v>18</v>
      </c>
      <c r="EG44" s="262">
        <v>80</v>
      </c>
      <c r="EH44" s="262">
        <v>42</v>
      </c>
      <c r="EI44" s="262">
        <v>147</v>
      </c>
    </row>
    <row r="45" spans="1:139">
      <c r="A45" s="295">
        <v>2028</v>
      </c>
      <c r="B45" s="258" t="s">
        <v>65</v>
      </c>
      <c r="C45" s="258">
        <v>33</v>
      </c>
      <c r="D45" s="258">
        <v>353</v>
      </c>
      <c r="E45" s="296">
        <v>0</v>
      </c>
      <c r="F45" s="258">
        <v>0</v>
      </c>
      <c r="G45" s="258">
        <v>29110.385506941093</v>
      </c>
      <c r="H45" s="258">
        <v>35.840000000000003</v>
      </c>
      <c r="I45" s="258">
        <v>0</v>
      </c>
      <c r="J45" s="258">
        <v>0</v>
      </c>
      <c r="K45" s="258">
        <v>70</v>
      </c>
      <c r="L45" s="258">
        <v>0</v>
      </c>
      <c r="M45" s="257">
        <v>90</v>
      </c>
      <c r="N45" s="257">
        <v>90</v>
      </c>
      <c r="O45" s="257">
        <v>0</v>
      </c>
      <c r="P45" s="257">
        <v>0</v>
      </c>
      <c r="Q45" s="257">
        <v>0</v>
      </c>
      <c r="R45" s="257">
        <v>0</v>
      </c>
      <c r="X45" s="257">
        <v>0</v>
      </c>
      <c r="Z45" s="257">
        <v>90</v>
      </c>
      <c r="AA45" s="257">
        <v>0</v>
      </c>
      <c r="AC45" s="258">
        <v>0</v>
      </c>
      <c r="AE45" s="258">
        <v>0</v>
      </c>
      <c r="AF45" s="258">
        <v>0</v>
      </c>
      <c r="AG45" s="258">
        <v>0</v>
      </c>
      <c r="AH45" s="258">
        <v>0</v>
      </c>
      <c r="AJ45" s="258">
        <v>33</v>
      </c>
      <c r="AQ45" s="258">
        <v>40</v>
      </c>
      <c r="AR45" s="258">
        <v>0</v>
      </c>
      <c r="AS45" s="258">
        <v>0</v>
      </c>
      <c r="AT45" s="258">
        <v>1</v>
      </c>
      <c r="AV45" s="258">
        <v>1</v>
      </c>
      <c r="AW45" s="296"/>
      <c r="AX45" s="258">
        <v>0</v>
      </c>
      <c r="AZ45" s="258">
        <v>0</v>
      </c>
      <c r="BB45" s="258">
        <v>0</v>
      </c>
      <c r="BC45" s="258">
        <v>0</v>
      </c>
      <c r="BD45" s="297" t="s">
        <v>214</v>
      </c>
      <c r="BF45" s="258">
        <v>270</v>
      </c>
      <c r="BG45" s="258">
        <v>37</v>
      </c>
      <c r="BO45" s="258">
        <v>0</v>
      </c>
      <c r="BP45" s="258">
        <v>0</v>
      </c>
      <c r="BW45" s="258">
        <v>0</v>
      </c>
      <c r="BX45" s="258">
        <v>1185.8499999999999</v>
      </c>
      <c r="BY45" s="258">
        <v>5504.8538961038957</v>
      </c>
      <c r="BZ45" s="258">
        <v>2643</v>
      </c>
      <c r="CA45" s="258">
        <v>16371.5</v>
      </c>
      <c r="CC45" s="325">
        <v>958.05</v>
      </c>
      <c r="CD45" s="258">
        <v>0</v>
      </c>
      <c r="CJ45" s="258">
        <v>0</v>
      </c>
      <c r="CK45" s="258">
        <v>0</v>
      </c>
      <c r="CQ45" s="325">
        <v>270</v>
      </c>
      <c r="CR45" s="258">
        <v>33</v>
      </c>
      <c r="CS45" s="258">
        <v>14</v>
      </c>
      <c r="CT45" s="258">
        <v>353</v>
      </c>
      <c r="CU45" s="258">
        <v>0</v>
      </c>
      <c r="CV45" s="258">
        <v>0</v>
      </c>
      <c r="CW45" s="258">
        <v>0</v>
      </c>
      <c r="DE45" s="258">
        <v>270</v>
      </c>
      <c r="DF45" s="298">
        <v>0</v>
      </c>
      <c r="DG45" s="258" t="s">
        <v>280</v>
      </c>
      <c r="DH45" s="258">
        <v>1</v>
      </c>
      <c r="DI45" s="258">
        <v>12.222222222222221</v>
      </c>
      <c r="DJ45" s="258">
        <v>0</v>
      </c>
      <c r="DK45" s="258">
        <v>0</v>
      </c>
      <c r="DL45" s="258">
        <v>0</v>
      </c>
      <c r="DM45" s="258">
        <v>0</v>
      </c>
      <c r="DN45" s="258">
        <v>0</v>
      </c>
      <c r="DO45" s="258">
        <v>0</v>
      </c>
      <c r="DP45" s="258">
        <v>0</v>
      </c>
      <c r="DQ45" s="258">
        <v>0</v>
      </c>
      <c r="DR45" s="258">
        <v>0</v>
      </c>
      <c r="DS45" s="258">
        <v>0</v>
      </c>
      <c r="DT45" s="258">
        <v>0</v>
      </c>
      <c r="DU45" s="258">
        <v>0</v>
      </c>
      <c r="DZ45" s="259">
        <v>26</v>
      </c>
      <c r="EA45" s="259">
        <v>180</v>
      </c>
      <c r="EB45" s="259">
        <v>7</v>
      </c>
      <c r="EC45" s="259">
        <v>8</v>
      </c>
      <c r="ED45" s="259">
        <v>0</v>
      </c>
      <c r="EE45" s="259">
        <v>8</v>
      </c>
      <c r="EF45" s="262">
        <v>8</v>
      </c>
      <c r="EG45" s="262">
        <v>26</v>
      </c>
      <c r="EH45" s="262">
        <v>30</v>
      </c>
      <c r="EI45" s="262">
        <v>103</v>
      </c>
    </row>
    <row r="46" spans="1:139">
      <c r="A46" s="295">
        <v>2027</v>
      </c>
      <c r="B46" s="258" t="s">
        <v>66</v>
      </c>
      <c r="C46" s="258">
        <v>45</v>
      </c>
      <c r="D46" s="258">
        <v>262</v>
      </c>
      <c r="E46" s="296">
        <v>0</v>
      </c>
      <c r="F46" s="258">
        <v>0</v>
      </c>
      <c r="G46" s="258">
        <v>55.95753086419753</v>
      </c>
      <c r="H46" s="258">
        <v>51.19</v>
      </c>
      <c r="I46" s="258">
        <v>0</v>
      </c>
      <c r="J46" s="258">
        <v>0</v>
      </c>
      <c r="K46" s="258">
        <v>180</v>
      </c>
      <c r="L46" s="258">
        <v>0</v>
      </c>
      <c r="M46" s="257">
        <v>0</v>
      </c>
      <c r="N46" s="257">
        <v>0</v>
      </c>
      <c r="O46" s="257">
        <v>90</v>
      </c>
      <c r="P46" s="257">
        <v>90</v>
      </c>
      <c r="Q46" s="257">
        <v>87</v>
      </c>
      <c r="R46" s="257">
        <v>89</v>
      </c>
      <c r="X46" s="257">
        <v>0</v>
      </c>
      <c r="Z46" s="257">
        <v>0</v>
      </c>
      <c r="AA46" s="257">
        <v>0</v>
      </c>
      <c r="AC46" s="258">
        <v>0</v>
      </c>
      <c r="AE46" s="258">
        <v>0</v>
      </c>
      <c r="AF46" s="258">
        <v>0</v>
      </c>
      <c r="AG46" s="258">
        <v>0</v>
      </c>
      <c r="AH46" s="258">
        <v>0</v>
      </c>
      <c r="AJ46" s="258">
        <v>45</v>
      </c>
      <c r="AQ46" s="258">
        <v>70</v>
      </c>
      <c r="AR46" s="258">
        <v>0</v>
      </c>
      <c r="AS46" s="258">
        <v>0</v>
      </c>
      <c r="AT46" s="258">
        <v>1</v>
      </c>
      <c r="AV46" s="258">
        <v>0</v>
      </c>
      <c r="AW46" s="296"/>
      <c r="AX46" s="258">
        <v>0</v>
      </c>
      <c r="AZ46" s="258">
        <v>0</v>
      </c>
      <c r="BB46" s="258">
        <v>0</v>
      </c>
      <c r="BC46" s="258">
        <v>0</v>
      </c>
      <c r="BD46" s="297" t="s">
        <v>214</v>
      </c>
      <c r="BF46" s="258">
        <v>356</v>
      </c>
      <c r="BG46" s="258">
        <v>49</v>
      </c>
      <c r="BO46" s="258">
        <v>0</v>
      </c>
      <c r="BP46" s="258">
        <v>0</v>
      </c>
      <c r="BW46" s="258">
        <v>0</v>
      </c>
      <c r="BX46" s="258">
        <v>1185.8499999999999</v>
      </c>
      <c r="BY46" s="258">
        <v>6695.1461038961043</v>
      </c>
      <c r="BZ46" s="258">
        <v>4047</v>
      </c>
      <c r="CA46" s="258">
        <v>16371.5</v>
      </c>
      <c r="CC46" s="325">
        <v>1864.84</v>
      </c>
      <c r="CD46" s="258">
        <v>0</v>
      </c>
      <c r="CJ46" s="258">
        <v>0</v>
      </c>
      <c r="CK46" s="258">
        <v>0</v>
      </c>
      <c r="CQ46" s="325">
        <v>356</v>
      </c>
      <c r="CR46" s="258">
        <v>45</v>
      </c>
      <c r="CS46" s="258">
        <v>8.3999999999999915</v>
      </c>
      <c r="CT46" s="258">
        <v>262</v>
      </c>
      <c r="CU46" s="258">
        <v>0</v>
      </c>
      <c r="CV46" s="258">
        <v>0</v>
      </c>
      <c r="CW46" s="258">
        <v>0</v>
      </c>
      <c r="DE46" s="258">
        <v>356</v>
      </c>
      <c r="DF46" s="298">
        <v>0</v>
      </c>
      <c r="DG46" s="258" t="s">
        <v>279</v>
      </c>
      <c r="DH46" s="258">
        <v>1</v>
      </c>
      <c r="DI46" s="258">
        <v>12.640449438202248</v>
      </c>
      <c r="DJ46" s="258">
        <v>0</v>
      </c>
      <c r="DK46" s="258">
        <v>0</v>
      </c>
      <c r="DL46" s="258">
        <v>0</v>
      </c>
      <c r="DM46" s="258">
        <v>0</v>
      </c>
      <c r="DN46" s="258">
        <v>0</v>
      </c>
      <c r="DO46" s="258">
        <v>0</v>
      </c>
      <c r="DP46" s="258">
        <v>0</v>
      </c>
      <c r="DQ46" s="258">
        <v>0</v>
      </c>
      <c r="DR46" s="258">
        <v>0</v>
      </c>
      <c r="DS46" s="258">
        <v>0</v>
      </c>
      <c r="DT46" s="258">
        <v>0</v>
      </c>
      <c r="DU46" s="258">
        <v>0</v>
      </c>
      <c r="DZ46" s="259">
        <v>35</v>
      </c>
      <c r="EA46" s="259">
        <v>356</v>
      </c>
      <c r="EB46" s="259">
        <v>5</v>
      </c>
      <c r="EC46" s="259">
        <v>24</v>
      </c>
      <c r="ED46" s="259">
        <v>0</v>
      </c>
      <c r="EE46" s="259">
        <v>10</v>
      </c>
      <c r="EF46" s="262">
        <v>18</v>
      </c>
      <c r="EG46" s="262">
        <v>34</v>
      </c>
      <c r="EH46" s="262">
        <v>0</v>
      </c>
      <c r="EI46" s="262">
        <v>0</v>
      </c>
    </row>
    <row r="47" spans="1:139">
      <c r="A47" s="295">
        <v>2029</v>
      </c>
      <c r="B47" s="258" t="s">
        <v>344</v>
      </c>
      <c r="C47" s="258">
        <v>180</v>
      </c>
      <c r="D47" s="258">
        <v>699</v>
      </c>
      <c r="E47" s="296">
        <v>0</v>
      </c>
      <c r="F47" s="258">
        <v>0</v>
      </c>
      <c r="G47" s="258">
        <v>97553.019783682787</v>
      </c>
      <c r="H47" s="258">
        <v>175.78726872246725</v>
      </c>
      <c r="I47" s="258">
        <v>0</v>
      </c>
      <c r="J47" s="258">
        <v>0</v>
      </c>
      <c r="K47" s="258">
        <v>90</v>
      </c>
      <c r="L47" s="258">
        <v>0</v>
      </c>
      <c r="M47" s="257">
        <v>59</v>
      </c>
      <c r="N47" s="257">
        <v>59</v>
      </c>
      <c r="O47" s="257">
        <v>61</v>
      </c>
      <c r="P47" s="257">
        <v>56</v>
      </c>
      <c r="Q47" s="257">
        <v>59</v>
      </c>
      <c r="R47" s="257">
        <v>53</v>
      </c>
      <c r="X47" s="257">
        <v>48</v>
      </c>
      <c r="Z47" s="257">
        <v>59</v>
      </c>
      <c r="AA47" s="257">
        <v>0</v>
      </c>
      <c r="AC47" s="258">
        <v>0</v>
      </c>
      <c r="AE47" s="258">
        <v>30</v>
      </c>
      <c r="AF47" s="258">
        <v>99.347368421052636</v>
      </c>
      <c r="AG47" s="258">
        <v>28314</v>
      </c>
      <c r="AH47" s="258">
        <v>21.497079507278841</v>
      </c>
      <c r="AJ47" s="258">
        <v>180</v>
      </c>
      <c r="AQ47" s="258">
        <v>216</v>
      </c>
      <c r="AR47" s="258">
        <v>3</v>
      </c>
      <c r="AS47" s="258">
        <v>0</v>
      </c>
      <c r="AT47" s="258">
        <v>1</v>
      </c>
      <c r="AV47" s="258">
        <v>2</v>
      </c>
      <c r="AW47" s="296"/>
      <c r="AX47" s="258">
        <v>0</v>
      </c>
      <c r="AZ47" s="258">
        <v>0</v>
      </c>
      <c r="BB47" s="258">
        <v>0</v>
      </c>
      <c r="BC47" s="258">
        <v>0</v>
      </c>
      <c r="BD47" s="297" t="s">
        <v>214</v>
      </c>
      <c r="BF47" s="258">
        <v>434.8</v>
      </c>
      <c r="BG47" s="258">
        <v>297</v>
      </c>
      <c r="BO47" s="258">
        <v>0</v>
      </c>
      <c r="BP47" s="258">
        <v>79006.565677808147</v>
      </c>
      <c r="BW47" s="258">
        <v>0</v>
      </c>
      <c r="BX47" s="258">
        <v>1423.02</v>
      </c>
      <c r="BY47" s="258">
        <v>6200</v>
      </c>
      <c r="BZ47" s="258">
        <v>4156</v>
      </c>
      <c r="CA47" s="258">
        <v>20953.5</v>
      </c>
      <c r="CC47" s="325">
        <v>2744</v>
      </c>
      <c r="CD47" s="258">
        <v>0</v>
      </c>
      <c r="CJ47" s="258">
        <v>0</v>
      </c>
      <c r="CK47" s="258">
        <v>0</v>
      </c>
      <c r="CQ47" s="325">
        <v>434.8</v>
      </c>
      <c r="CR47" s="258">
        <v>187.2</v>
      </c>
      <c r="CS47" s="258">
        <v>4.8</v>
      </c>
      <c r="CT47" s="258">
        <v>699</v>
      </c>
      <c r="CU47" s="258">
        <v>0</v>
      </c>
      <c r="CV47" s="258">
        <v>0</v>
      </c>
      <c r="CW47" s="258">
        <v>0</v>
      </c>
      <c r="DE47" s="258">
        <v>406</v>
      </c>
      <c r="DF47" s="298">
        <v>0</v>
      </c>
      <c r="DG47" s="258" t="s">
        <v>210</v>
      </c>
      <c r="DH47" s="258">
        <v>1</v>
      </c>
      <c r="DI47" s="258">
        <v>44.334975369458128</v>
      </c>
      <c r="DJ47" s="258">
        <v>10.263157894736842</v>
      </c>
      <c r="DK47" s="258">
        <v>11.368421052631579</v>
      </c>
      <c r="DL47" s="258">
        <v>8.3684210526315788</v>
      </c>
      <c r="DM47" s="258">
        <v>10530</v>
      </c>
      <c r="DN47" s="258">
        <v>10152</v>
      </c>
      <c r="DO47" s="258">
        <v>7632</v>
      </c>
      <c r="DP47" s="258">
        <v>36.94736842105263</v>
      </c>
      <c r="DQ47" s="258">
        <v>35.621052631578948</v>
      </c>
      <c r="DR47" s="258">
        <v>26.778947368421051</v>
      </c>
      <c r="DS47" s="258">
        <v>7.9947816349384109</v>
      </c>
      <c r="DT47" s="258">
        <v>7.7077894736842127</v>
      </c>
      <c r="DU47" s="258">
        <v>5.794508398656216</v>
      </c>
      <c r="DZ47" s="259">
        <v>46</v>
      </c>
      <c r="EA47" s="259">
        <v>347</v>
      </c>
      <c r="EB47" s="259">
        <v>73</v>
      </c>
      <c r="EC47" s="259">
        <v>51</v>
      </c>
      <c r="ED47" s="259">
        <v>7</v>
      </c>
      <c r="EE47" s="259">
        <v>6</v>
      </c>
      <c r="EF47" s="262">
        <v>16</v>
      </c>
      <c r="EG47" s="262">
        <v>54</v>
      </c>
      <c r="EH47" s="262">
        <v>100</v>
      </c>
      <c r="EI47" s="262">
        <v>71</v>
      </c>
    </row>
    <row r="48" spans="1:139">
      <c r="A48" s="295">
        <v>2030</v>
      </c>
      <c r="B48" s="258" t="s">
        <v>68</v>
      </c>
      <c r="C48" s="258">
        <v>22</v>
      </c>
      <c r="D48" s="258">
        <v>68</v>
      </c>
      <c r="E48" s="296">
        <v>0</v>
      </c>
      <c r="F48" s="258">
        <v>11</v>
      </c>
      <c r="G48" s="258">
        <v>53483.464273388316</v>
      </c>
      <c r="H48" s="258">
        <v>20.68</v>
      </c>
      <c r="I48" s="258">
        <v>0</v>
      </c>
      <c r="J48" s="258">
        <v>0</v>
      </c>
      <c r="K48" s="258">
        <v>75</v>
      </c>
      <c r="L48" s="258">
        <v>0</v>
      </c>
      <c r="M48" s="257">
        <v>29</v>
      </c>
      <c r="N48" s="257">
        <v>24</v>
      </c>
      <c r="O48" s="257">
        <v>0</v>
      </c>
      <c r="P48" s="257">
        <v>0</v>
      </c>
      <c r="Q48" s="257">
        <v>0</v>
      </c>
      <c r="R48" s="257">
        <v>0</v>
      </c>
      <c r="X48" s="257">
        <v>0</v>
      </c>
      <c r="Z48" s="257">
        <v>30</v>
      </c>
      <c r="AA48" s="257">
        <v>0</v>
      </c>
      <c r="AC48" s="258">
        <v>0</v>
      </c>
      <c r="AE48" s="258">
        <v>0</v>
      </c>
      <c r="AF48" s="258">
        <v>0</v>
      </c>
      <c r="AG48" s="258">
        <v>0</v>
      </c>
      <c r="AH48" s="258">
        <v>0</v>
      </c>
      <c r="AJ48" s="258">
        <v>22</v>
      </c>
      <c r="AQ48" s="258">
        <v>26</v>
      </c>
      <c r="AR48" s="258">
        <v>0</v>
      </c>
      <c r="AS48" s="258">
        <v>0</v>
      </c>
      <c r="AT48" s="258">
        <v>1</v>
      </c>
      <c r="AV48" s="258">
        <v>0</v>
      </c>
      <c r="AW48" s="296"/>
      <c r="AX48" s="258">
        <v>0</v>
      </c>
      <c r="AZ48" s="258">
        <v>0</v>
      </c>
      <c r="BB48" s="258">
        <v>0</v>
      </c>
      <c r="BC48" s="258">
        <v>0</v>
      </c>
      <c r="BD48" s="297" t="s">
        <v>214</v>
      </c>
      <c r="BF48" s="258">
        <v>83</v>
      </c>
      <c r="BG48" s="258">
        <v>25</v>
      </c>
      <c r="BO48" s="258">
        <v>0</v>
      </c>
      <c r="BP48" s="258">
        <v>0</v>
      </c>
      <c r="BW48" s="258">
        <v>0</v>
      </c>
      <c r="BX48" s="258">
        <v>0</v>
      </c>
      <c r="BY48" s="258">
        <v>3500</v>
      </c>
      <c r="BZ48" s="258">
        <v>1308</v>
      </c>
      <c r="CA48" s="258">
        <v>3801.4</v>
      </c>
      <c r="CC48" s="325">
        <v>657.49</v>
      </c>
      <c r="CD48" s="258">
        <v>0</v>
      </c>
      <c r="CJ48" s="258">
        <v>0</v>
      </c>
      <c r="CK48" s="258">
        <v>0</v>
      </c>
      <c r="CQ48" s="325">
        <v>83</v>
      </c>
      <c r="CR48" s="258">
        <v>22</v>
      </c>
      <c r="CS48" s="258">
        <v>2</v>
      </c>
      <c r="CT48" s="258">
        <v>68</v>
      </c>
      <c r="CU48" s="258">
        <v>0</v>
      </c>
      <c r="CV48" s="258">
        <v>0</v>
      </c>
      <c r="CW48" s="258">
        <v>0</v>
      </c>
      <c r="DE48" s="258">
        <v>83</v>
      </c>
      <c r="DF48" s="298">
        <v>0</v>
      </c>
      <c r="DG48" s="258" t="s">
        <v>280</v>
      </c>
      <c r="DH48" s="258">
        <v>1</v>
      </c>
      <c r="DI48" s="258">
        <v>26.506024096385545</v>
      </c>
      <c r="DJ48" s="258">
        <v>0</v>
      </c>
      <c r="DK48" s="258">
        <v>0</v>
      </c>
      <c r="DL48" s="258">
        <v>0</v>
      </c>
      <c r="DM48" s="258">
        <v>0</v>
      </c>
      <c r="DN48" s="258">
        <v>0</v>
      </c>
      <c r="DO48" s="258">
        <v>0</v>
      </c>
      <c r="DP48" s="258">
        <v>0</v>
      </c>
      <c r="DQ48" s="258">
        <v>0</v>
      </c>
      <c r="DR48" s="258">
        <v>0</v>
      </c>
      <c r="DS48" s="258">
        <v>0</v>
      </c>
      <c r="DT48" s="258">
        <v>0</v>
      </c>
      <c r="DU48" s="258">
        <v>0</v>
      </c>
      <c r="DZ48" s="259">
        <v>11</v>
      </c>
      <c r="EA48" s="259">
        <v>53</v>
      </c>
      <c r="EB48" s="259">
        <v>4</v>
      </c>
      <c r="EC48" s="259">
        <v>5</v>
      </c>
      <c r="ED48" s="259">
        <v>2</v>
      </c>
      <c r="EE48" s="259">
        <v>2</v>
      </c>
      <c r="EF48" s="262">
        <v>2</v>
      </c>
      <c r="EG48" s="262">
        <v>6</v>
      </c>
      <c r="EH48" s="262">
        <v>6</v>
      </c>
      <c r="EI48" s="262">
        <v>12</v>
      </c>
    </row>
    <row r="49" spans="1:139">
      <c r="A49" s="295" t="s">
        <v>643</v>
      </c>
      <c r="B49" s="258" t="s">
        <v>644</v>
      </c>
      <c r="AA49" s="257"/>
      <c r="AW49" s="296"/>
      <c r="DF49" s="298"/>
      <c r="DN49" s="258"/>
      <c r="DO49" s="258"/>
      <c r="DP49" s="258"/>
      <c r="DQ49" s="258"/>
      <c r="DR49" s="258"/>
      <c r="DS49" s="258"/>
      <c r="DT49" s="258"/>
      <c r="DU49" s="258"/>
    </row>
    <row r="50" spans="1:139">
      <c r="A50" s="295">
        <v>3516</v>
      </c>
      <c r="B50" s="258" t="s">
        <v>69</v>
      </c>
      <c r="C50" s="258">
        <v>11</v>
      </c>
      <c r="D50" s="258">
        <v>52</v>
      </c>
      <c r="E50" s="296">
        <v>0</v>
      </c>
      <c r="F50" s="258">
        <v>0</v>
      </c>
      <c r="G50" s="258">
        <v>12633.935072685046</v>
      </c>
      <c r="H50" s="258">
        <v>26.371844262295067</v>
      </c>
      <c r="I50" s="258">
        <v>0</v>
      </c>
      <c r="J50" s="258">
        <v>0</v>
      </c>
      <c r="K50" s="258">
        <v>110</v>
      </c>
      <c r="L50" s="258">
        <v>0</v>
      </c>
      <c r="M50" s="257">
        <v>30</v>
      </c>
      <c r="N50" s="257">
        <v>32</v>
      </c>
      <c r="O50" s="257">
        <v>30</v>
      </c>
      <c r="P50" s="257">
        <v>30</v>
      </c>
      <c r="Q50" s="257">
        <v>31</v>
      </c>
      <c r="R50" s="257">
        <v>30</v>
      </c>
      <c r="X50" s="257">
        <v>31</v>
      </c>
      <c r="Z50" s="257">
        <v>30</v>
      </c>
      <c r="AA50" s="257">
        <v>0</v>
      </c>
      <c r="AC50" s="258">
        <v>0</v>
      </c>
      <c r="AE50" s="258">
        <v>29.657894736842106</v>
      </c>
      <c r="AF50" s="258">
        <v>60.631578947368425</v>
      </c>
      <c r="AG50" s="258">
        <v>17280</v>
      </c>
      <c r="AH50" s="258">
        <v>3.5009847198641766</v>
      </c>
      <c r="AJ50" s="258">
        <v>11</v>
      </c>
      <c r="AN50" s="258">
        <v>1</v>
      </c>
      <c r="AQ50" s="258">
        <v>15</v>
      </c>
      <c r="AR50" s="258">
        <v>0</v>
      </c>
      <c r="AS50" s="258">
        <v>0</v>
      </c>
      <c r="AT50" s="258">
        <v>1</v>
      </c>
      <c r="AV50" s="258">
        <v>1</v>
      </c>
      <c r="AW50" s="296"/>
      <c r="AX50" s="258">
        <v>0</v>
      </c>
      <c r="AZ50" s="258">
        <v>0</v>
      </c>
      <c r="BB50" s="258">
        <v>0</v>
      </c>
      <c r="BC50" s="258">
        <v>0</v>
      </c>
      <c r="BD50" s="297" t="s">
        <v>597</v>
      </c>
      <c r="BF50" s="258">
        <v>0</v>
      </c>
      <c r="BG50" s="258">
        <v>0</v>
      </c>
      <c r="BO50" s="258">
        <v>1</v>
      </c>
      <c r="BP50" s="258">
        <v>0</v>
      </c>
      <c r="BW50" s="258">
        <v>0</v>
      </c>
      <c r="BX50" s="258">
        <v>0</v>
      </c>
      <c r="BY50" s="258">
        <v>3276</v>
      </c>
      <c r="BZ50" s="258">
        <v>2038</v>
      </c>
      <c r="CA50" s="258">
        <v>0</v>
      </c>
      <c r="CC50" s="325">
        <v>1810</v>
      </c>
      <c r="CD50" s="258">
        <v>0</v>
      </c>
      <c r="CJ50" s="258">
        <v>0</v>
      </c>
      <c r="CK50" s="258">
        <v>0</v>
      </c>
      <c r="CQ50" s="325">
        <v>231.6</v>
      </c>
      <c r="CR50" s="258">
        <v>11</v>
      </c>
      <c r="CS50" s="258">
        <v>0.96000000000000085</v>
      </c>
      <c r="CT50" s="258">
        <v>52</v>
      </c>
      <c r="CU50" s="258">
        <v>0</v>
      </c>
      <c r="CV50" s="258">
        <v>0</v>
      </c>
      <c r="CW50" s="258">
        <v>0</v>
      </c>
      <c r="DE50" s="258">
        <v>213</v>
      </c>
      <c r="DF50" s="298">
        <v>0</v>
      </c>
      <c r="DG50" s="258" t="s">
        <v>210</v>
      </c>
      <c r="DH50" s="258">
        <v>1</v>
      </c>
      <c r="DI50" s="258">
        <v>5.164319248826291</v>
      </c>
      <c r="DJ50" s="258">
        <v>9.9210526315789469</v>
      </c>
      <c r="DK50" s="258">
        <v>11.368421052631579</v>
      </c>
      <c r="DL50" s="258">
        <v>8.3684210526315788</v>
      </c>
      <c r="DM50" s="258">
        <v>5655</v>
      </c>
      <c r="DN50" s="258">
        <v>6696</v>
      </c>
      <c r="DO50" s="258">
        <v>4929</v>
      </c>
      <c r="DP50" s="258">
        <v>19.842105263157894</v>
      </c>
      <c r="DQ50" s="258">
        <v>23.494736842105265</v>
      </c>
      <c r="DR50" s="258">
        <v>17.294736842105262</v>
      </c>
      <c r="DS50" s="258">
        <v>1.1457215619694399</v>
      </c>
      <c r="DT50" s="258">
        <v>1.3566315789473684</v>
      </c>
      <c r="DU50" s="258">
        <v>0.99863157894736843</v>
      </c>
      <c r="DZ50" s="259">
        <v>8</v>
      </c>
      <c r="EA50" s="259">
        <v>183</v>
      </c>
      <c r="EB50" s="259">
        <v>0</v>
      </c>
      <c r="EC50" s="259">
        <v>0</v>
      </c>
      <c r="ED50" s="259">
        <v>0</v>
      </c>
      <c r="EE50" s="259">
        <v>0</v>
      </c>
      <c r="EF50" s="262">
        <v>2</v>
      </c>
      <c r="EG50" s="262">
        <v>4</v>
      </c>
      <c r="EH50" s="262">
        <v>0</v>
      </c>
      <c r="EI50" s="262">
        <v>22</v>
      </c>
    </row>
    <row r="51" spans="1:139">
      <c r="A51" s="295">
        <v>2031</v>
      </c>
      <c r="B51" s="258" t="s">
        <v>345</v>
      </c>
      <c r="C51" s="258">
        <v>86</v>
      </c>
      <c r="D51" s="258">
        <v>238</v>
      </c>
      <c r="E51" s="296">
        <v>0</v>
      </c>
      <c r="F51" s="258">
        <v>0</v>
      </c>
      <c r="G51" s="258">
        <v>97478.488291254209</v>
      </c>
      <c r="H51" s="258">
        <v>60.59190476190475</v>
      </c>
      <c r="I51" s="258">
        <v>0</v>
      </c>
      <c r="J51" s="258">
        <v>0</v>
      </c>
      <c r="K51" s="258">
        <v>65</v>
      </c>
      <c r="L51" s="258">
        <v>0</v>
      </c>
      <c r="M51" s="257">
        <v>29</v>
      </c>
      <c r="N51" s="257">
        <v>30</v>
      </c>
      <c r="O51" s="257">
        <v>21</v>
      </c>
      <c r="P51" s="257">
        <v>30</v>
      </c>
      <c r="Q51" s="257">
        <v>17</v>
      </c>
      <c r="R51" s="257">
        <v>24</v>
      </c>
      <c r="X51" s="257">
        <v>50</v>
      </c>
      <c r="Z51" s="257">
        <v>30</v>
      </c>
      <c r="AA51" s="257">
        <v>0</v>
      </c>
      <c r="AC51" s="258">
        <v>0</v>
      </c>
      <c r="AE51" s="258">
        <v>30</v>
      </c>
      <c r="AF51" s="258">
        <v>93.105263157894726</v>
      </c>
      <c r="AG51" s="258">
        <v>26535</v>
      </c>
      <c r="AH51" s="258">
        <v>15.325126315789475</v>
      </c>
      <c r="AJ51" s="258">
        <v>86</v>
      </c>
      <c r="AQ51" s="258">
        <v>97</v>
      </c>
      <c r="AR51" s="258">
        <v>1</v>
      </c>
      <c r="AS51" s="258">
        <v>0</v>
      </c>
      <c r="AT51" s="258">
        <v>1</v>
      </c>
      <c r="AV51" s="258">
        <v>0</v>
      </c>
      <c r="AW51" s="296"/>
      <c r="AX51" s="258">
        <v>0</v>
      </c>
      <c r="AZ51" s="258">
        <v>0</v>
      </c>
      <c r="BB51" s="258">
        <v>0</v>
      </c>
      <c r="BC51" s="258">
        <v>0</v>
      </c>
      <c r="BD51" s="297" t="s">
        <v>599</v>
      </c>
      <c r="BF51" s="258">
        <v>211</v>
      </c>
      <c r="BG51" s="258">
        <v>117</v>
      </c>
      <c r="BO51" s="258">
        <v>0</v>
      </c>
      <c r="BP51" s="258">
        <v>45804.711370098157</v>
      </c>
      <c r="BW51" s="258">
        <v>0</v>
      </c>
      <c r="BX51" s="258">
        <v>0</v>
      </c>
      <c r="BY51" s="258">
        <v>9900</v>
      </c>
      <c r="BZ51" s="258">
        <v>3038</v>
      </c>
      <c r="CA51" s="258">
        <v>0</v>
      </c>
      <c r="CC51" s="325">
        <v>1460.09</v>
      </c>
      <c r="CD51" s="258">
        <v>0</v>
      </c>
      <c r="CJ51" s="258">
        <v>0</v>
      </c>
      <c r="CK51" s="258">
        <v>0</v>
      </c>
      <c r="CQ51" s="325">
        <v>211</v>
      </c>
      <c r="CR51" s="258">
        <v>86</v>
      </c>
      <c r="CS51" s="258">
        <v>5.04</v>
      </c>
      <c r="CT51" s="258">
        <v>238</v>
      </c>
      <c r="CU51" s="258">
        <v>0</v>
      </c>
      <c r="CV51" s="258">
        <v>0</v>
      </c>
      <c r="CW51" s="258">
        <v>0</v>
      </c>
      <c r="DE51" s="258">
        <v>181</v>
      </c>
      <c r="DF51" s="298">
        <v>0</v>
      </c>
      <c r="DG51" s="258" t="s">
        <v>210</v>
      </c>
      <c r="DH51" s="258">
        <v>1</v>
      </c>
      <c r="DI51" s="258">
        <v>47.513812154696133</v>
      </c>
      <c r="DJ51" s="258">
        <v>10.263157894736842</v>
      </c>
      <c r="DK51" s="258">
        <v>11.368421052631579</v>
      </c>
      <c r="DL51" s="258">
        <v>8.3684210526315788</v>
      </c>
      <c r="DM51" s="258">
        <v>9945</v>
      </c>
      <c r="DN51" s="258">
        <v>8640</v>
      </c>
      <c r="DO51" s="258">
        <v>7950</v>
      </c>
      <c r="DP51" s="258">
        <v>34.89473684210526</v>
      </c>
      <c r="DQ51" s="258">
        <v>30.315789473684209</v>
      </c>
      <c r="DR51" s="258">
        <v>27.894736842105264</v>
      </c>
      <c r="DS51" s="258">
        <v>5.7436736842105267</v>
      </c>
      <c r="DT51" s="258">
        <v>4.9899789473684208</v>
      </c>
      <c r="DU51" s="258">
        <v>4.5914736842105262</v>
      </c>
      <c r="DZ51" s="259">
        <v>25</v>
      </c>
      <c r="EA51" s="259">
        <v>151</v>
      </c>
      <c r="EB51" s="259">
        <v>20</v>
      </c>
      <c r="EC51" s="259">
        <v>20</v>
      </c>
      <c r="ED51" s="259">
        <v>9</v>
      </c>
      <c r="EE51" s="259">
        <v>10</v>
      </c>
      <c r="EF51" s="262">
        <v>6</v>
      </c>
      <c r="EG51" s="262">
        <v>10</v>
      </c>
      <c r="EH51" s="262">
        <v>42</v>
      </c>
      <c r="EI51" s="262">
        <v>30</v>
      </c>
    </row>
    <row r="52" spans="1:139">
      <c r="A52" s="295">
        <v>2032</v>
      </c>
      <c r="B52" s="258" t="s">
        <v>346</v>
      </c>
      <c r="C52" s="258">
        <v>103</v>
      </c>
      <c r="D52" s="258">
        <v>491</v>
      </c>
      <c r="E52" s="296">
        <v>0</v>
      </c>
      <c r="F52" s="258">
        <v>0</v>
      </c>
      <c r="G52" s="258">
        <v>53089.56286210844</v>
      </c>
      <c r="H52" s="258">
        <v>106.84376865671648</v>
      </c>
      <c r="I52" s="258">
        <v>0</v>
      </c>
      <c r="J52" s="258">
        <v>0</v>
      </c>
      <c r="K52" s="258">
        <v>185</v>
      </c>
      <c r="L52" s="258">
        <v>0</v>
      </c>
      <c r="M52" s="257">
        <v>82</v>
      </c>
      <c r="N52" s="257">
        <v>60</v>
      </c>
      <c r="O52" s="257">
        <v>60</v>
      </c>
      <c r="P52" s="257">
        <v>60</v>
      </c>
      <c r="Q52" s="257">
        <v>59</v>
      </c>
      <c r="R52" s="257">
        <v>60</v>
      </c>
      <c r="X52" s="257">
        <v>95</v>
      </c>
      <c r="Z52" s="257">
        <v>60</v>
      </c>
      <c r="AA52" s="257">
        <v>0</v>
      </c>
      <c r="AC52" s="258">
        <v>0</v>
      </c>
      <c r="AE52" s="258">
        <v>30</v>
      </c>
      <c r="AF52" s="258">
        <v>173.17894736842106</v>
      </c>
      <c r="AG52" s="258">
        <v>49356</v>
      </c>
      <c r="AH52" s="258">
        <v>22.522675057208236</v>
      </c>
      <c r="AJ52" s="258">
        <v>103</v>
      </c>
      <c r="AO52" s="258">
        <v>59817.78</v>
      </c>
      <c r="AQ52" s="258">
        <v>121</v>
      </c>
      <c r="AR52" s="258">
        <v>0</v>
      </c>
      <c r="AS52" s="258">
        <v>1</v>
      </c>
      <c r="AT52" s="258">
        <v>1</v>
      </c>
      <c r="AV52" s="258">
        <v>1</v>
      </c>
      <c r="AW52" s="296"/>
      <c r="AX52" s="258">
        <v>0</v>
      </c>
      <c r="AZ52" s="258">
        <v>0</v>
      </c>
      <c r="BB52" s="258">
        <v>0</v>
      </c>
      <c r="BC52" s="258">
        <v>0</v>
      </c>
      <c r="BD52" s="297" t="s">
        <v>214</v>
      </c>
      <c r="BF52" s="258">
        <v>498</v>
      </c>
      <c r="BG52" s="258">
        <v>140</v>
      </c>
      <c r="BO52" s="258">
        <v>2</v>
      </c>
      <c r="BP52" s="258">
        <v>0</v>
      </c>
      <c r="BW52" s="258">
        <v>0</v>
      </c>
      <c r="BX52" s="258">
        <v>1423.02</v>
      </c>
      <c r="BY52" s="258">
        <v>9308</v>
      </c>
      <c r="BZ52" s="258">
        <v>4601</v>
      </c>
      <c r="CA52" s="258">
        <v>19923</v>
      </c>
      <c r="CC52" s="325">
        <v>2458</v>
      </c>
      <c r="CD52" s="258">
        <v>0</v>
      </c>
      <c r="CJ52" s="258">
        <v>0</v>
      </c>
      <c r="CK52" s="258">
        <v>0</v>
      </c>
      <c r="CQ52" s="325">
        <v>498</v>
      </c>
      <c r="CR52" s="258">
        <v>103</v>
      </c>
      <c r="CS52" s="258">
        <v>11.02</v>
      </c>
      <c r="CT52" s="258">
        <v>491</v>
      </c>
      <c r="CU52" s="258">
        <v>0</v>
      </c>
      <c r="CV52" s="258">
        <v>0</v>
      </c>
      <c r="CW52" s="258">
        <v>0</v>
      </c>
      <c r="CY52" s="258">
        <v>1</v>
      </c>
      <c r="DE52" s="258">
        <v>441</v>
      </c>
      <c r="DF52" s="298">
        <v>0</v>
      </c>
      <c r="DG52" s="258" t="s">
        <v>210</v>
      </c>
      <c r="DH52" s="258">
        <v>1</v>
      </c>
      <c r="DI52" s="258">
        <v>23.356009070294785</v>
      </c>
      <c r="DJ52" s="258">
        <v>10.263157894736842</v>
      </c>
      <c r="DK52" s="258">
        <v>11.368421052631579</v>
      </c>
      <c r="DL52" s="258">
        <v>8.3684210526315788</v>
      </c>
      <c r="DM52" s="258">
        <v>18915</v>
      </c>
      <c r="DN52" s="258">
        <v>15336</v>
      </c>
      <c r="DO52" s="258">
        <v>15105</v>
      </c>
      <c r="DP52" s="258">
        <v>66.368421052631575</v>
      </c>
      <c r="DQ52" s="258">
        <v>53.810526315789474</v>
      </c>
      <c r="DR52" s="258">
        <v>53</v>
      </c>
      <c r="DS52" s="258">
        <v>8.6315017162471399</v>
      </c>
      <c r="DT52" s="258">
        <v>6.9982929061784889</v>
      </c>
      <c r="DU52" s="258">
        <v>6.8928804347826089</v>
      </c>
      <c r="DZ52" s="259">
        <v>49</v>
      </c>
      <c r="EA52" s="259">
        <v>381</v>
      </c>
      <c r="EB52" s="259">
        <v>29</v>
      </c>
      <c r="EC52" s="259">
        <v>29</v>
      </c>
      <c r="ED52" s="259">
        <v>4</v>
      </c>
      <c r="EE52" s="259">
        <v>12</v>
      </c>
      <c r="EF52" s="262">
        <v>18</v>
      </c>
      <c r="EG52" s="262">
        <v>40</v>
      </c>
      <c r="EH52" s="262">
        <v>30</v>
      </c>
      <c r="EI52" s="262">
        <v>115</v>
      </c>
    </row>
    <row r="53" spans="1:139">
      <c r="A53" s="295">
        <v>3304</v>
      </c>
      <c r="B53" s="258" t="s">
        <v>347</v>
      </c>
      <c r="C53" s="258">
        <v>36</v>
      </c>
      <c r="D53" s="258">
        <v>80</v>
      </c>
      <c r="E53" s="296">
        <v>0</v>
      </c>
      <c r="F53" s="258">
        <v>0</v>
      </c>
      <c r="G53" s="258">
        <v>36434.63182751467</v>
      </c>
      <c r="H53" s="258">
        <v>46.665284552845577</v>
      </c>
      <c r="I53" s="258">
        <v>0</v>
      </c>
      <c r="J53" s="258">
        <v>0</v>
      </c>
      <c r="K53" s="258">
        <v>40</v>
      </c>
      <c r="L53" s="258">
        <v>0</v>
      </c>
      <c r="M53" s="257">
        <v>30</v>
      </c>
      <c r="N53" s="257">
        <v>29</v>
      </c>
      <c r="O53" s="257">
        <v>30</v>
      </c>
      <c r="P53" s="257">
        <v>28</v>
      </c>
      <c r="Q53" s="257">
        <v>30</v>
      </c>
      <c r="R53" s="257">
        <v>25</v>
      </c>
      <c r="X53" s="257">
        <v>44</v>
      </c>
      <c r="Z53" s="257">
        <v>30</v>
      </c>
      <c r="AA53" s="257">
        <v>0</v>
      </c>
      <c r="AC53" s="258">
        <v>0</v>
      </c>
      <c r="AE53" s="258">
        <v>30</v>
      </c>
      <c r="AF53" s="258">
        <v>41.884210526315783</v>
      </c>
      <c r="AG53" s="258">
        <v>23874</v>
      </c>
      <c r="AH53" s="258">
        <v>9.7761555023923421</v>
      </c>
      <c r="AJ53" s="258">
        <v>36</v>
      </c>
      <c r="AQ53" s="258">
        <v>46</v>
      </c>
      <c r="AR53" s="258">
        <v>0</v>
      </c>
      <c r="AS53" s="258">
        <v>0</v>
      </c>
      <c r="AT53" s="258">
        <v>1</v>
      </c>
      <c r="AV53" s="258">
        <v>1</v>
      </c>
      <c r="AW53" s="296"/>
      <c r="AX53" s="258">
        <v>0</v>
      </c>
      <c r="AZ53" s="258">
        <v>0</v>
      </c>
      <c r="BB53" s="258">
        <v>0</v>
      </c>
      <c r="BC53" s="258">
        <v>0</v>
      </c>
      <c r="BD53" s="297" t="s">
        <v>597</v>
      </c>
      <c r="BF53" s="258">
        <v>0</v>
      </c>
      <c r="BG53" s="258">
        <v>49</v>
      </c>
      <c r="BO53" s="258">
        <v>0</v>
      </c>
      <c r="BP53" s="258">
        <v>0</v>
      </c>
      <c r="BW53" s="258">
        <v>0</v>
      </c>
      <c r="BX53" s="258">
        <v>1423.02</v>
      </c>
      <c r="BY53" s="258">
        <v>8094</v>
      </c>
      <c r="BZ53" s="258">
        <v>2391</v>
      </c>
      <c r="CA53" s="258">
        <v>0</v>
      </c>
      <c r="CC53" s="325">
        <v>1240.7</v>
      </c>
      <c r="CD53" s="258">
        <v>0</v>
      </c>
      <c r="CJ53" s="258">
        <v>0</v>
      </c>
      <c r="CK53" s="258">
        <v>0</v>
      </c>
      <c r="CQ53" s="325">
        <v>228.4</v>
      </c>
      <c r="CR53" s="258">
        <v>36</v>
      </c>
      <c r="CS53" s="258">
        <v>3.08</v>
      </c>
      <c r="CT53" s="258">
        <v>80</v>
      </c>
      <c r="CU53" s="258">
        <v>0</v>
      </c>
      <c r="CV53" s="258">
        <v>0</v>
      </c>
      <c r="CW53" s="258">
        <v>0</v>
      </c>
      <c r="DE53" s="258">
        <v>202</v>
      </c>
      <c r="DF53" s="298">
        <v>0</v>
      </c>
      <c r="DG53" s="258" t="s">
        <v>210</v>
      </c>
      <c r="DH53" s="258">
        <v>1</v>
      </c>
      <c r="DI53" s="258">
        <v>17.82178217821782</v>
      </c>
      <c r="DJ53" s="258">
        <v>10.263157894736842</v>
      </c>
      <c r="DK53" s="258">
        <v>11.368421052631579</v>
      </c>
      <c r="DL53" s="258">
        <v>8.3684210526315788</v>
      </c>
      <c r="DM53" s="258">
        <v>9750</v>
      </c>
      <c r="DN53" s="258">
        <v>7128</v>
      </c>
      <c r="DO53" s="258">
        <v>6996</v>
      </c>
      <c r="DP53" s="258">
        <v>17.105263157894736</v>
      </c>
      <c r="DQ53" s="258">
        <v>12.505263157894737</v>
      </c>
      <c r="DR53" s="258">
        <v>12.273684210526316</v>
      </c>
      <c r="DS53" s="258">
        <v>3.9925239234449754</v>
      </c>
      <c r="DT53" s="258">
        <v>2.9188421052631575</v>
      </c>
      <c r="DU53" s="258">
        <v>2.8647894736842097</v>
      </c>
      <c r="DZ53" s="259">
        <v>5</v>
      </c>
      <c r="EA53" s="259">
        <v>172</v>
      </c>
      <c r="EB53" s="259">
        <v>8</v>
      </c>
      <c r="EC53" s="259">
        <v>13</v>
      </c>
      <c r="ED53" s="259">
        <v>2</v>
      </c>
      <c r="EE53" s="259">
        <v>6</v>
      </c>
      <c r="EF53" s="262">
        <v>4</v>
      </c>
      <c r="EG53" s="262">
        <v>2</v>
      </c>
      <c r="EH53" s="262">
        <v>8</v>
      </c>
      <c r="EI53" s="262">
        <v>20</v>
      </c>
    </row>
    <row r="54" spans="1:139">
      <c r="A54" s="295">
        <v>3515</v>
      </c>
      <c r="B54" s="258" t="s">
        <v>603</v>
      </c>
      <c r="C54" s="258">
        <v>0</v>
      </c>
      <c r="D54" s="258">
        <v>13</v>
      </c>
      <c r="E54" s="296">
        <v>0</v>
      </c>
      <c r="F54" s="258">
        <v>0</v>
      </c>
      <c r="G54" s="258">
        <v>10919.845432640925</v>
      </c>
      <c r="H54" s="258">
        <v>24.035229357798162</v>
      </c>
      <c r="I54" s="258">
        <v>0</v>
      </c>
      <c r="J54" s="258">
        <v>0</v>
      </c>
      <c r="K54" s="258">
        <v>50</v>
      </c>
      <c r="L54" s="258">
        <v>0</v>
      </c>
      <c r="M54" s="257">
        <v>28</v>
      </c>
      <c r="N54" s="257">
        <v>30</v>
      </c>
      <c r="O54" s="257">
        <v>29</v>
      </c>
      <c r="P54" s="257">
        <v>28</v>
      </c>
      <c r="Q54" s="257">
        <v>25</v>
      </c>
      <c r="R54" s="257">
        <v>25</v>
      </c>
      <c r="X54" s="257">
        <v>26</v>
      </c>
      <c r="Z54" s="257">
        <v>27</v>
      </c>
      <c r="AA54" s="257">
        <v>0</v>
      </c>
      <c r="AC54" s="258">
        <v>0</v>
      </c>
      <c r="AJ54" s="258">
        <v>0</v>
      </c>
      <c r="AQ54" s="258">
        <v>0</v>
      </c>
      <c r="AR54" s="258">
        <v>0</v>
      </c>
      <c r="AS54" s="258">
        <v>0</v>
      </c>
      <c r="AT54" s="258">
        <v>1</v>
      </c>
      <c r="AV54" s="258">
        <v>1</v>
      </c>
      <c r="AW54" s="296"/>
      <c r="AX54" s="258">
        <v>0</v>
      </c>
      <c r="AZ54" s="258">
        <v>0</v>
      </c>
      <c r="BB54" s="258">
        <v>0</v>
      </c>
      <c r="BC54" s="258">
        <v>0</v>
      </c>
      <c r="BD54" s="297" t="s">
        <v>604</v>
      </c>
      <c r="BF54" s="258">
        <v>0</v>
      </c>
      <c r="BG54" s="258">
        <v>0</v>
      </c>
      <c r="BO54" s="258">
        <v>0</v>
      </c>
      <c r="BP54" s="258">
        <v>0</v>
      </c>
      <c r="BW54" s="258">
        <v>0</v>
      </c>
      <c r="BX54" s="258">
        <v>0</v>
      </c>
      <c r="BY54" s="258">
        <v>2352</v>
      </c>
      <c r="CA54" s="258">
        <v>0</v>
      </c>
      <c r="CC54" s="325">
        <v>1369</v>
      </c>
      <c r="CD54" s="258">
        <v>0</v>
      </c>
      <c r="CJ54" s="258">
        <v>0</v>
      </c>
      <c r="CK54" s="258">
        <v>0</v>
      </c>
      <c r="CQ54" s="325">
        <v>207.6</v>
      </c>
      <c r="CR54" s="258">
        <v>0</v>
      </c>
      <c r="CS54" s="258">
        <v>0</v>
      </c>
      <c r="CT54" s="258">
        <v>0</v>
      </c>
      <c r="CU54" s="258">
        <v>0</v>
      </c>
      <c r="CV54" s="258">
        <v>0</v>
      </c>
      <c r="CW54" s="258">
        <v>0</v>
      </c>
      <c r="DE54" s="258">
        <v>192</v>
      </c>
      <c r="DF54" s="298">
        <v>0</v>
      </c>
      <c r="DG54" s="258" t="s">
        <v>210</v>
      </c>
      <c r="DH54" s="258">
        <v>1</v>
      </c>
      <c r="DI54" s="258">
        <v>0</v>
      </c>
      <c r="DN54" s="258"/>
      <c r="DO54" s="258"/>
      <c r="DP54" s="258"/>
      <c r="DQ54" s="258"/>
      <c r="DR54" s="258"/>
      <c r="DS54" s="258"/>
      <c r="DT54" s="258"/>
      <c r="DU54" s="258"/>
      <c r="DZ54" s="259">
        <v>11</v>
      </c>
      <c r="EA54" s="259">
        <v>165</v>
      </c>
      <c r="EB54" s="259">
        <v>0</v>
      </c>
      <c r="EC54" s="259">
        <v>0</v>
      </c>
      <c r="ED54" s="259">
        <v>0</v>
      </c>
      <c r="EE54" s="259">
        <v>0</v>
      </c>
      <c r="EF54" s="262">
        <v>0</v>
      </c>
      <c r="EG54" s="262">
        <v>2</v>
      </c>
      <c r="EH54" s="262">
        <v>0</v>
      </c>
      <c r="EI54" s="262">
        <v>5</v>
      </c>
    </row>
    <row r="55" spans="1:139">
      <c r="A55" s="295" t="s">
        <v>450</v>
      </c>
      <c r="B55" s="258" t="s">
        <v>603</v>
      </c>
      <c r="C55" s="258">
        <v>0</v>
      </c>
      <c r="D55" s="258">
        <v>0</v>
      </c>
      <c r="E55" s="296">
        <v>0</v>
      </c>
      <c r="F55" s="258">
        <v>0</v>
      </c>
      <c r="H55" s="258">
        <v>0</v>
      </c>
      <c r="I55" s="258">
        <v>0</v>
      </c>
      <c r="J55" s="258">
        <v>0</v>
      </c>
      <c r="K55" s="258">
        <v>0</v>
      </c>
      <c r="L55" s="258">
        <v>0</v>
      </c>
      <c r="M55" s="257">
        <v>0</v>
      </c>
      <c r="N55" s="257">
        <v>0</v>
      </c>
      <c r="O55" s="257">
        <v>0</v>
      </c>
      <c r="P55" s="257">
        <v>0</v>
      </c>
      <c r="Q55" s="257">
        <v>0</v>
      </c>
      <c r="R55" s="257">
        <v>0</v>
      </c>
      <c r="X55" s="257">
        <v>0</v>
      </c>
      <c r="Z55" s="257">
        <v>0</v>
      </c>
      <c r="AA55" s="257">
        <v>0</v>
      </c>
      <c r="AC55" s="258">
        <v>0</v>
      </c>
      <c r="AE55" s="258">
        <v>0</v>
      </c>
      <c r="AF55" s="258">
        <v>0</v>
      </c>
      <c r="AG55" s="258">
        <v>0</v>
      </c>
      <c r="AH55" s="258">
        <v>0</v>
      </c>
      <c r="AJ55" s="258">
        <v>0</v>
      </c>
      <c r="AQ55" s="258">
        <v>0</v>
      </c>
      <c r="AR55" s="258">
        <v>0</v>
      </c>
      <c r="AS55" s="258">
        <v>0</v>
      </c>
      <c r="AT55" s="258">
        <v>1</v>
      </c>
      <c r="AV55" s="258">
        <v>0</v>
      </c>
      <c r="AW55" s="296"/>
      <c r="AX55" s="258">
        <v>0</v>
      </c>
      <c r="AZ55" s="258">
        <v>0</v>
      </c>
      <c r="BB55" s="258">
        <v>0</v>
      </c>
      <c r="BC55" s="258">
        <v>0</v>
      </c>
      <c r="BD55" s="297" t="s">
        <v>604</v>
      </c>
      <c r="BF55" s="258">
        <v>0</v>
      </c>
      <c r="BG55" s="258">
        <v>0</v>
      </c>
      <c r="BO55" s="258">
        <v>0</v>
      </c>
      <c r="BP55" s="258">
        <v>0</v>
      </c>
      <c r="BW55" s="258">
        <v>0</v>
      </c>
      <c r="BX55" s="258">
        <v>0</v>
      </c>
      <c r="BZ55" s="258">
        <v>0</v>
      </c>
      <c r="CA55" s="258">
        <v>0</v>
      </c>
      <c r="CC55" s="325">
        <v>0</v>
      </c>
      <c r="CD55" s="258">
        <v>0</v>
      </c>
      <c r="CJ55" s="258">
        <v>0</v>
      </c>
      <c r="CK55" s="258">
        <v>0</v>
      </c>
      <c r="CQ55" s="325">
        <v>0</v>
      </c>
      <c r="CR55" s="258">
        <v>0</v>
      </c>
      <c r="CS55" s="258">
        <v>0</v>
      </c>
      <c r="CT55" s="258">
        <v>0</v>
      </c>
      <c r="CU55" s="258">
        <v>0</v>
      </c>
      <c r="CV55" s="258">
        <v>0</v>
      </c>
      <c r="CW55" s="258">
        <v>0</v>
      </c>
      <c r="DE55" s="258">
        <v>0</v>
      </c>
      <c r="DF55" s="298">
        <v>0</v>
      </c>
      <c r="DG55" s="258" t="s">
        <v>210</v>
      </c>
      <c r="DI55" s="258">
        <v>0</v>
      </c>
      <c r="DJ55" s="258">
        <v>0</v>
      </c>
      <c r="DK55" s="258">
        <v>0</v>
      </c>
      <c r="DL55" s="258">
        <v>0</v>
      </c>
      <c r="DM55" s="258">
        <v>0</v>
      </c>
      <c r="DN55" s="258">
        <v>0</v>
      </c>
      <c r="DO55" s="258">
        <v>0</v>
      </c>
      <c r="DP55" s="258">
        <v>0</v>
      </c>
      <c r="DQ55" s="258">
        <v>0</v>
      </c>
      <c r="DR55" s="258">
        <v>0</v>
      </c>
      <c r="DS55" s="258">
        <v>0</v>
      </c>
      <c r="DT55" s="258">
        <v>0</v>
      </c>
      <c r="DU55" s="258">
        <v>0</v>
      </c>
      <c r="DZ55" s="259">
        <v>0</v>
      </c>
      <c r="EA55" s="259">
        <v>0</v>
      </c>
      <c r="EB55" s="259">
        <v>0</v>
      </c>
      <c r="EC55" s="259">
        <v>0</v>
      </c>
      <c r="ED55" s="259">
        <v>0</v>
      </c>
      <c r="EE55" s="259">
        <v>0</v>
      </c>
      <c r="EF55" s="262">
        <v>0</v>
      </c>
      <c r="EG55" s="262">
        <v>0</v>
      </c>
      <c r="EH55" s="262">
        <v>0</v>
      </c>
      <c r="EI55" s="262">
        <v>0</v>
      </c>
    </row>
    <row r="56" spans="1:139">
      <c r="A56" s="295">
        <v>2036</v>
      </c>
      <c r="B56" s="258" t="s">
        <v>348</v>
      </c>
      <c r="C56" s="258">
        <v>64</v>
      </c>
      <c r="D56" s="258">
        <v>279</v>
      </c>
      <c r="E56" s="296">
        <v>0</v>
      </c>
      <c r="F56" s="258">
        <v>0</v>
      </c>
      <c r="G56" s="258">
        <v>68258.462335852761</v>
      </c>
      <c r="H56" s="258">
        <v>52.380296610169538</v>
      </c>
      <c r="I56" s="258">
        <v>534800.13643333339</v>
      </c>
      <c r="J56" s="258">
        <v>0</v>
      </c>
      <c r="K56" s="258">
        <v>25</v>
      </c>
      <c r="L56" s="258">
        <v>0</v>
      </c>
      <c r="M56" s="257">
        <v>31</v>
      </c>
      <c r="N56" s="257">
        <v>30</v>
      </c>
      <c r="O56" s="257">
        <v>28</v>
      </c>
      <c r="P56" s="257">
        <v>30</v>
      </c>
      <c r="Q56" s="257">
        <v>29</v>
      </c>
      <c r="R56" s="257">
        <v>19</v>
      </c>
      <c r="X56" s="257">
        <v>39</v>
      </c>
      <c r="Z56" s="257">
        <v>30</v>
      </c>
      <c r="AA56" s="257">
        <v>0</v>
      </c>
      <c r="AC56" s="258">
        <v>0</v>
      </c>
      <c r="AE56" s="258">
        <v>28.86315789473684</v>
      </c>
      <c r="AF56" s="258">
        <v>77.115789473684202</v>
      </c>
      <c r="AG56" s="258">
        <v>21978</v>
      </c>
      <c r="AH56" s="258">
        <v>11.053263157894737</v>
      </c>
      <c r="AJ56" s="258">
        <v>64</v>
      </c>
      <c r="AN56" s="258">
        <v>1</v>
      </c>
      <c r="AQ56" s="258">
        <v>97</v>
      </c>
      <c r="AR56" s="258">
        <v>0</v>
      </c>
      <c r="AS56" s="258">
        <v>0</v>
      </c>
      <c r="AT56" s="258">
        <v>1</v>
      </c>
      <c r="AV56" s="258">
        <v>1</v>
      </c>
      <c r="AW56" s="296"/>
      <c r="AX56" s="258">
        <v>0</v>
      </c>
      <c r="AZ56" s="258">
        <v>0</v>
      </c>
      <c r="BB56" s="258">
        <v>0</v>
      </c>
      <c r="BC56" s="258">
        <v>0</v>
      </c>
      <c r="BD56" s="297" t="s">
        <v>214</v>
      </c>
      <c r="BF56" s="258">
        <v>220.4</v>
      </c>
      <c r="BG56" s="258">
        <v>106</v>
      </c>
      <c r="BO56" s="258">
        <v>1</v>
      </c>
      <c r="BP56" s="258">
        <v>21189.339177484333</v>
      </c>
      <c r="BW56" s="258">
        <v>0</v>
      </c>
      <c r="BX56" s="258">
        <v>0</v>
      </c>
      <c r="BY56" s="258">
        <v>17000</v>
      </c>
      <c r="BZ56" s="258">
        <v>4365</v>
      </c>
      <c r="CA56" s="258">
        <v>13167.5</v>
      </c>
      <c r="CC56" s="325">
        <v>2645</v>
      </c>
      <c r="CD56" s="258">
        <v>0</v>
      </c>
      <c r="CJ56" s="258">
        <v>0</v>
      </c>
      <c r="CK56" s="258">
        <v>0</v>
      </c>
      <c r="CQ56" s="325">
        <v>220.4</v>
      </c>
      <c r="CR56" s="258">
        <v>64.599999999999994</v>
      </c>
      <c r="CS56" s="258">
        <v>14.1</v>
      </c>
      <c r="CT56" s="258">
        <v>279</v>
      </c>
      <c r="CU56" s="258">
        <v>0</v>
      </c>
      <c r="CV56" s="258">
        <v>0</v>
      </c>
      <c r="CW56" s="258">
        <v>0</v>
      </c>
      <c r="DE56" s="258">
        <v>197</v>
      </c>
      <c r="DF56" s="298">
        <v>0</v>
      </c>
      <c r="DG56" s="258" t="s">
        <v>210</v>
      </c>
      <c r="DH56" s="258">
        <v>1</v>
      </c>
      <c r="DI56" s="258">
        <v>32.487309644670049</v>
      </c>
      <c r="DJ56" s="258">
        <v>10.263157894736842</v>
      </c>
      <c r="DK56" s="258">
        <v>10.231578947368421</v>
      </c>
      <c r="DL56" s="258">
        <v>8.3684210526315788</v>
      </c>
      <c r="DM56" s="258">
        <v>9945</v>
      </c>
      <c r="DN56" s="258">
        <v>5832</v>
      </c>
      <c r="DO56" s="258">
        <v>6201</v>
      </c>
      <c r="DP56" s="258">
        <v>34.89473684210526</v>
      </c>
      <c r="DQ56" s="258">
        <v>20.463157894736842</v>
      </c>
      <c r="DR56" s="258">
        <v>21.757894736842104</v>
      </c>
      <c r="DS56" s="258">
        <v>5.0015789473684213</v>
      </c>
      <c r="DT56" s="258">
        <v>2.9330526315789474</v>
      </c>
      <c r="DU56" s="258">
        <v>3.1186315789473684</v>
      </c>
      <c r="DZ56" s="259">
        <v>23</v>
      </c>
      <c r="EA56" s="259">
        <v>167</v>
      </c>
      <c r="EB56" s="259">
        <v>19</v>
      </c>
      <c r="EC56" s="259">
        <v>13</v>
      </c>
      <c r="ED56" s="259">
        <v>10</v>
      </c>
      <c r="EE56" s="259">
        <v>6</v>
      </c>
      <c r="EF56" s="262">
        <v>20</v>
      </c>
      <c r="EG56" s="262">
        <v>14</v>
      </c>
      <c r="EH56" s="262">
        <v>14</v>
      </c>
      <c r="EI56" s="262">
        <v>41</v>
      </c>
    </row>
    <row r="57" spans="1:139">
      <c r="A57" s="295">
        <v>2037</v>
      </c>
      <c r="B57" s="258" t="s">
        <v>349</v>
      </c>
      <c r="C57" s="258">
        <v>70</v>
      </c>
      <c r="D57" s="258">
        <v>261</v>
      </c>
      <c r="E57" s="296">
        <v>0</v>
      </c>
      <c r="F57" s="258">
        <v>0</v>
      </c>
      <c r="G57" s="258">
        <v>62158.85156138552</v>
      </c>
      <c r="H57" s="258">
        <v>59.001398601398577</v>
      </c>
      <c r="I57" s="258">
        <v>0</v>
      </c>
      <c r="J57" s="258">
        <v>0</v>
      </c>
      <c r="K57" s="258">
        <v>146.66666666666666</v>
      </c>
      <c r="L57" s="258">
        <v>0</v>
      </c>
      <c r="M57" s="257">
        <v>30</v>
      </c>
      <c r="N57" s="257">
        <v>30</v>
      </c>
      <c r="O57" s="257">
        <v>30</v>
      </c>
      <c r="P57" s="257">
        <v>30</v>
      </c>
      <c r="Q57" s="257">
        <v>27</v>
      </c>
      <c r="R57" s="257">
        <v>30</v>
      </c>
      <c r="X57" s="257">
        <v>49</v>
      </c>
      <c r="Z57" s="257">
        <v>60</v>
      </c>
      <c r="AA57" s="257">
        <v>0</v>
      </c>
      <c r="AC57" s="258">
        <v>0</v>
      </c>
      <c r="AE57" s="258">
        <v>30</v>
      </c>
      <c r="AF57" s="258">
        <v>84.021052631578954</v>
      </c>
      <c r="AG57" s="258">
        <v>23946</v>
      </c>
      <c r="AH57" s="258">
        <v>9.1261164613661805</v>
      </c>
      <c r="AJ57" s="258">
        <v>70</v>
      </c>
      <c r="AQ57" s="258">
        <v>85</v>
      </c>
      <c r="AR57" s="258">
        <v>0</v>
      </c>
      <c r="AS57" s="258">
        <v>0</v>
      </c>
      <c r="AT57" s="258">
        <v>1</v>
      </c>
      <c r="AV57" s="258">
        <v>3</v>
      </c>
      <c r="AW57" s="296"/>
      <c r="AX57" s="258">
        <v>0</v>
      </c>
      <c r="AZ57" s="258">
        <v>0</v>
      </c>
      <c r="BB57" s="258">
        <v>0</v>
      </c>
      <c r="BC57" s="258">
        <v>0</v>
      </c>
      <c r="BD57" s="297" t="s">
        <v>214</v>
      </c>
      <c r="BF57" s="258">
        <v>266.39999999999998</v>
      </c>
      <c r="BG57" s="258">
        <v>122</v>
      </c>
      <c r="BO57" s="258">
        <v>1</v>
      </c>
      <c r="BP57" s="258">
        <v>19547.048961757959</v>
      </c>
      <c r="BW57" s="258">
        <v>0</v>
      </c>
      <c r="BX57" s="258">
        <v>0</v>
      </c>
      <c r="BY57" s="258">
        <v>8094</v>
      </c>
      <c r="BZ57" s="258">
        <v>8324</v>
      </c>
      <c r="CA57" s="258">
        <v>15343</v>
      </c>
      <c r="CC57" s="325">
        <v>2649.88</v>
      </c>
      <c r="CD57" s="258">
        <v>0</v>
      </c>
      <c r="CJ57" s="258">
        <v>0</v>
      </c>
      <c r="CK57" s="258">
        <v>0</v>
      </c>
      <c r="CQ57" s="325">
        <v>266.39999999999998</v>
      </c>
      <c r="CR57" s="258">
        <v>70</v>
      </c>
      <c r="CS57" s="258">
        <v>4.05</v>
      </c>
      <c r="CT57" s="258">
        <v>261</v>
      </c>
      <c r="CU57" s="258">
        <v>0</v>
      </c>
      <c r="CV57" s="258">
        <v>0</v>
      </c>
      <c r="CW57" s="258">
        <v>0</v>
      </c>
      <c r="DE57" s="258">
        <v>237</v>
      </c>
      <c r="DF57" s="298">
        <v>0</v>
      </c>
      <c r="DG57" s="258" t="s">
        <v>210</v>
      </c>
      <c r="DH57" s="258">
        <v>1</v>
      </c>
      <c r="DI57" s="258">
        <v>29.535864978902953</v>
      </c>
      <c r="DJ57" s="258">
        <v>10.263157894736842</v>
      </c>
      <c r="DK57" s="258">
        <v>11.368421052631579</v>
      </c>
      <c r="DL57" s="258">
        <v>8.3684210526315788</v>
      </c>
      <c r="DM57" s="258">
        <v>8970</v>
      </c>
      <c r="DN57" s="258">
        <v>7344</v>
      </c>
      <c r="DO57" s="258">
        <v>7632</v>
      </c>
      <c r="DP57" s="258">
        <v>31.473684210526315</v>
      </c>
      <c r="DQ57" s="258">
        <v>25.768421052631581</v>
      </c>
      <c r="DR57" s="258">
        <v>26.778947368421051</v>
      </c>
      <c r="DS57" s="258">
        <v>3.4185778275475927</v>
      </c>
      <c r="DT57" s="258">
        <v>2.7988891377379619</v>
      </c>
      <c r="DU57" s="258">
        <v>2.9086494960806268</v>
      </c>
      <c r="DZ57" s="259">
        <v>23</v>
      </c>
      <c r="EA57" s="259">
        <v>177</v>
      </c>
      <c r="EB57" s="259">
        <v>24</v>
      </c>
      <c r="EC57" s="259">
        <v>18</v>
      </c>
      <c r="ED57" s="259">
        <v>8</v>
      </c>
      <c r="EE57" s="259">
        <v>8</v>
      </c>
      <c r="EF57" s="262">
        <v>6</v>
      </c>
      <c r="EG57" s="262">
        <v>12</v>
      </c>
      <c r="EH57" s="262">
        <v>28</v>
      </c>
      <c r="EI57" s="262">
        <v>87</v>
      </c>
    </row>
    <row r="58" spans="1:139">
      <c r="A58" s="295">
        <v>3523</v>
      </c>
      <c r="B58" s="258" t="s">
        <v>350</v>
      </c>
      <c r="C58" s="258">
        <v>101</v>
      </c>
      <c r="D58" s="258">
        <v>498</v>
      </c>
      <c r="E58" s="296">
        <v>0</v>
      </c>
      <c r="F58" s="258">
        <v>0</v>
      </c>
      <c r="G58" s="258">
        <v>52702.931777525482</v>
      </c>
      <c r="H58" s="258">
        <v>118.09925000000014</v>
      </c>
      <c r="I58" s="258">
        <v>0</v>
      </c>
      <c r="J58" s="258">
        <v>0</v>
      </c>
      <c r="K58" s="258">
        <v>240</v>
      </c>
      <c r="L58" s="258">
        <v>0</v>
      </c>
      <c r="M58" s="257">
        <v>60</v>
      </c>
      <c r="N58" s="257">
        <v>60</v>
      </c>
      <c r="O58" s="257">
        <v>59</v>
      </c>
      <c r="P58" s="257">
        <v>56</v>
      </c>
      <c r="Q58" s="257">
        <v>60</v>
      </c>
      <c r="R58" s="257">
        <v>52</v>
      </c>
      <c r="X58" s="257">
        <v>83</v>
      </c>
      <c r="Z58" s="257">
        <v>90</v>
      </c>
      <c r="AA58" s="257">
        <v>0</v>
      </c>
      <c r="AC58" s="258">
        <v>0</v>
      </c>
      <c r="AE58" s="258">
        <v>30</v>
      </c>
      <c r="AF58" s="258">
        <v>0</v>
      </c>
      <c r="AG58" s="258">
        <v>44529</v>
      </c>
      <c r="AH58" s="258">
        <v>17.092509828788842</v>
      </c>
      <c r="AJ58" s="258">
        <v>101</v>
      </c>
      <c r="AQ58" s="258">
        <v>172</v>
      </c>
      <c r="AR58" s="258">
        <v>0</v>
      </c>
      <c r="AS58" s="258">
        <v>0</v>
      </c>
      <c r="AT58" s="258">
        <v>1</v>
      </c>
      <c r="AV58" s="258">
        <v>0</v>
      </c>
      <c r="AW58" s="296"/>
      <c r="AX58" s="258">
        <v>0</v>
      </c>
      <c r="AZ58" s="258">
        <v>0</v>
      </c>
      <c r="BB58" s="258">
        <v>0</v>
      </c>
      <c r="BC58" s="258">
        <v>0</v>
      </c>
      <c r="BD58" s="297" t="s">
        <v>214</v>
      </c>
      <c r="BF58" s="258">
        <v>486.8</v>
      </c>
      <c r="BG58" s="258">
        <v>171</v>
      </c>
      <c r="BO58" s="258">
        <v>0</v>
      </c>
      <c r="BP58" s="258">
        <v>0</v>
      </c>
      <c r="BW58" s="258">
        <v>0</v>
      </c>
      <c r="BX58" s="258">
        <v>2055.48</v>
      </c>
      <c r="BY58" s="258">
        <v>19300</v>
      </c>
      <c r="BZ58" s="258">
        <v>5943</v>
      </c>
      <c r="CA58" s="258">
        <v>27724</v>
      </c>
      <c r="CC58" s="325">
        <v>2828.63</v>
      </c>
      <c r="CD58" s="258">
        <v>0</v>
      </c>
      <c r="CJ58" s="258">
        <v>0</v>
      </c>
      <c r="CK58" s="258">
        <v>0</v>
      </c>
      <c r="CQ58" s="325">
        <v>486.8</v>
      </c>
      <c r="CR58" s="258">
        <v>103.4</v>
      </c>
      <c r="CS58" s="258">
        <v>12.18</v>
      </c>
      <c r="CT58" s="258">
        <v>498</v>
      </c>
      <c r="CU58" s="258">
        <v>0</v>
      </c>
      <c r="CV58" s="258">
        <v>0</v>
      </c>
      <c r="CW58" s="258">
        <v>0</v>
      </c>
      <c r="DE58" s="258">
        <v>437</v>
      </c>
      <c r="DF58" s="298">
        <v>0</v>
      </c>
      <c r="DG58" s="258" t="s">
        <v>210</v>
      </c>
      <c r="DH58" s="258">
        <v>1</v>
      </c>
      <c r="DI58" s="258">
        <v>23.112128146453088</v>
      </c>
      <c r="DJ58" s="258">
        <v>10.263157894736842</v>
      </c>
      <c r="DK58" s="258">
        <v>11.368421052631579</v>
      </c>
      <c r="DL58" s="258">
        <v>8.3684210526315788</v>
      </c>
      <c r="DM58" s="258">
        <v>17940</v>
      </c>
      <c r="DN58" s="258">
        <v>13392</v>
      </c>
      <c r="DO58" s="258">
        <v>13197</v>
      </c>
      <c r="DP58" s="258">
        <v>0</v>
      </c>
      <c r="DQ58" s="258">
        <v>0</v>
      </c>
      <c r="DR58" s="258">
        <v>0</v>
      </c>
      <c r="DS58" s="258">
        <v>6.8862904248573242</v>
      </c>
      <c r="DT58" s="258">
        <v>5.1405351934051993</v>
      </c>
      <c r="DU58" s="258">
        <v>5.0656842105263156</v>
      </c>
      <c r="DZ58" s="259">
        <v>36</v>
      </c>
      <c r="EA58" s="259">
        <v>347</v>
      </c>
      <c r="EB58" s="259">
        <v>28</v>
      </c>
      <c r="EC58" s="259">
        <v>52</v>
      </c>
      <c r="ED58" s="259">
        <v>7</v>
      </c>
      <c r="EE58" s="259">
        <v>14</v>
      </c>
      <c r="EF58" s="262">
        <v>12</v>
      </c>
      <c r="EG58" s="262">
        <v>40</v>
      </c>
      <c r="EH58" s="262">
        <v>50</v>
      </c>
      <c r="EI58" s="262">
        <v>104</v>
      </c>
    </row>
    <row r="59" spans="1:139">
      <c r="A59" s="295">
        <v>5948</v>
      </c>
      <c r="B59" s="258" t="s">
        <v>351</v>
      </c>
      <c r="C59" s="258">
        <v>11</v>
      </c>
      <c r="D59" s="258">
        <v>61</v>
      </c>
      <c r="E59" s="296">
        <v>0</v>
      </c>
      <c r="F59" s="258">
        <v>0</v>
      </c>
      <c r="G59" s="258">
        <v>11968.843499114177</v>
      </c>
      <c r="H59" s="258">
        <v>32.340000000000003</v>
      </c>
      <c r="I59" s="258">
        <v>0</v>
      </c>
      <c r="J59" s="258">
        <v>0</v>
      </c>
      <c r="K59" s="258">
        <v>135</v>
      </c>
      <c r="L59" s="258">
        <v>0</v>
      </c>
      <c r="M59" s="257">
        <v>28</v>
      </c>
      <c r="N59" s="257">
        <v>28</v>
      </c>
      <c r="O59" s="257">
        <v>28</v>
      </c>
      <c r="P59" s="257">
        <v>28</v>
      </c>
      <c r="Q59" s="257">
        <v>28</v>
      </c>
      <c r="R59" s="257">
        <v>28</v>
      </c>
      <c r="X59" s="257">
        <v>26</v>
      </c>
      <c r="Z59" s="257">
        <v>28</v>
      </c>
      <c r="AA59" s="257">
        <v>0</v>
      </c>
      <c r="AC59" s="258">
        <v>0</v>
      </c>
      <c r="AE59" s="258">
        <v>26</v>
      </c>
      <c r="AF59" s="258">
        <v>52</v>
      </c>
      <c r="AG59" s="258">
        <v>14820</v>
      </c>
      <c r="AH59" s="258">
        <v>4.45</v>
      </c>
      <c r="AJ59" s="258">
        <v>11</v>
      </c>
      <c r="AQ59" s="258">
        <v>13</v>
      </c>
      <c r="AR59" s="258">
        <v>0</v>
      </c>
      <c r="AS59" s="258">
        <v>0</v>
      </c>
      <c r="AT59" s="258">
        <v>1</v>
      </c>
      <c r="AV59" s="258">
        <v>0</v>
      </c>
      <c r="AW59" s="296"/>
      <c r="AX59" s="258">
        <v>0</v>
      </c>
      <c r="AZ59" s="258">
        <v>0</v>
      </c>
      <c r="BB59" s="258">
        <v>0</v>
      </c>
      <c r="BC59" s="258">
        <v>0</v>
      </c>
      <c r="BD59" s="297" t="s">
        <v>597</v>
      </c>
      <c r="BF59" s="258">
        <v>0</v>
      </c>
      <c r="BG59" s="258">
        <v>0</v>
      </c>
      <c r="BO59" s="258">
        <v>0</v>
      </c>
      <c r="BP59" s="258">
        <v>0</v>
      </c>
      <c r="BW59" s="258">
        <v>0</v>
      </c>
      <c r="BX59" s="258">
        <v>0</v>
      </c>
      <c r="BY59" s="258">
        <v>3263</v>
      </c>
      <c r="BZ59" s="258">
        <v>1582</v>
      </c>
      <c r="CA59" s="258">
        <v>0</v>
      </c>
      <c r="CC59" s="325">
        <v>1635</v>
      </c>
      <c r="CD59" s="258">
        <v>0</v>
      </c>
      <c r="CJ59" s="258">
        <v>0</v>
      </c>
      <c r="CK59" s="258">
        <v>0</v>
      </c>
      <c r="CQ59" s="325">
        <v>211.6</v>
      </c>
      <c r="CR59" s="258">
        <v>11</v>
      </c>
      <c r="CS59" s="258">
        <v>3.08</v>
      </c>
      <c r="CT59" s="258">
        <v>61</v>
      </c>
      <c r="CU59" s="258">
        <v>0</v>
      </c>
      <c r="CV59" s="258">
        <v>0</v>
      </c>
      <c r="CW59" s="258">
        <v>0</v>
      </c>
      <c r="DE59" s="258">
        <v>196</v>
      </c>
      <c r="DF59" s="298">
        <v>0</v>
      </c>
      <c r="DG59" s="258" t="s">
        <v>210</v>
      </c>
      <c r="DH59" s="258">
        <v>1</v>
      </c>
      <c r="DI59" s="258">
        <v>5.6122448979591839</v>
      </c>
      <c r="DJ59" s="258">
        <v>8.8947368421052637</v>
      </c>
      <c r="DK59" s="258">
        <v>9.8526315789473689</v>
      </c>
      <c r="DL59" s="258">
        <v>7.2526315789473674</v>
      </c>
      <c r="DM59" s="258">
        <v>5070</v>
      </c>
      <c r="DN59" s="258">
        <v>5616</v>
      </c>
      <c r="DO59" s="258">
        <v>4134</v>
      </c>
      <c r="DP59" s="258">
        <v>17.789473684210527</v>
      </c>
      <c r="DQ59" s="258">
        <v>19.705263157894738</v>
      </c>
      <c r="DR59" s="258">
        <v>14.505263157894735</v>
      </c>
      <c r="DS59" s="258">
        <v>1.5223684210526316</v>
      </c>
      <c r="DT59" s="258">
        <v>1.6863157894736842</v>
      </c>
      <c r="DU59" s="258">
        <v>1.2413157894736842</v>
      </c>
      <c r="DZ59" s="259">
        <v>9</v>
      </c>
      <c r="EA59" s="259">
        <v>168</v>
      </c>
      <c r="EB59" s="259">
        <v>0</v>
      </c>
      <c r="EC59" s="259">
        <v>0</v>
      </c>
      <c r="ED59" s="259">
        <v>0</v>
      </c>
      <c r="EE59" s="259">
        <v>0</v>
      </c>
      <c r="EF59" s="262">
        <v>6</v>
      </c>
      <c r="EG59" s="262">
        <v>2</v>
      </c>
      <c r="EH59" s="262">
        <v>0</v>
      </c>
      <c r="EI59" s="262">
        <v>11</v>
      </c>
    </row>
    <row r="60" spans="1:139">
      <c r="A60" s="295">
        <v>5949</v>
      </c>
      <c r="B60" s="258" t="s">
        <v>78</v>
      </c>
      <c r="C60" s="258">
        <v>7</v>
      </c>
      <c r="D60" s="258">
        <v>10</v>
      </c>
      <c r="E60" s="296">
        <v>0</v>
      </c>
      <c r="F60" s="258">
        <v>0</v>
      </c>
      <c r="G60" s="258">
        <v>12836.174311216912</v>
      </c>
      <c r="H60" s="258">
        <v>31.718171206225687</v>
      </c>
      <c r="I60" s="258">
        <v>0</v>
      </c>
      <c r="J60" s="258">
        <v>0</v>
      </c>
      <c r="K60" s="258">
        <v>115</v>
      </c>
      <c r="L60" s="258">
        <v>0</v>
      </c>
      <c r="M60" s="257">
        <v>30</v>
      </c>
      <c r="N60" s="257">
        <v>48</v>
      </c>
      <c r="O60" s="257">
        <v>30</v>
      </c>
      <c r="P60" s="257">
        <v>29</v>
      </c>
      <c r="Q60" s="257">
        <v>30</v>
      </c>
      <c r="R60" s="257">
        <v>30</v>
      </c>
      <c r="X60" s="257">
        <v>30</v>
      </c>
      <c r="Z60" s="257">
        <v>30</v>
      </c>
      <c r="AA60" s="257">
        <v>0</v>
      </c>
      <c r="AC60" s="258">
        <v>0</v>
      </c>
      <c r="AE60" s="258">
        <v>30</v>
      </c>
      <c r="AF60" s="258">
        <v>60.684210526315788</v>
      </c>
      <c r="AG60" s="258">
        <v>17295</v>
      </c>
      <c r="AH60" s="258">
        <v>3.8939035087719307</v>
      </c>
      <c r="AJ60" s="258">
        <v>7</v>
      </c>
      <c r="AQ60" s="258">
        <v>7</v>
      </c>
      <c r="AR60" s="258">
        <v>0</v>
      </c>
      <c r="AS60" s="258">
        <v>0</v>
      </c>
      <c r="AT60" s="258">
        <v>1</v>
      </c>
      <c r="AV60" s="258">
        <v>0</v>
      </c>
      <c r="AW60" s="296"/>
      <c r="AX60" s="258">
        <v>0</v>
      </c>
      <c r="AZ60" s="258">
        <v>0</v>
      </c>
      <c r="BB60" s="258">
        <v>0</v>
      </c>
      <c r="BC60" s="258">
        <v>0</v>
      </c>
      <c r="BD60" s="297" t="s">
        <v>597</v>
      </c>
      <c r="BF60" s="258">
        <v>0</v>
      </c>
      <c r="BG60" s="258">
        <v>0</v>
      </c>
      <c r="BO60" s="258">
        <v>0</v>
      </c>
      <c r="BP60" s="258">
        <v>0</v>
      </c>
      <c r="BW60" s="258">
        <v>0</v>
      </c>
      <c r="BX60" s="258">
        <v>1423.02</v>
      </c>
      <c r="BY60" s="258">
        <v>4486</v>
      </c>
      <c r="BZ60" s="258">
        <v>2164</v>
      </c>
      <c r="CA60" s="258">
        <v>0</v>
      </c>
      <c r="CC60" s="325">
        <v>1567</v>
      </c>
      <c r="CD60" s="258">
        <v>0</v>
      </c>
      <c r="CJ60" s="258">
        <v>0</v>
      </c>
      <c r="CK60" s="258">
        <v>0</v>
      </c>
      <c r="CQ60" s="325">
        <v>245</v>
      </c>
      <c r="CR60" s="258">
        <v>7</v>
      </c>
      <c r="CS60" s="258">
        <v>3.9</v>
      </c>
      <c r="CT60" s="258">
        <v>0</v>
      </c>
      <c r="CU60" s="258">
        <v>0</v>
      </c>
      <c r="CV60" s="258">
        <v>0</v>
      </c>
      <c r="CW60" s="258">
        <v>0</v>
      </c>
      <c r="DE60" s="258">
        <v>227</v>
      </c>
      <c r="DF60" s="298">
        <v>0</v>
      </c>
      <c r="DG60" s="258" t="s">
        <v>210</v>
      </c>
      <c r="DH60" s="258">
        <v>1</v>
      </c>
      <c r="DI60" s="258">
        <v>3.0837004405286343</v>
      </c>
      <c r="DJ60" s="258">
        <v>10.263157894736842</v>
      </c>
      <c r="DK60" s="258">
        <v>11.368421052631579</v>
      </c>
      <c r="DL60" s="258">
        <v>8.3684210526315788</v>
      </c>
      <c r="DM60" s="258">
        <v>6045</v>
      </c>
      <c r="DN60" s="258">
        <v>6480</v>
      </c>
      <c r="DO60" s="258">
        <v>4770</v>
      </c>
      <c r="DP60" s="258">
        <v>21.210526315789473</v>
      </c>
      <c r="DQ60" s="258">
        <v>22.736842105263158</v>
      </c>
      <c r="DR60" s="258">
        <v>16.736842105263158</v>
      </c>
      <c r="DS60" s="258">
        <v>1.3610087719298247</v>
      </c>
      <c r="DT60" s="258">
        <v>1.458947368421053</v>
      </c>
      <c r="DU60" s="258">
        <v>1.0739473684210528</v>
      </c>
      <c r="DZ60" s="259">
        <v>7</v>
      </c>
      <c r="EA60" s="259">
        <v>197</v>
      </c>
      <c r="EB60" s="259">
        <v>0</v>
      </c>
      <c r="EC60" s="259">
        <v>0</v>
      </c>
      <c r="ED60" s="259">
        <v>0</v>
      </c>
      <c r="EE60" s="259">
        <v>0</v>
      </c>
      <c r="EF60" s="262">
        <v>0</v>
      </c>
      <c r="EG60" s="262">
        <v>1</v>
      </c>
      <c r="EH60" s="262">
        <v>0</v>
      </c>
      <c r="EI60" s="262">
        <v>6</v>
      </c>
    </row>
    <row r="61" spans="1:139">
      <c r="A61" s="295">
        <v>3513</v>
      </c>
      <c r="B61" s="258" t="s">
        <v>79</v>
      </c>
      <c r="C61" s="258">
        <v>9</v>
      </c>
      <c r="D61" s="258">
        <v>14</v>
      </c>
      <c r="E61" s="296">
        <v>0</v>
      </c>
      <c r="F61" s="258">
        <v>0</v>
      </c>
      <c r="G61" s="258">
        <v>21729.660279684656</v>
      </c>
      <c r="H61" s="258">
        <v>45.372511312217192</v>
      </c>
      <c r="I61" s="258">
        <v>0</v>
      </c>
      <c r="J61" s="258">
        <v>0</v>
      </c>
      <c r="K61" s="258">
        <v>235</v>
      </c>
      <c r="L61" s="258">
        <v>0</v>
      </c>
      <c r="M61" s="257">
        <v>58</v>
      </c>
      <c r="N61" s="257">
        <v>57</v>
      </c>
      <c r="O61" s="257">
        <v>58</v>
      </c>
      <c r="P61" s="257">
        <v>53</v>
      </c>
      <c r="Q61" s="257">
        <v>48</v>
      </c>
      <c r="R61" s="257">
        <v>59</v>
      </c>
      <c r="X61" s="257">
        <v>57</v>
      </c>
      <c r="Z61" s="257">
        <v>52</v>
      </c>
      <c r="AA61" s="257">
        <v>0</v>
      </c>
      <c r="AC61" s="258">
        <v>0</v>
      </c>
      <c r="AE61" s="258">
        <v>30</v>
      </c>
      <c r="AF61" s="258">
        <v>0</v>
      </c>
      <c r="AG61" s="258">
        <v>31320</v>
      </c>
      <c r="AH61" s="258">
        <v>6.2796992481202967</v>
      </c>
      <c r="AJ61" s="258">
        <v>9</v>
      </c>
      <c r="AQ61" s="258">
        <v>14</v>
      </c>
      <c r="AR61" s="258">
        <v>0</v>
      </c>
      <c r="AS61" s="258">
        <v>0</v>
      </c>
      <c r="AT61" s="258">
        <v>1</v>
      </c>
      <c r="AV61" s="258">
        <v>3</v>
      </c>
      <c r="AW61" s="296"/>
      <c r="AX61" s="258">
        <v>0</v>
      </c>
      <c r="AZ61" s="258">
        <v>1</v>
      </c>
      <c r="BB61" s="258">
        <v>0</v>
      </c>
      <c r="BC61" s="258">
        <v>0</v>
      </c>
      <c r="BD61" s="297" t="s">
        <v>597</v>
      </c>
      <c r="BF61" s="258">
        <v>0</v>
      </c>
      <c r="BG61" s="258">
        <v>0</v>
      </c>
      <c r="BO61" s="258">
        <v>0</v>
      </c>
      <c r="BP61" s="258">
        <v>0</v>
      </c>
      <c r="BW61" s="258">
        <v>0</v>
      </c>
      <c r="BX61" s="258">
        <v>0</v>
      </c>
      <c r="BY61" s="258">
        <v>3477</v>
      </c>
      <c r="BZ61" s="258">
        <v>792</v>
      </c>
      <c r="CA61" s="258">
        <v>0</v>
      </c>
      <c r="CC61" s="325">
        <v>2741</v>
      </c>
      <c r="CD61" s="258">
        <v>1</v>
      </c>
      <c r="CJ61" s="258">
        <v>0</v>
      </c>
      <c r="CK61" s="258">
        <v>0</v>
      </c>
      <c r="CQ61" s="325">
        <v>419.2</v>
      </c>
      <c r="CR61" s="258">
        <v>9.6</v>
      </c>
      <c r="CS61" s="258">
        <v>3.9199999999999946</v>
      </c>
      <c r="CT61" s="258">
        <v>0</v>
      </c>
      <c r="CU61" s="258">
        <v>0</v>
      </c>
      <c r="CV61" s="258">
        <v>0</v>
      </c>
      <c r="CW61" s="258">
        <v>0</v>
      </c>
      <c r="DE61" s="258">
        <v>385</v>
      </c>
      <c r="DF61" s="298">
        <v>0</v>
      </c>
      <c r="DG61" s="258" t="s">
        <v>210</v>
      </c>
      <c r="DH61" s="258">
        <v>1</v>
      </c>
      <c r="DI61" s="258">
        <v>2.3376623376623376</v>
      </c>
      <c r="DJ61" s="258">
        <v>10.263157894736842</v>
      </c>
      <c r="DK61" s="258">
        <v>11.368421052631579</v>
      </c>
      <c r="DL61" s="258">
        <v>8.3684210526315788</v>
      </c>
      <c r="DM61" s="258">
        <v>9945</v>
      </c>
      <c r="DN61" s="258">
        <v>12312</v>
      </c>
      <c r="DO61" s="258">
        <v>9063</v>
      </c>
      <c r="DP61" s="258">
        <v>0</v>
      </c>
      <c r="DQ61" s="258">
        <v>0</v>
      </c>
      <c r="DR61" s="258">
        <v>0</v>
      </c>
      <c r="DS61" s="258">
        <v>1.993984962406014</v>
      </c>
      <c r="DT61" s="258">
        <v>2.4685714285714271</v>
      </c>
      <c r="DU61" s="258">
        <v>1.8171428571428561</v>
      </c>
      <c r="DZ61" s="259">
        <v>4</v>
      </c>
      <c r="EA61" s="259">
        <v>333</v>
      </c>
      <c r="EB61" s="259">
        <v>0</v>
      </c>
      <c r="EC61" s="259">
        <v>0</v>
      </c>
      <c r="ED61" s="259">
        <v>0</v>
      </c>
      <c r="EE61" s="259">
        <v>0</v>
      </c>
      <c r="EF61" s="262">
        <v>0</v>
      </c>
      <c r="EG61" s="262">
        <v>2</v>
      </c>
      <c r="EH61" s="262">
        <v>0</v>
      </c>
      <c r="EI61" s="262">
        <v>6</v>
      </c>
    </row>
    <row r="62" spans="1:139">
      <c r="A62" s="295">
        <v>3305</v>
      </c>
      <c r="B62" s="258" t="s">
        <v>352</v>
      </c>
      <c r="C62" s="258">
        <v>3</v>
      </c>
      <c r="D62" s="258">
        <v>6</v>
      </c>
      <c r="E62" s="296">
        <v>0</v>
      </c>
      <c r="F62" s="258">
        <v>0</v>
      </c>
      <c r="G62" s="258">
        <v>8473.64542254767</v>
      </c>
      <c r="H62" s="258">
        <v>17.850000000000001</v>
      </c>
      <c r="I62" s="258">
        <v>0</v>
      </c>
      <c r="J62" s="258">
        <v>0</v>
      </c>
      <c r="K62" s="258">
        <v>50</v>
      </c>
      <c r="L62" s="258">
        <v>0</v>
      </c>
      <c r="M62" s="257">
        <v>20</v>
      </c>
      <c r="N62" s="257">
        <v>20</v>
      </c>
      <c r="O62" s="257">
        <v>23</v>
      </c>
      <c r="P62" s="257">
        <v>24</v>
      </c>
      <c r="Q62" s="257">
        <v>23</v>
      </c>
      <c r="R62" s="257">
        <v>20</v>
      </c>
      <c r="X62" s="257">
        <v>0</v>
      </c>
      <c r="Z62" s="257">
        <v>20</v>
      </c>
      <c r="AA62" s="257">
        <v>0</v>
      </c>
      <c r="AC62" s="258">
        <v>0</v>
      </c>
      <c r="AE62" s="258">
        <v>0</v>
      </c>
      <c r="AF62" s="258">
        <v>0</v>
      </c>
      <c r="AG62" s="258">
        <v>0</v>
      </c>
      <c r="AH62" s="258">
        <v>0</v>
      </c>
      <c r="AJ62" s="258">
        <v>3</v>
      </c>
      <c r="AQ62" s="258">
        <v>3</v>
      </c>
      <c r="AR62" s="258">
        <v>0</v>
      </c>
      <c r="AS62" s="258">
        <v>0</v>
      </c>
      <c r="AT62" s="258">
        <v>1</v>
      </c>
      <c r="AV62" s="258">
        <v>1</v>
      </c>
      <c r="AW62" s="296"/>
      <c r="AX62" s="258">
        <v>0</v>
      </c>
      <c r="AZ62" s="258">
        <v>0</v>
      </c>
      <c r="BB62" s="258">
        <v>0</v>
      </c>
      <c r="BC62" s="258">
        <v>0</v>
      </c>
      <c r="BD62" s="297" t="s">
        <v>597</v>
      </c>
      <c r="BF62" s="258">
        <v>0</v>
      </c>
      <c r="BG62" s="258">
        <v>0</v>
      </c>
      <c r="BO62" s="258">
        <v>0</v>
      </c>
      <c r="BP62" s="258">
        <v>0</v>
      </c>
      <c r="BW62" s="258">
        <v>0</v>
      </c>
      <c r="BX62" s="258">
        <v>0</v>
      </c>
      <c r="BY62" s="258">
        <v>2094</v>
      </c>
      <c r="BZ62" s="258">
        <v>963</v>
      </c>
      <c r="CA62" s="258">
        <v>0</v>
      </c>
      <c r="CC62" s="325">
        <v>602.84</v>
      </c>
      <c r="CD62" s="258">
        <v>0</v>
      </c>
      <c r="CJ62" s="258">
        <v>0</v>
      </c>
      <c r="CK62" s="258">
        <v>0</v>
      </c>
      <c r="CQ62" s="325">
        <v>150</v>
      </c>
      <c r="CR62" s="258">
        <v>3</v>
      </c>
      <c r="CS62" s="258">
        <v>3.08</v>
      </c>
      <c r="CT62" s="258">
        <v>0</v>
      </c>
      <c r="CU62" s="258">
        <v>0</v>
      </c>
      <c r="CV62" s="258">
        <v>0</v>
      </c>
      <c r="CW62" s="258">
        <v>0</v>
      </c>
      <c r="DE62" s="258">
        <v>150</v>
      </c>
      <c r="DF62" s="298">
        <v>0</v>
      </c>
      <c r="DG62" s="258" t="s">
        <v>210</v>
      </c>
      <c r="DH62" s="258">
        <v>1</v>
      </c>
      <c r="DI62" s="258">
        <v>2</v>
      </c>
      <c r="DJ62" s="258">
        <v>0</v>
      </c>
      <c r="DK62" s="258">
        <v>0</v>
      </c>
      <c r="DL62" s="258">
        <v>0</v>
      </c>
      <c r="DM62" s="258">
        <v>0</v>
      </c>
      <c r="DN62" s="258">
        <v>0</v>
      </c>
      <c r="DO62" s="258">
        <v>0</v>
      </c>
      <c r="DP62" s="258">
        <v>0</v>
      </c>
      <c r="DQ62" s="258">
        <v>0</v>
      </c>
      <c r="DR62" s="258">
        <v>0</v>
      </c>
      <c r="DS62" s="258">
        <v>0</v>
      </c>
      <c r="DT62" s="258">
        <v>0</v>
      </c>
      <c r="DU62" s="258">
        <v>0</v>
      </c>
      <c r="DZ62" s="259">
        <v>14</v>
      </c>
      <c r="EA62" s="259">
        <v>130</v>
      </c>
      <c r="EB62" s="259">
        <v>3</v>
      </c>
      <c r="EC62" s="259">
        <v>8</v>
      </c>
      <c r="ED62" s="259">
        <v>0</v>
      </c>
      <c r="EE62" s="259">
        <v>1</v>
      </c>
      <c r="EF62" s="262">
        <v>0</v>
      </c>
      <c r="EG62" s="262">
        <v>1</v>
      </c>
      <c r="EH62" s="262">
        <v>0</v>
      </c>
      <c r="EI62" s="262">
        <v>2</v>
      </c>
    </row>
    <row r="63" spans="1:139">
      <c r="A63" s="295">
        <v>2042</v>
      </c>
      <c r="B63" s="258" t="s">
        <v>353</v>
      </c>
      <c r="C63" s="258">
        <v>15</v>
      </c>
      <c r="D63" s="258">
        <v>88</v>
      </c>
      <c r="E63" s="296">
        <v>0</v>
      </c>
      <c r="F63" s="258">
        <v>0</v>
      </c>
      <c r="G63" s="258">
        <v>14865.910048157468</v>
      </c>
      <c r="H63" s="258">
        <v>39.29</v>
      </c>
      <c r="I63" s="258">
        <v>0</v>
      </c>
      <c r="J63" s="258">
        <v>0</v>
      </c>
      <c r="K63" s="258">
        <v>155</v>
      </c>
      <c r="L63" s="258">
        <v>0</v>
      </c>
      <c r="M63" s="257">
        <v>60</v>
      </c>
      <c r="N63" s="257">
        <v>30</v>
      </c>
      <c r="O63" s="257">
        <v>31</v>
      </c>
      <c r="P63" s="257">
        <v>32</v>
      </c>
      <c r="Q63" s="257">
        <v>31</v>
      </c>
      <c r="R63" s="257">
        <v>30</v>
      </c>
      <c r="X63" s="257">
        <v>0</v>
      </c>
      <c r="Z63" s="257">
        <v>30</v>
      </c>
      <c r="AA63" s="257">
        <v>0</v>
      </c>
      <c r="AC63" s="258">
        <v>0</v>
      </c>
      <c r="AE63" s="258">
        <v>0</v>
      </c>
      <c r="AF63" s="258">
        <v>0</v>
      </c>
      <c r="AG63" s="258">
        <v>0</v>
      </c>
      <c r="AH63" s="258">
        <v>0</v>
      </c>
      <c r="AJ63" s="258">
        <v>15</v>
      </c>
      <c r="AQ63" s="258">
        <v>28</v>
      </c>
      <c r="AR63" s="258">
        <v>0</v>
      </c>
      <c r="AS63" s="258">
        <v>0</v>
      </c>
      <c r="AT63" s="258">
        <v>1</v>
      </c>
      <c r="AV63" s="258">
        <v>1</v>
      </c>
      <c r="AW63" s="296"/>
      <c r="AX63" s="258">
        <v>0</v>
      </c>
      <c r="AZ63" s="258">
        <v>0</v>
      </c>
      <c r="BB63" s="258">
        <v>0</v>
      </c>
      <c r="BC63" s="258">
        <v>0</v>
      </c>
      <c r="BD63" s="297" t="s">
        <v>214</v>
      </c>
      <c r="BF63" s="258">
        <v>244</v>
      </c>
      <c r="BG63" s="258">
        <v>27</v>
      </c>
      <c r="BO63" s="258">
        <v>0</v>
      </c>
      <c r="BP63" s="258">
        <v>0</v>
      </c>
      <c r="BW63" s="258">
        <v>0</v>
      </c>
      <c r="BX63" s="258">
        <v>0</v>
      </c>
      <c r="BY63" s="258">
        <v>12141</v>
      </c>
      <c r="BZ63" s="258">
        <v>3512</v>
      </c>
      <c r="CA63" s="258">
        <v>14541.5</v>
      </c>
      <c r="CC63" s="325">
        <v>1858.69</v>
      </c>
      <c r="CD63" s="258">
        <v>0</v>
      </c>
      <c r="CJ63" s="258">
        <v>0</v>
      </c>
      <c r="CK63" s="258">
        <v>0</v>
      </c>
      <c r="CQ63" s="325">
        <v>244</v>
      </c>
      <c r="CR63" s="258">
        <v>15</v>
      </c>
      <c r="CS63" s="258">
        <v>1.86</v>
      </c>
      <c r="CT63" s="258">
        <v>88</v>
      </c>
      <c r="CU63" s="258">
        <v>0</v>
      </c>
      <c r="CV63" s="258">
        <v>0</v>
      </c>
      <c r="CW63" s="258">
        <v>0</v>
      </c>
      <c r="DE63" s="258">
        <v>244</v>
      </c>
      <c r="DF63" s="298">
        <v>0</v>
      </c>
      <c r="DG63" s="258" t="s">
        <v>210</v>
      </c>
      <c r="DH63" s="258">
        <v>1</v>
      </c>
      <c r="DI63" s="258">
        <v>6.1475409836065573</v>
      </c>
      <c r="DJ63" s="258">
        <v>0</v>
      </c>
      <c r="DK63" s="258">
        <v>0</v>
      </c>
      <c r="DL63" s="258">
        <v>0</v>
      </c>
      <c r="DM63" s="258">
        <v>0</v>
      </c>
      <c r="DN63" s="258">
        <v>0</v>
      </c>
      <c r="DO63" s="258">
        <v>0</v>
      </c>
      <c r="DP63" s="258">
        <v>0</v>
      </c>
      <c r="DQ63" s="258">
        <v>0</v>
      </c>
      <c r="DR63" s="258">
        <v>0</v>
      </c>
      <c r="DS63" s="258">
        <v>0</v>
      </c>
      <c r="DT63" s="258">
        <v>0</v>
      </c>
      <c r="DU63" s="258">
        <v>0</v>
      </c>
      <c r="DZ63" s="259">
        <v>15</v>
      </c>
      <c r="EA63" s="259">
        <v>214</v>
      </c>
      <c r="EB63" s="259">
        <v>5</v>
      </c>
      <c r="EC63" s="259">
        <v>9</v>
      </c>
      <c r="ED63" s="259">
        <v>0</v>
      </c>
      <c r="EE63" s="259">
        <v>3</v>
      </c>
      <c r="EF63" s="262">
        <v>0</v>
      </c>
      <c r="EG63" s="262">
        <v>14</v>
      </c>
      <c r="EH63" s="262">
        <v>2</v>
      </c>
      <c r="EI63" s="262">
        <v>26</v>
      </c>
    </row>
    <row r="64" spans="1:139">
      <c r="A64" s="295">
        <v>2044</v>
      </c>
      <c r="B64" s="258" t="s">
        <v>82</v>
      </c>
      <c r="C64" s="258">
        <v>42</v>
      </c>
      <c r="D64" s="258">
        <v>429</v>
      </c>
      <c r="E64" s="296">
        <v>0</v>
      </c>
      <c r="F64" s="258">
        <v>0</v>
      </c>
      <c r="G64" s="258">
        <v>33778.429744836765</v>
      </c>
      <c r="H64" s="258">
        <v>48.60000000000008</v>
      </c>
      <c r="I64" s="258">
        <v>0</v>
      </c>
      <c r="J64" s="258">
        <v>0</v>
      </c>
      <c r="K64" s="258">
        <v>205</v>
      </c>
      <c r="L64" s="258">
        <v>0</v>
      </c>
      <c r="M64" s="257">
        <v>90</v>
      </c>
      <c r="N64" s="257">
        <v>120</v>
      </c>
      <c r="O64" s="257">
        <v>0</v>
      </c>
      <c r="P64" s="257">
        <v>0</v>
      </c>
      <c r="Q64" s="257">
        <v>0</v>
      </c>
      <c r="R64" s="257">
        <v>0</v>
      </c>
      <c r="X64" s="257">
        <v>0</v>
      </c>
      <c r="Z64" s="257">
        <v>89</v>
      </c>
      <c r="AA64" s="257">
        <v>0</v>
      </c>
      <c r="AC64" s="258">
        <v>0</v>
      </c>
      <c r="AE64" s="258">
        <v>0</v>
      </c>
      <c r="AF64" s="258">
        <v>0</v>
      </c>
      <c r="AG64" s="258">
        <v>0</v>
      </c>
      <c r="AH64" s="258">
        <v>0</v>
      </c>
      <c r="AJ64" s="258">
        <v>42</v>
      </c>
      <c r="AQ64" s="258">
        <v>55</v>
      </c>
      <c r="AR64" s="258">
        <v>1</v>
      </c>
      <c r="AS64" s="258">
        <v>0</v>
      </c>
      <c r="AT64" s="258">
        <v>1</v>
      </c>
      <c r="AV64" s="258">
        <v>0</v>
      </c>
      <c r="AW64" s="296"/>
      <c r="AX64" s="258">
        <v>0</v>
      </c>
      <c r="AZ64" s="258">
        <v>0</v>
      </c>
      <c r="BB64" s="258">
        <v>0</v>
      </c>
      <c r="BC64" s="258">
        <v>0</v>
      </c>
      <c r="BD64" s="297" t="s">
        <v>214</v>
      </c>
      <c r="BF64" s="258">
        <v>299</v>
      </c>
      <c r="BG64" s="258">
        <v>30</v>
      </c>
      <c r="BO64" s="258">
        <v>0</v>
      </c>
      <c r="BP64" s="258">
        <v>0</v>
      </c>
      <c r="BW64" s="258">
        <v>0</v>
      </c>
      <c r="BX64" s="258">
        <v>632.46</v>
      </c>
      <c r="BY64" s="258">
        <v>9995.3359762801083</v>
      </c>
      <c r="BZ64" s="258">
        <v>4278</v>
      </c>
      <c r="CA64" s="258">
        <v>11679</v>
      </c>
      <c r="CC64" s="325">
        <v>1941</v>
      </c>
      <c r="CD64" s="258">
        <v>0</v>
      </c>
      <c r="CJ64" s="258">
        <v>0</v>
      </c>
      <c r="CK64" s="258">
        <v>0</v>
      </c>
      <c r="CQ64" s="325">
        <v>299</v>
      </c>
      <c r="CR64" s="258">
        <v>42</v>
      </c>
      <c r="CS64" s="258">
        <v>7</v>
      </c>
      <c r="CT64" s="258">
        <v>429</v>
      </c>
      <c r="CU64" s="258">
        <v>0</v>
      </c>
      <c r="CV64" s="258">
        <v>0</v>
      </c>
      <c r="CW64" s="258">
        <v>0</v>
      </c>
      <c r="DE64" s="258">
        <v>299</v>
      </c>
      <c r="DF64" s="298">
        <v>0</v>
      </c>
      <c r="DG64" s="258" t="s">
        <v>280</v>
      </c>
      <c r="DH64" s="258">
        <v>1</v>
      </c>
      <c r="DI64" s="258">
        <v>14.046822742474916</v>
      </c>
      <c r="DJ64" s="258">
        <v>0</v>
      </c>
      <c r="DK64" s="258">
        <v>0</v>
      </c>
      <c r="DL64" s="258">
        <v>0</v>
      </c>
      <c r="DM64" s="258">
        <v>0</v>
      </c>
      <c r="DN64" s="258">
        <v>0</v>
      </c>
      <c r="DO64" s="258">
        <v>0</v>
      </c>
      <c r="DP64" s="258">
        <v>0</v>
      </c>
      <c r="DQ64" s="258">
        <v>0</v>
      </c>
      <c r="DR64" s="258">
        <v>0</v>
      </c>
      <c r="DS64" s="258">
        <v>0</v>
      </c>
      <c r="DT64" s="258">
        <v>0</v>
      </c>
      <c r="DU64" s="258">
        <v>0</v>
      </c>
      <c r="DZ64" s="259">
        <v>26</v>
      </c>
      <c r="EA64" s="259">
        <v>210</v>
      </c>
      <c r="EB64" s="259">
        <v>5</v>
      </c>
      <c r="EC64" s="259">
        <v>6</v>
      </c>
      <c r="ED64" s="259">
        <v>1</v>
      </c>
      <c r="EE64" s="259">
        <v>6</v>
      </c>
      <c r="EF64" s="262">
        <v>10</v>
      </c>
      <c r="EG64" s="262">
        <v>32</v>
      </c>
      <c r="EH64" s="262">
        <v>40</v>
      </c>
      <c r="EI64" s="262">
        <v>111</v>
      </c>
    </row>
    <row r="65" spans="1:139">
      <c r="A65" s="295">
        <v>2043</v>
      </c>
      <c r="B65" s="258" t="s">
        <v>83</v>
      </c>
      <c r="C65" s="258">
        <v>45</v>
      </c>
      <c r="D65" s="258">
        <v>232</v>
      </c>
      <c r="E65" s="296">
        <v>0</v>
      </c>
      <c r="F65" s="258">
        <v>0</v>
      </c>
      <c r="G65" s="258">
        <v>38.075308641975305</v>
      </c>
      <c r="H65" s="258">
        <v>58.16</v>
      </c>
      <c r="I65" s="258">
        <v>0</v>
      </c>
      <c r="J65" s="258">
        <v>0</v>
      </c>
      <c r="K65" s="258">
        <v>265</v>
      </c>
      <c r="L65" s="258">
        <v>0</v>
      </c>
      <c r="M65" s="257">
        <v>0</v>
      </c>
      <c r="N65" s="257">
        <v>0</v>
      </c>
      <c r="O65" s="257">
        <v>89</v>
      </c>
      <c r="P65" s="257">
        <v>90</v>
      </c>
      <c r="Q65" s="257">
        <v>87</v>
      </c>
      <c r="R65" s="257">
        <v>89</v>
      </c>
      <c r="X65" s="257">
        <v>0</v>
      </c>
      <c r="Z65" s="257">
        <v>0</v>
      </c>
      <c r="AA65" s="257">
        <v>0</v>
      </c>
      <c r="AC65" s="258">
        <v>0</v>
      </c>
      <c r="AE65" s="258">
        <v>0</v>
      </c>
      <c r="AF65" s="258">
        <v>0</v>
      </c>
      <c r="AG65" s="258">
        <v>0</v>
      </c>
      <c r="AH65" s="258">
        <v>0</v>
      </c>
      <c r="AI65" s="258">
        <v>-17006</v>
      </c>
      <c r="AJ65" s="258">
        <v>45</v>
      </c>
      <c r="AQ65" s="258">
        <v>71</v>
      </c>
      <c r="AR65" s="258">
        <v>0</v>
      </c>
      <c r="AS65" s="258">
        <v>0</v>
      </c>
      <c r="AT65" s="258">
        <v>1</v>
      </c>
      <c r="AV65" s="258">
        <v>2</v>
      </c>
      <c r="AW65" s="296"/>
      <c r="AX65" s="258">
        <v>0</v>
      </c>
      <c r="AZ65" s="258">
        <v>1</v>
      </c>
      <c r="BB65" s="258">
        <v>0</v>
      </c>
      <c r="BC65" s="258">
        <v>0</v>
      </c>
      <c r="BD65" s="297" t="s">
        <v>214</v>
      </c>
      <c r="BF65" s="258">
        <v>355</v>
      </c>
      <c r="BG65" s="258">
        <v>42</v>
      </c>
      <c r="BO65" s="258">
        <v>1</v>
      </c>
      <c r="BP65" s="258">
        <v>0</v>
      </c>
      <c r="BW65" s="258">
        <v>0</v>
      </c>
      <c r="BX65" s="258">
        <v>632.45000000000005</v>
      </c>
      <c r="BY65" s="258">
        <v>20004.664023719892</v>
      </c>
      <c r="BZ65" s="258">
        <v>7191</v>
      </c>
      <c r="CA65" s="258">
        <v>11679</v>
      </c>
      <c r="CC65" s="325">
        <v>3363</v>
      </c>
      <c r="CD65" s="258">
        <v>1</v>
      </c>
      <c r="CJ65" s="258">
        <v>0</v>
      </c>
      <c r="CK65" s="258">
        <v>0</v>
      </c>
      <c r="CN65" s="258">
        <v>-7994</v>
      </c>
      <c r="CQ65" s="325">
        <v>355</v>
      </c>
      <c r="CR65" s="258">
        <v>45</v>
      </c>
      <c r="CS65" s="258">
        <v>26.66</v>
      </c>
      <c r="CT65" s="258">
        <v>232</v>
      </c>
      <c r="CU65" s="258">
        <v>0</v>
      </c>
      <c r="CV65" s="258">
        <v>0</v>
      </c>
      <c r="CW65" s="258">
        <v>0</v>
      </c>
      <c r="DE65" s="258">
        <v>355</v>
      </c>
      <c r="DF65" s="298">
        <v>0</v>
      </c>
      <c r="DG65" s="258" t="s">
        <v>279</v>
      </c>
      <c r="DH65" s="258">
        <v>1</v>
      </c>
      <c r="DI65" s="258">
        <v>12.676056338028168</v>
      </c>
      <c r="DJ65" s="258">
        <v>0</v>
      </c>
      <c r="DK65" s="258">
        <v>0</v>
      </c>
      <c r="DL65" s="258">
        <v>0</v>
      </c>
      <c r="DM65" s="258">
        <v>0</v>
      </c>
      <c r="DN65" s="258">
        <v>0</v>
      </c>
      <c r="DO65" s="258">
        <v>0</v>
      </c>
      <c r="DP65" s="258">
        <v>0</v>
      </c>
      <c r="DQ65" s="258">
        <v>0</v>
      </c>
      <c r="DR65" s="258">
        <v>0</v>
      </c>
      <c r="DS65" s="258">
        <v>0</v>
      </c>
      <c r="DT65" s="258">
        <v>0</v>
      </c>
      <c r="DU65" s="258">
        <v>0</v>
      </c>
      <c r="DZ65" s="259">
        <v>26</v>
      </c>
      <c r="EA65" s="259">
        <v>355</v>
      </c>
      <c r="EB65" s="259">
        <v>8</v>
      </c>
      <c r="EC65" s="259">
        <v>9</v>
      </c>
      <c r="ED65" s="259">
        <v>1</v>
      </c>
      <c r="EE65" s="259">
        <v>6</v>
      </c>
      <c r="EF65" s="262">
        <v>16</v>
      </c>
      <c r="EG65" s="262">
        <v>30</v>
      </c>
      <c r="EH65" s="262">
        <v>0</v>
      </c>
      <c r="EI65" s="262">
        <v>0</v>
      </c>
    </row>
    <row r="66" spans="1:139">
      <c r="A66" s="295">
        <v>2045</v>
      </c>
      <c r="B66" s="258" t="s">
        <v>354</v>
      </c>
      <c r="C66" s="258">
        <v>46</v>
      </c>
      <c r="D66" s="258">
        <v>371</v>
      </c>
      <c r="E66" s="296">
        <v>0</v>
      </c>
      <c r="F66" s="258">
        <v>36</v>
      </c>
      <c r="G66" s="258">
        <v>48553.067650342011</v>
      </c>
      <c r="H66" s="258">
        <v>45.069847328244251</v>
      </c>
      <c r="I66" s="258">
        <v>0</v>
      </c>
      <c r="J66" s="258">
        <v>0</v>
      </c>
      <c r="K66" s="258">
        <v>75</v>
      </c>
      <c r="L66" s="258">
        <v>0</v>
      </c>
      <c r="M66" s="257">
        <v>30</v>
      </c>
      <c r="N66" s="257">
        <v>29</v>
      </c>
      <c r="O66" s="257">
        <v>31</v>
      </c>
      <c r="P66" s="257">
        <v>30</v>
      </c>
      <c r="Q66" s="257">
        <v>30</v>
      </c>
      <c r="R66" s="257">
        <v>29</v>
      </c>
      <c r="X66" s="257">
        <v>52</v>
      </c>
      <c r="Z66" s="257">
        <v>31</v>
      </c>
      <c r="AA66" s="257">
        <v>0</v>
      </c>
      <c r="AC66" s="258">
        <v>0</v>
      </c>
      <c r="AE66" s="258">
        <v>30</v>
      </c>
      <c r="AF66" s="258">
        <v>95.273684210526312</v>
      </c>
      <c r="AG66" s="258">
        <v>27153</v>
      </c>
      <c r="AH66" s="258">
        <v>11.203818825910933</v>
      </c>
      <c r="AJ66" s="258">
        <v>46</v>
      </c>
      <c r="AN66" s="258">
        <v>1</v>
      </c>
      <c r="AQ66" s="258">
        <v>70</v>
      </c>
      <c r="AR66" s="258">
        <v>0</v>
      </c>
      <c r="AS66" s="258">
        <v>0</v>
      </c>
      <c r="AT66" s="258">
        <v>1</v>
      </c>
      <c r="AV66" s="258">
        <v>2</v>
      </c>
      <c r="AW66" s="296"/>
      <c r="AX66" s="258">
        <v>0</v>
      </c>
      <c r="AZ66" s="258">
        <v>0</v>
      </c>
      <c r="BB66" s="258">
        <v>0</v>
      </c>
      <c r="BC66" s="258">
        <v>0</v>
      </c>
      <c r="BD66" s="297" t="s">
        <v>214</v>
      </c>
      <c r="BF66" s="258">
        <v>241.2</v>
      </c>
      <c r="BG66" s="258">
        <v>70</v>
      </c>
      <c r="BO66" s="258">
        <v>2</v>
      </c>
      <c r="BP66" s="258">
        <v>16042.505105067517</v>
      </c>
      <c r="BW66" s="258">
        <v>0</v>
      </c>
      <c r="BX66" s="258">
        <v>1682.29</v>
      </c>
      <c r="BY66" s="258">
        <v>6300</v>
      </c>
      <c r="BZ66" s="258">
        <v>5384</v>
      </c>
      <c r="CA66" s="258">
        <v>16831.5</v>
      </c>
      <c r="CC66" s="325">
        <v>2362</v>
      </c>
      <c r="CD66" s="258">
        <v>0</v>
      </c>
      <c r="CJ66" s="258">
        <v>0</v>
      </c>
      <c r="CK66" s="258">
        <v>0</v>
      </c>
      <c r="CQ66" s="325">
        <v>241.2</v>
      </c>
      <c r="CR66" s="258">
        <v>46</v>
      </c>
      <c r="CS66" s="258">
        <v>3.08</v>
      </c>
      <c r="CT66" s="258">
        <v>371</v>
      </c>
      <c r="CU66" s="258">
        <v>0</v>
      </c>
      <c r="CV66" s="258">
        <v>0</v>
      </c>
      <c r="CW66" s="258">
        <v>0</v>
      </c>
      <c r="CY66" s="258">
        <v>1</v>
      </c>
      <c r="DE66" s="258">
        <v>210</v>
      </c>
      <c r="DF66" s="298">
        <v>0</v>
      </c>
      <c r="DG66" s="258" t="s">
        <v>210</v>
      </c>
      <c r="DH66" s="258">
        <v>1</v>
      </c>
      <c r="DI66" s="258">
        <v>21.904761904761905</v>
      </c>
      <c r="DJ66" s="258">
        <v>10.263157894736842</v>
      </c>
      <c r="DK66" s="258">
        <v>11.368421052631579</v>
      </c>
      <c r="DL66" s="258">
        <v>8.3684210526315788</v>
      </c>
      <c r="DM66" s="258">
        <v>9165</v>
      </c>
      <c r="DN66" s="258">
        <v>9720</v>
      </c>
      <c r="DO66" s="258">
        <v>8268</v>
      </c>
      <c r="DP66" s="258">
        <v>32.157894736842103</v>
      </c>
      <c r="DQ66" s="258">
        <v>34.10526315789474</v>
      </c>
      <c r="DR66" s="258">
        <v>29.01052631578947</v>
      </c>
      <c r="DS66" s="258">
        <v>3.781644736842106</v>
      </c>
      <c r="DT66" s="258">
        <v>4.0106477732793522</v>
      </c>
      <c r="DU66" s="258">
        <v>3.411526315789474</v>
      </c>
      <c r="DZ66" s="259">
        <v>36</v>
      </c>
      <c r="EA66" s="259">
        <v>179</v>
      </c>
      <c r="EB66" s="259">
        <v>9</v>
      </c>
      <c r="EC66" s="259">
        <v>18</v>
      </c>
      <c r="ED66" s="259">
        <v>4</v>
      </c>
      <c r="EE66" s="259">
        <v>13</v>
      </c>
      <c r="EF66" s="262">
        <v>12</v>
      </c>
      <c r="EG66" s="262">
        <v>40</v>
      </c>
      <c r="EH66" s="262">
        <v>16</v>
      </c>
      <c r="EI66" s="262">
        <v>79</v>
      </c>
    </row>
    <row r="67" spans="1:139">
      <c r="A67" s="295">
        <v>5201</v>
      </c>
      <c r="B67" s="258" t="s">
        <v>355</v>
      </c>
      <c r="C67" s="258">
        <v>44</v>
      </c>
      <c r="D67" s="258">
        <v>261</v>
      </c>
      <c r="E67" s="296">
        <v>0</v>
      </c>
      <c r="F67" s="258">
        <v>0</v>
      </c>
      <c r="G67" s="258">
        <v>27047.724902432587</v>
      </c>
      <c r="H67" s="258">
        <v>78.529999999999816</v>
      </c>
      <c r="I67" s="258">
        <v>0</v>
      </c>
      <c r="J67" s="258">
        <v>0</v>
      </c>
      <c r="K67" s="258">
        <v>200</v>
      </c>
      <c r="L67" s="258">
        <v>0</v>
      </c>
      <c r="M67" s="257">
        <v>60</v>
      </c>
      <c r="N67" s="257">
        <v>60</v>
      </c>
      <c r="O67" s="257">
        <v>60</v>
      </c>
      <c r="P67" s="257">
        <v>60</v>
      </c>
      <c r="Q67" s="257">
        <v>60</v>
      </c>
      <c r="R67" s="257">
        <v>60</v>
      </c>
      <c r="X67" s="257">
        <v>0</v>
      </c>
      <c r="Z67" s="257">
        <v>59</v>
      </c>
      <c r="AA67" s="257">
        <v>0</v>
      </c>
      <c r="AC67" s="258">
        <v>0</v>
      </c>
      <c r="AE67" s="258">
        <v>0</v>
      </c>
      <c r="AF67" s="258">
        <v>0</v>
      </c>
      <c r="AG67" s="258">
        <v>0</v>
      </c>
      <c r="AH67" s="258">
        <v>0</v>
      </c>
      <c r="AJ67" s="258">
        <v>44</v>
      </c>
      <c r="AQ67" s="258">
        <v>62</v>
      </c>
      <c r="AR67" s="258">
        <v>0</v>
      </c>
      <c r="AS67" s="258">
        <v>0</v>
      </c>
      <c r="AT67" s="258">
        <v>1</v>
      </c>
      <c r="AV67" s="258">
        <v>2</v>
      </c>
      <c r="AW67" s="296"/>
      <c r="AX67" s="258">
        <v>0</v>
      </c>
      <c r="AZ67" s="258">
        <v>0</v>
      </c>
      <c r="BB67" s="258">
        <v>0</v>
      </c>
      <c r="BC67" s="258">
        <v>0</v>
      </c>
      <c r="BD67" s="297" t="s">
        <v>599</v>
      </c>
      <c r="BF67" s="258">
        <v>419</v>
      </c>
      <c r="BG67" s="258">
        <v>46</v>
      </c>
      <c r="BO67" s="258">
        <v>0</v>
      </c>
      <c r="BP67" s="258">
        <v>0</v>
      </c>
      <c r="BW67" s="258">
        <v>0</v>
      </c>
      <c r="BX67" s="258">
        <v>1423.02</v>
      </c>
      <c r="BY67" s="258">
        <v>15600</v>
      </c>
      <c r="BZ67" s="258">
        <v>3320</v>
      </c>
      <c r="CA67" s="258">
        <v>0</v>
      </c>
      <c r="CC67" s="325">
        <v>2521</v>
      </c>
      <c r="CD67" s="258">
        <v>0</v>
      </c>
      <c r="CJ67" s="258">
        <v>0</v>
      </c>
      <c r="CK67" s="258">
        <v>0</v>
      </c>
      <c r="CQ67" s="325">
        <v>419</v>
      </c>
      <c r="CR67" s="258">
        <v>44</v>
      </c>
      <c r="CS67" s="258">
        <v>11.8</v>
      </c>
      <c r="CT67" s="258">
        <v>261</v>
      </c>
      <c r="CU67" s="258">
        <v>0</v>
      </c>
      <c r="CV67" s="258">
        <v>0</v>
      </c>
      <c r="CW67" s="258">
        <v>0</v>
      </c>
      <c r="DE67" s="258">
        <v>419</v>
      </c>
      <c r="DF67" s="298">
        <v>0</v>
      </c>
      <c r="DG67" s="258" t="s">
        <v>210</v>
      </c>
      <c r="DH67" s="258">
        <v>1</v>
      </c>
      <c r="DI67" s="258">
        <v>10.501193317422434</v>
      </c>
      <c r="DJ67" s="258">
        <v>0</v>
      </c>
      <c r="DK67" s="258">
        <v>0</v>
      </c>
      <c r="DL67" s="258">
        <v>0</v>
      </c>
      <c r="DM67" s="258">
        <v>0</v>
      </c>
      <c r="DN67" s="258">
        <v>0</v>
      </c>
      <c r="DO67" s="258">
        <v>0</v>
      </c>
      <c r="DP67" s="258">
        <v>0</v>
      </c>
      <c r="DQ67" s="258">
        <v>0</v>
      </c>
      <c r="DR67" s="258">
        <v>0</v>
      </c>
      <c r="DS67" s="258">
        <v>0</v>
      </c>
      <c r="DT67" s="258">
        <v>0</v>
      </c>
      <c r="DU67" s="258">
        <v>0</v>
      </c>
      <c r="DZ67" s="259">
        <v>19</v>
      </c>
      <c r="EA67" s="259">
        <v>360</v>
      </c>
      <c r="EB67" s="259">
        <v>4</v>
      </c>
      <c r="EC67" s="259">
        <v>15</v>
      </c>
      <c r="ED67" s="259">
        <v>3</v>
      </c>
      <c r="EE67" s="259">
        <v>10</v>
      </c>
      <c r="EF67" s="262">
        <v>2</v>
      </c>
      <c r="EG67" s="262">
        <v>28</v>
      </c>
      <c r="EH67" s="262">
        <v>16</v>
      </c>
      <c r="EI67" s="262">
        <v>87</v>
      </c>
    </row>
    <row r="68" spans="1:139">
      <c r="A68" s="295">
        <v>3501</v>
      </c>
      <c r="B68" s="258" t="s">
        <v>87</v>
      </c>
      <c r="C68" s="258">
        <v>28</v>
      </c>
      <c r="D68" s="258">
        <v>102</v>
      </c>
      <c r="E68" s="296">
        <v>0</v>
      </c>
      <c r="F68" s="258">
        <v>0</v>
      </c>
      <c r="G68" s="258">
        <v>28224.494231095861</v>
      </c>
      <c r="H68" s="258">
        <v>54.697679999999934</v>
      </c>
      <c r="I68" s="258">
        <v>0</v>
      </c>
      <c r="J68" s="258">
        <v>0</v>
      </c>
      <c r="K68" s="258">
        <v>80</v>
      </c>
      <c r="L68" s="258">
        <v>0</v>
      </c>
      <c r="M68" s="257">
        <v>30</v>
      </c>
      <c r="N68" s="257">
        <v>30</v>
      </c>
      <c r="O68" s="257">
        <v>28</v>
      </c>
      <c r="P68" s="257">
        <v>30</v>
      </c>
      <c r="Q68" s="257">
        <v>29</v>
      </c>
      <c r="R68" s="257">
        <v>30</v>
      </c>
      <c r="X68" s="257">
        <v>43</v>
      </c>
      <c r="Z68" s="257">
        <v>30</v>
      </c>
      <c r="AA68" s="257">
        <v>0</v>
      </c>
      <c r="AC68" s="258">
        <v>0</v>
      </c>
      <c r="AE68" s="258">
        <v>30</v>
      </c>
      <c r="AF68" s="258">
        <v>84.873684210526321</v>
      </c>
      <c r="AG68" s="258">
        <v>24189</v>
      </c>
      <c r="AH68" s="258">
        <v>10.480913096695231</v>
      </c>
      <c r="AJ68" s="258">
        <v>28</v>
      </c>
      <c r="AQ68" s="258">
        <v>45</v>
      </c>
      <c r="AR68" s="258">
        <v>0</v>
      </c>
      <c r="AS68" s="258">
        <v>0</v>
      </c>
      <c r="AT68" s="258">
        <v>1</v>
      </c>
      <c r="AV68" s="258">
        <v>0</v>
      </c>
      <c r="AW68" s="296"/>
      <c r="AX68" s="258">
        <v>0</v>
      </c>
      <c r="AZ68" s="258">
        <v>0</v>
      </c>
      <c r="BB68" s="258">
        <v>0</v>
      </c>
      <c r="BC68" s="258">
        <v>0</v>
      </c>
      <c r="BD68" s="297" t="s">
        <v>597</v>
      </c>
      <c r="BF68" s="258">
        <v>0</v>
      </c>
      <c r="BG68" s="258">
        <v>95</v>
      </c>
      <c r="BO68" s="258">
        <v>0</v>
      </c>
      <c r="BP68" s="258">
        <v>0</v>
      </c>
      <c r="BW68" s="258">
        <v>0</v>
      </c>
      <c r="BX68" s="258">
        <v>0</v>
      </c>
      <c r="BY68" s="258">
        <v>5267</v>
      </c>
      <c r="BZ68" s="258">
        <v>1148</v>
      </c>
      <c r="CA68" s="258">
        <v>0</v>
      </c>
      <c r="CC68" s="325">
        <v>1633</v>
      </c>
      <c r="CD68" s="258">
        <v>0</v>
      </c>
      <c r="CJ68" s="258">
        <v>0</v>
      </c>
      <c r="CK68" s="258">
        <v>0</v>
      </c>
      <c r="CQ68" s="325">
        <v>232.8</v>
      </c>
      <c r="CR68" s="258">
        <v>28</v>
      </c>
      <c r="CS68" s="258">
        <v>6</v>
      </c>
      <c r="CT68" s="258">
        <v>102</v>
      </c>
      <c r="CU68" s="258">
        <v>0</v>
      </c>
      <c r="CV68" s="258">
        <v>0</v>
      </c>
      <c r="CW68" s="258">
        <v>0</v>
      </c>
      <c r="DE68" s="258">
        <v>207</v>
      </c>
      <c r="DF68" s="298">
        <v>0</v>
      </c>
      <c r="DG68" s="258" t="s">
        <v>210</v>
      </c>
      <c r="DH68" s="258">
        <v>1</v>
      </c>
      <c r="DI68" s="258">
        <v>13.526570048309178</v>
      </c>
      <c r="DJ68" s="258">
        <v>10.263157894736842</v>
      </c>
      <c r="DK68" s="258">
        <v>11.368421052631579</v>
      </c>
      <c r="DL68" s="258">
        <v>8.3684210526315788</v>
      </c>
      <c r="DM68" s="258">
        <v>9360</v>
      </c>
      <c r="DN68" s="258">
        <v>7992</v>
      </c>
      <c r="DO68" s="258">
        <v>6837</v>
      </c>
      <c r="DP68" s="258">
        <v>32.842105263157897</v>
      </c>
      <c r="DQ68" s="258">
        <v>28.042105263157897</v>
      </c>
      <c r="DR68" s="258">
        <v>23.989473684210527</v>
      </c>
      <c r="DS68" s="258">
        <v>4.055618115055081</v>
      </c>
      <c r="DT68" s="258">
        <v>3.4628739290085693</v>
      </c>
      <c r="DU68" s="258">
        <v>2.96242105263158</v>
      </c>
      <c r="DZ68" s="259">
        <v>12</v>
      </c>
      <c r="EA68" s="259">
        <v>177</v>
      </c>
      <c r="EB68" s="259">
        <v>18</v>
      </c>
      <c r="EC68" s="259">
        <v>27</v>
      </c>
      <c r="ED68" s="259">
        <v>2</v>
      </c>
      <c r="EE68" s="259">
        <v>8</v>
      </c>
      <c r="EF68" s="262">
        <v>0</v>
      </c>
      <c r="EG68" s="262">
        <v>10</v>
      </c>
      <c r="EH68" s="262">
        <v>8</v>
      </c>
      <c r="EI68" s="262">
        <v>38</v>
      </c>
    </row>
    <row r="69" spans="1:139">
      <c r="A69" s="295">
        <v>2078</v>
      </c>
      <c r="B69" s="258" t="s">
        <v>356</v>
      </c>
      <c r="C69" s="258">
        <v>19</v>
      </c>
      <c r="D69" s="258">
        <v>48</v>
      </c>
      <c r="E69" s="296">
        <v>0</v>
      </c>
      <c r="F69" s="258">
        <v>0</v>
      </c>
      <c r="G69" s="258">
        <v>20804.922133647855</v>
      </c>
      <c r="H69" s="258">
        <v>22.23</v>
      </c>
      <c r="I69" s="258">
        <v>0</v>
      </c>
      <c r="J69" s="258">
        <v>0</v>
      </c>
      <c r="K69" s="258">
        <v>50</v>
      </c>
      <c r="L69" s="258">
        <v>0</v>
      </c>
      <c r="M69" s="257">
        <v>27</v>
      </c>
      <c r="N69" s="257">
        <v>30</v>
      </c>
      <c r="O69" s="257">
        <v>22</v>
      </c>
      <c r="P69" s="257">
        <v>22</v>
      </c>
      <c r="Q69" s="257">
        <v>26</v>
      </c>
      <c r="R69" s="257">
        <v>27</v>
      </c>
      <c r="X69" s="257">
        <v>0</v>
      </c>
      <c r="Z69" s="257">
        <v>33</v>
      </c>
      <c r="AA69" s="257">
        <v>0</v>
      </c>
      <c r="AC69" s="258">
        <v>0</v>
      </c>
      <c r="AE69" s="258">
        <v>0</v>
      </c>
      <c r="AF69" s="258">
        <v>0</v>
      </c>
      <c r="AG69" s="258">
        <v>0</v>
      </c>
      <c r="AH69" s="258">
        <v>0</v>
      </c>
      <c r="AJ69" s="258">
        <v>19</v>
      </c>
      <c r="AN69" s="258">
        <v>1</v>
      </c>
      <c r="AQ69" s="258">
        <v>26</v>
      </c>
      <c r="AR69" s="258">
        <v>0</v>
      </c>
      <c r="AS69" s="258">
        <v>0</v>
      </c>
      <c r="AT69" s="258">
        <v>1</v>
      </c>
      <c r="AV69" s="258">
        <v>1</v>
      </c>
      <c r="AW69" s="296"/>
      <c r="AX69" s="258">
        <v>0</v>
      </c>
      <c r="AZ69" s="258">
        <v>0</v>
      </c>
      <c r="BB69" s="258">
        <v>0</v>
      </c>
      <c r="BC69" s="258">
        <v>0</v>
      </c>
      <c r="BD69" s="297" t="s">
        <v>597</v>
      </c>
      <c r="BF69" s="258">
        <v>0</v>
      </c>
      <c r="BG69" s="258">
        <v>0</v>
      </c>
      <c r="BO69" s="258">
        <v>0</v>
      </c>
      <c r="BP69" s="258">
        <v>0</v>
      </c>
      <c r="BW69" s="258">
        <v>0</v>
      </c>
      <c r="BX69" s="258">
        <v>711.51</v>
      </c>
      <c r="BY69" s="258">
        <v>3293</v>
      </c>
      <c r="BZ69" s="258">
        <v>4650</v>
      </c>
      <c r="CA69" s="258">
        <v>0</v>
      </c>
      <c r="CC69" s="325">
        <v>2234.8000000000002</v>
      </c>
      <c r="CD69" s="258">
        <v>0</v>
      </c>
      <c r="CJ69" s="258">
        <v>0</v>
      </c>
      <c r="CK69" s="258">
        <v>0</v>
      </c>
      <c r="CQ69" s="325">
        <v>187</v>
      </c>
      <c r="CR69" s="258">
        <v>19</v>
      </c>
      <c r="CS69" s="258">
        <v>0</v>
      </c>
      <c r="CT69" s="258">
        <v>48</v>
      </c>
      <c r="CU69" s="258">
        <v>0</v>
      </c>
      <c r="CV69" s="258">
        <v>0</v>
      </c>
      <c r="CW69" s="258">
        <v>0</v>
      </c>
      <c r="DE69" s="258">
        <v>187</v>
      </c>
      <c r="DF69" s="298">
        <v>0</v>
      </c>
      <c r="DG69" s="258" t="s">
        <v>210</v>
      </c>
      <c r="DH69" s="258">
        <v>1</v>
      </c>
      <c r="DI69" s="258">
        <v>10.160427807486631</v>
      </c>
      <c r="DJ69" s="258">
        <v>0</v>
      </c>
      <c r="DK69" s="258">
        <v>0</v>
      </c>
      <c r="DL69" s="258">
        <v>0</v>
      </c>
      <c r="DM69" s="258">
        <v>0</v>
      </c>
      <c r="DN69" s="258">
        <v>0</v>
      </c>
      <c r="DO69" s="258">
        <v>0</v>
      </c>
      <c r="DP69" s="258">
        <v>0</v>
      </c>
      <c r="DQ69" s="258">
        <v>0</v>
      </c>
      <c r="DR69" s="258">
        <v>0</v>
      </c>
      <c r="DS69" s="258">
        <v>0</v>
      </c>
      <c r="DT69" s="258">
        <v>0</v>
      </c>
      <c r="DU69" s="258">
        <v>0</v>
      </c>
      <c r="DZ69" s="259">
        <v>14</v>
      </c>
      <c r="EA69" s="259">
        <v>154</v>
      </c>
      <c r="EB69" s="259">
        <v>0</v>
      </c>
      <c r="EC69" s="259">
        <v>0</v>
      </c>
      <c r="ED69" s="259">
        <v>0</v>
      </c>
      <c r="EE69" s="259">
        <v>0</v>
      </c>
      <c r="EF69" s="262">
        <v>4</v>
      </c>
      <c r="EG69" s="262">
        <v>2</v>
      </c>
      <c r="EH69" s="262">
        <v>2</v>
      </c>
      <c r="EI69" s="262">
        <v>6</v>
      </c>
    </row>
    <row r="70" spans="1:139">
      <c r="A70" s="295">
        <v>2000</v>
      </c>
      <c r="B70" s="258" t="s">
        <v>357</v>
      </c>
      <c r="C70" s="258">
        <v>53</v>
      </c>
      <c r="D70" s="258">
        <v>737</v>
      </c>
      <c r="E70" s="296">
        <v>0</v>
      </c>
      <c r="F70" s="258">
        <v>60</v>
      </c>
      <c r="G70" s="258">
        <v>40125.435396268964</v>
      </c>
      <c r="H70" s="258">
        <v>92.427096774193913</v>
      </c>
      <c r="I70" s="258">
        <v>0</v>
      </c>
      <c r="J70" s="258">
        <v>0</v>
      </c>
      <c r="K70" s="258">
        <v>40</v>
      </c>
      <c r="L70" s="258">
        <v>0</v>
      </c>
      <c r="M70" s="257">
        <v>60</v>
      </c>
      <c r="N70" s="257">
        <v>59</v>
      </c>
      <c r="O70" s="257">
        <v>57</v>
      </c>
      <c r="P70" s="257">
        <v>39</v>
      </c>
      <c r="Q70" s="257">
        <v>42</v>
      </c>
      <c r="R70" s="257">
        <v>34</v>
      </c>
      <c r="X70" s="257">
        <v>52</v>
      </c>
      <c r="Z70" s="257">
        <v>60</v>
      </c>
      <c r="AA70" s="257">
        <v>0</v>
      </c>
      <c r="AC70" s="258">
        <v>0</v>
      </c>
      <c r="AE70" s="258">
        <v>27.726315789473684</v>
      </c>
      <c r="AF70" s="258">
        <v>0</v>
      </c>
      <c r="AG70" s="258">
        <v>23592</v>
      </c>
      <c r="AH70" s="258">
        <v>11.061539731682148</v>
      </c>
      <c r="AI70" s="258">
        <v>-7700</v>
      </c>
      <c r="AJ70" s="258">
        <v>53</v>
      </c>
      <c r="AQ70" s="258">
        <v>107</v>
      </c>
      <c r="AR70" s="258">
        <v>0</v>
      </c>
      <c r="AS70" s="258">
        <v>0</v>
      </c>
      <c r="AT70" s="258">
        <v>1</v>
      </c>
      <c r="AV70" s="258">
        <v>2</v>
      </c>
      <c r="AW70" s="296"/>
      <c r="AX70" s="258">
        <v>1</v>
      </c>
      <c r="AZ70" s="258">
        <v>0</v>
      </c>
      <c r="BB70" s="258">
        <v>0</v>
      </c>
      <c r="BC70" s="258">
        <v>0</v>
      </c>
      <c r="BD70" s="297" t="s">
        <v>214</v>
      </c>
      <c r="BF70" s="258">
        <v>382.2</v>
      </c>
      <c r="BG70" s="258">
        <v>75</v>
      </c>
      <c r="BO70" s="258">
        <v>0</v>
      </c>
      <c r="BP70" s="258">
        <v>0</v>
      </c>
      <c r="BW70" s="258">
        <v>0</v>
      </c>
      <c r="BX70" s="258">
        <v>0</v>
      </c>
      <c r="BY70" s="258">
        <v>16000</v>
      </c>
      <c r="BZ70" s="258">
        <v>8846</v>
      </c>
      <c r="CA70" s="258">
        <v>48364.648526316916</v>
      </c>
      <c r="CC70" s="325">
        <v>2412</v>
      </c>
      <c r="CD70" s="258">
        <v>0</v>
      </c>
      <c r="CJ70" s="258">
        <v>0</v>
      </c>
      <c r="CK70" s="258">
        <v>0</v>
      </c>
      <c r="CN70" s="258">
        <v>-8300</v>
      </c>
      <c r="CQ70" s="325">
        <v>382.2</v>
      </c>
      <c r="CR70" s="258">
        <v>53.6</v>
      </c>
      <c r="CS70" s="258">
        <v>12.09</v>
      </c>
      <c r="CT70" s="258">
        <v>737</v>
      </c>
      <c r="CU70" s="258">
        <v>0</v>
      </c>
      <c r="CV70" s="258">
        <v>0</v>
      </c>
      <c r="CW70" s="258">
        <v>0</v>
      </c>
      <c r="DE70" s="258">
        <v>351</v>
      </c>
      <c r="DF70" s="298">
        <v>0</v>
      </c>
      <c r="DG70" s="258" t="s">
        <v>210</v>
      </c>
      <c r="DH70" s="258">
        <v>1</v>
      </c>
      <c r="DI70" s="258">
        <v>15.0997150997151</v>
      </c>
      <c r="DJ70" s="258">
        <v>10.263157894736842</v>
      </c>
      <c r="DK70" s="258">
        <v>9.094736842105263</v>
      </c>
      <c r="DL70" s="258">
        <v>8.3684210526315788</v>
      </c>
      <c r="DM70" s="258">
        <v>10140</v>
      </c>
      <c r="DN70" s="258">
        <v>5184</v>
      </c>
      <c r="DO70" s="258">
        <v>8268</v>
      </c>
      <c r="DP70" s="258">
        <v>0</v>
      </c>
      <c r="DQ70" s="258">
        <v>0</v>
      </c>
      <c r="DR70" s="258">
        <v>0</v>
      </c>
      <c r="DS70" s="258">
        <v>4.7543240454076372</v>
      </c>
      <c r="DT70" s="258">
        <v>2.4306130030959752</v>
      </c>
      <c r="DU70" s="258">
        <v>3.8766026831785347</v>
      </c>
      <c r="DZ70" s="259">
        <v>60</v>
      </c>
      <c r="EA70" s="259">
        <v>291</v>
      </c>
      <c r="EB70" s="259">
        <v>13</v>
      </c>
      <c r="EC70" s="259">
        <v>31</v>
      </c>
      <c r="ED70" s="259">
        <v>0</v>
      </c>
      <c r="EE70" s="259">
        <v>5</v>
      </c>
      <c r="EF70" s="262">
        <v>6</v>
      </c>
      <c r="EG70" s="262">
        <v>102</v>
      </c>
      <c r="EH70" s="262">
        <v>42</v>
      </c>
      <c r="EI70" s="262">
        <v>161</v>
      </c>
    </row>
    <row r="71" spans="1:139">
      <c r="A71" s="295">
        <v>2071</v>
      </c>
      <c r="B71" s="258" t="s">
        <v>90</v>
      </c>
      <c r="C71" s="258">
        <v>100</v>
      </c>
      <c r="D71" s="258">
        <v>690</v>
      </c>
      <c r="E71" s="296">
        <v>0</v>
      </c>
      <c r="F71" s="258">
        <v>37</v>
      </c>
      <c r="G71" s="258">
        <v>85493.494008706068</v>
      </c>
      <c r="H71" s="258">
        <v>55.987964601769839</v>
      </c>
      <c r="I71" s="258">
        <v>0</v>
      </c>
      <c r="J71" s="258">
        <v>0</v>
      </c>
      <c r="K71" s="258">
        <v>205</v>
      </c>
      <c r="L71" s="258">
        <v>0</v>
      </c>
      <c r="M71" s="257">
        <v>87</v>
      </c>
      <c r="N71" s="257">
        <v>84</v>
      </c>
      <c r="O71" s="257">
        <v>0</v>
      </c>
      <c r="P71" s="257">
        <v>0</v>
      </c>
      <c r="Q71" s="257">
        <v>0</v>
      </c>
      <c r="R71" s="257">
        <v>0</v>
      </c>
      <c r="X71" s="257">
        <v>78</v>
      </c>
      <c r="Z71" s="257">
        <v>90</v>
      </c>
      <c r="AA71" s="257">
        <v>0</v>
      </c>
      <c r="AC71" s="258">
        <v>0</v>
      </c>
      <c r="AE71" s="258">
        <v>30</v>
      </c>
      <c r="AF71" s="258">
        <v>146.97894736842105</v>
      </c>
      <c r="AG71" s="258">
        <v>41889</v>
      </c>
      <c r="AH71" s="258">
        <v>15.150137651821861</v>
      </c>
      <c r="AJ71" s="258">
        <v>100</v>
      </c>
      <c r="AQ71" s="258">
        <v>105</v>
      </c>
      <c r="AR71" s="258">
        <v>0</v>
      </c>
      <c r="AS71" s="258">
        <v>2</v>
      </c>
      <c r="AT71" s="258">
        <v>1</v>
      </c>
      <c r="AV71" s="258">
        <v>2</v>
      </c>
      <c r="AW71" s="296"/>
      <c r="AX71" s="258">
        <v>0</v>
      </c>
      <c r="AZ71" s="258">
        <v>0</v>
      </c>
      <c r="BB71" s="258">
        <v>0</v>
      </c>
      <c r="BC71" s="258">
        <v>0</v>
      </c>
      <c r="BD71" s="297" t="s">
        <v>214</v>
      </c>
      <c r="BF71" s="258">
        <v>307.8</v>
      </c>
      <c r="BG71" s="258">
        <v>114</v>
      </c>
      <c r="BO71" s="258">
        <v>0</v>
      </c>
      <c r="BP71" s="258">
        <v>0</v>
      </c>
      <c r="BW71" s="258">
        <v>0</v>
      </c>
      <c r="BX71" s="258">
        <v>711.06</v>
      </c>
      <c r="BY71" s="258">
        <v>14864.032795997777</v>
      </c>
      <c r="BZ71" s="258">
        <v>1931</v>
      </c>
      <c r="CA71" s="258">
        <v>18091</v>
      </c>
      <c r="CC71" s="325">
        <v>1956.39</v>
      </c>
      <c r="CD71" s="258">
        <v>0</v>
      </c>
      <c r="CJ71" s="258">
        <v>0</v>
      </c>
      <c r="CK71" s="258">
        <v>0</v>
      </c>
      <c r="CQ71" s="325">
        <v>307.8</v>
      </c>
      <c r="CR71" s="258">
        <v>104.2</v>
      </c>
      <c r="CS71" s="258">
        <v>4</v>
      </c>
      <c r="CT71" s="258">
        <v>690</v>
      </c>
      <c r="CU71" s="258">
        <v>0</v>
      </c>
      <c r="CV71" s="258">
        <v>0</v>
      </c>
      <c r="CW71" s="258">
        <v>0</v>
      </c>
      <c r="DE71" s="258">
        <v>261</v>
      </c>
      <c r="DF71" s="298">
        <v>0</v>
      </c>
      <c r="DG71" s="258" t="s">
        <v>280</v>
      </c>
      <c r="DH71" s="258">
        <v>1</v>
      </c>
      <c r="DI71" s="258">
        <v>38.314176245210732</v>
      </c>
      <c r="DJ71" s="258">
        <v>10.263157894736842</v>
      </c>
      <c r="DK71" s="258">
        <v>11.368421052631579</v>
      </c>
      <c r="DL71" s="258">
        <v>8.3684210526315788</v>
      </c>
      <c r="DM71" s="258">
        <v>15015</v>
      </c>
      <c r="DN71" s="258">
        <v>14472</v>
      </c>
      <c r="DO71" s="258">
        <v>12402</v>
      </c>
      <c r="DP71" s="258">
        <v>52.684210526315788</v>
      </c>
      <c r="DQ71" s="258">
        <v>50.778947368421058</v>
      </c>
      <c r="DR71" s="258">
        <v>43.515789473684208</v>
      </c>
      <c r="DS71" s="258">
        <v>5.4305263157894732</v>
      </c>
      <c r="DT71" s="258">
        <v>5.2341376518218619</v>
      </c>
      <c r="DU71" s="258">
        <v>4.4854736842105254</v>
      </c>
      <c r="DZ71" s="259">
        <v>37</v>
      </c>
      <c r="EA71" s="259">
        <v>171</v>
      </c>
      <c r="EB71" s="259">
        <v>17</v>
      </c>
      <c r="EC71" s="259">
        <v>27</v>
      </c>
      <c r="ED71" s="259">
        <v>10</v>
      </c>
      <c r="EE71" s="259">
        <v>6</v>
      </c>
      <c r="EF71" s="262">
        <v>18</v>
      </c>
      <c r="EG71" s="262">
        <v>32</v>
      </c>
      <c r="EH71" s="262">
        <v>102</v>
      </c>
      <c r="EI71" s="262">
        <v>130</v>
      </c>
    </row>
    <row r="72" spans="1:139">
      <c r="A72" s="295">
        <v>2072</v>
      </c>
      <c r="B72" s="258" t="s">
        <v>91</v>
      </c>
      <c r="C72" s="258">
        <v>111</v>
      </c>
      <c r="D72" s="258">
        <v>282</v>
      </c>
      <c r="E72" s="296">
        <v>0</v>
      </c>
      <c r="F72" s="258">
        <v>51</v>
      </c>
      <c r="G72" s="258">
        <v>66.966296296296306</v>
      </c>
      <c r="H72" s="258">
        <v>66.16</v>
      </c>
      <c r="I72" s="258">
        <v>0</v>
      </c>
      <c r="J72" s="258">
        <v>0</v>
      </c>
      <c r="K72" s="258">
        <v>230</v>
      </c>
      <c r="L72" s="258">
        <v>0</v>
      </c>
      <c r="M72" s="257">
        <v>0</v>
      </c>
      <c r="N72" s="257">
        <v>0</v>
      </c>
      <c r="O72" s="257">
        <v>78</v>
      </c>
      <c r="P72" s="257">
        <v>76</v>
      </c>
      <c r="Q72" s="257">
        <v>76</v>
      </c>
      <c r="R72" s="257">
        <v>69</v>
      </c>
      <c r="X72" s="257">
        <v>0</v>
      </c>
      <c r="Z72" s="257">
        <v>0</v>
      </c>
      <c r="AA72" s="257">
        <v>0</v>
      </c>
      <c r="AC72" s="258">
        <v>0</v>
      </c>
      <c r="AE72" s="258">
        <v>0</v>
      </c>
      <c r="AF72" s="258">
        <v>0</v>
      </c>
      <c r="AG72" s="258">
        <v>0</v>
      </c>
      <c r="AH72" s="258">
        <v>0</v>
      </c>
      <c r="AJ72" s="258">
        <v>111</v>
      </c>
      <c r="AQ72" s="258">
        <v>152</v>
      </c>
      <c r="AR72" s="258">
        <v>0</v>
      </c>
      <c r="AS72" s="258">
        <v>7</v>
      </c>
      <c r="AT72" s="258">
        <v>1</v>
      </c>
      <c r="AV72" s="258">
        <v>1</v>
      </c>
      <c r="AW72" s="296"/>
      <c r="AX72" s="258">
        <v>0</v>
      </c>
      <c r="AZ72" s="258">
        <v>0</v>
      </c>
      <c r="BB72" s="258">
        <v>0</v>
      </c>
      <c r="BC72" s="258">
        <v>0</v>
      </c>
      <c r="BD72" s="297" t="s">
        <v>214</v>
      </c>
      <c r="BF72" s="258">
        <v>299</v>
      </c>
      <c r="BG72" s="258">
        <v>140</v>
      </c>
      <c r="BO72" s="258">
        <v>0</v>
      </c>
      <c r="BP72" s="258">
        <v>0</v>
      </c>
      <c r="BW72" s="258">
        <v>0</v>
      </c>
      <c r="BX72" s="258">
        <v>711.06</v>
      </c>
      <c r="BY72" s="258">
        <v>21435.967204002223</v>
      </c>
      <c r="BZ72" s="258">
        <v>3463</v>
      </c>
      <c r="CA72" s="258">
        <v>10190.5</v>
      </c>
      <c r="CC72" s="325">
        <v>1521.44</v>
      </c>
      <c r="CD72" s="258">
        <v>0</v>
      </c>
      <c r="CJ72" s="258">
        <v>0</v>
      </c>
      <c r="CK72" s="258">
        <v>0</v>
      </c>
      <c r="CQ72" s="325">
        <v>299</v>
      </c>
      <c r="CR72" s="258">
        <v>111</v>
      </c>
      <c r="CS72" s="258">
        <v>23.87</v>
      </c>
      <c r="CT72" s="258">
        <v>282</v>
      </c>
      <c r="CU72" s="258">
        <v>0</v>
      </c>
      <c r="CV72" s="258">
        <v>0</v>
      </c>
      <c r="CW72" s="258">
        <v>0</v>
      </c>
      <c r="DE72" s="258">
        <v>299</v>
      </c>
      <c r="DF72" s="298">
        <v>0</v>
      </c>
      <c r="DG72" s="258" t="s">
        <v>279</v>
      </c>
      <c r="DH72" s="258">
        <v>1</v>
      </c>
      <c r="DI72" s="258">
        <v>37.123745819397989</v>
      </c>
      <c r="DJ72" s="258">
        <v>0</v>
      </c>
      <c r="DK72" s="258">
        <v>0</v>
      </c>
      <c r="DL72" s="258">
        <v>0</v>
      </c>
      <c r="DM72" s="258">
        <v>0</v>
      </c>
      <c r="DN72" s="258">
        <v>0</v>
      </c>
      <c r="DO72" s="258">
        <v>0</v>
      </c>
      <c r="DP72" s="258">
        <v>0</v>
      </c>
      <c r="DQ72" s="258">
        <v>0</v>
      </c>
      <c r="DR72" s="258">
        <v>0</v>
      </c>
      <c r="DS72" s="258">
        <v>0</v>
      </c>
      <c r="DT72" s="258">
        <v>0</v>
      </c>
      <c r="DU72" s="258">
        <v>0</v>
      </c>
      <c r="DZ72" s="259">
        <v>51</v>
      </c>
      <c r="EA72" s="259">
        <v>299</v>
      </c>
      <c r="EB72" s="259">
        <v>22</v>
      </c>
      <c r="EC72" s="259">
        <v>26</v>
      </c>
      <c r="ED72" s="259">
        <v>13</v>
      </c>
      <c r="EE72" s="259">
        <v>9</v>
      </c>
      <c r="EF72" s="262">
        <v>14</v>
      </c>
      <c r="EG72" s="262">
        <v>46</v>
      </c>
      <c r="EH72" s="262">
        <v>0</v>
      </c>
      <c r="EI72" s="262">
        <v>0</v>
      </c>
    </row>
    <row r="73" spans="1:139">
      <c r="A73" s="295">
        <v>3512</v>
      </c>
      <c r="B73" s="258" t="s">
        <v>358</v>
      </c>
      <c r="C73" s="258">
        <v>11</v>
      </c>
      <c r="D73" s="258">
        <v>36</v>
      </c>
      <c r="E73" s="296">
        <v>0</v>
      </c>
      <c r="F73" s="258">
        <v>0</v>
      </c>
      <c r="G73" s="258">
        <v>25334.262308272213</v>
      </c>
      <c r="H73" s="258">
        <v>63.234761904761953</v>
      </c>
      <c r="I73" s="258">
        <v>0</v>
      </c>
      <c r="J73" s="258">
        <v>0</v>
      </c>
      <c r="K73" s="258">
        <v>193.33333333333331</v>
      </c>
      <c r="L73" s="258">
        <v>0</v>
      </c>
      <c r="M73" s="257">
        <v>61</v>
      </c>
      <c r="N73" s="257">
        <v>60</v>
      </c>
      <c r="O73" s="257">
        <v>60</v>
      </c>
      <c r="P73" s="257">
        <v>60</v>
      </c>
      <c r="Q73" s="257">
        <v>56</v>
      </c>
      <c r="R73" s="257">
        <v>60</v>
      </c>
      <c r="X73" s="257">
        <v>60</v>
      </c>
      <c r="Z73" s="257">
        <v>87</v>
      </c>
      <c r="AA73" s="257">
        <v>0</v>
      </c>
      <c r="AC73" s="258">
        <v>0</v>
      </c>
      <c r="AE73" s="258">
        <v>30</v>
      </c>
      <c r="AF73" s="258">
        <v>0</v>
      </c>
      <c r="AG73" s="258">
        <v>34785</v>
      </c>
      <c r="AH73" s="258">
        <v>9.2149736842105288</v>
      </c>
      <c r="AJ73" s="258">
        <v>11</v>
      </c>
      <c r="AN73" s="258">
        <v>1</v>
      </c>
      <c r="AQ73" s="258">
        <v>15</v>
      </c>
      <c r="AR73" s="258">
        <v>0</v>
      </c>
      <c r="AS73" s="258">
        <v>0</v>
      </c>
      <c r="AT73" s="258">
        <v>1</v>
      </c>
      <c r="AV73" s="258">
        <v>0</v>
      </c>
      <c r="AW73" s="296"/>
      <c r="AX73" s="258">
        <v>0</v>
      </c>
      <c r="AZ73" s="258">
        <v>0</v>
      </c>
      <c r="BB73" s="258">
        <v>1</v>
      </c>
      <c r="BC73" s="258">
        <v>0</v>
      </c>
      <c r="BD73" s="297" t="s">
        <v>597</v>
      </c>
      <c r="BF73" s="258">
        <v>0</v>
      </c>
      <c r="BG73" s="258">
        <v>0</v>
      </c>
      <c r="BO73" s="258">
        <v>0</v>
      </c>
      <c r="BP73" s="258">
        <v>0</v>
      </c>
      <c r="BW73" s="258">
        <v>0</v>
      </c>
      <c r="BX73" s="258">
        <v>1739.25</v>
      </c>
      <c r="BY73" s="258">
        <v>8215</v>
      </c>
      <c r="BZ73" s="258">
        <v>2800</v>
      </c>
      <c r="CA73" s="258">
        <v>0</v>
      </c>
      <c r="CC73" s="325">
        <v>2018.99</v>
      </c>
      <c r="CD73" s="258">
        <v>0</v>
      </c>
      <c r="CJ73" s="258">
        <v>0</v>
      </c>
      <c r="CK73" s="258">
        <v>0</v>
      </c>
      <c r="CQ73" s="325">
        <v>480</v>
      </c>
      <c r="CR73" s="258">
        <v>11</v>
      </c>
      <c r="CS73" s="258">
        <v>1.74</v>
      </c>
      <c r="CT73" s="258">
        <v>0</v>
      </c>
      <c r="CU73" s="258">
        <v>0</v>
      </c>
      <c r="CV73" s="258">
        <v>0</v>
      </c>
      <c r="CW73" s="258">
        <v>0</v>
      </c>
      <c r="DE73" s="258">
        <v>444</v>
      </c>
      <c r="DF73" s="298">
        <v>0</v>
      </c>
      <c r="DG73" s="258" t="s">
        <v>210</v>
      </c>
      <c r="DH73" s="258">
        <v>1</v>
      </c>
      <c r="DI73" s="258">
        <v>2.4774774774774775</v>
      </c>
      <c r="DJ73" s="258">
        <v>10.263157894736842</v>
      </c>
      <c r="DK73" s="258">
        <v>11.368421052631579</v>
      </c>
      <c r="DL73" s="258">
        <v>8.3684210526315788</v>
      </c>
      <c r="DM73" s="258">
        <v>12285</v>
      </c>
      <c r="DN73" s="258">
        <v>12960</v>
      </c>
      <c r="DO73" s="258">
        <v>9540</v>
      </c>
      <c r="DP73" s="258">
        <v>0</v>
      </c>
      <c r="DQ73" s="258">
        <v>0</v>
      </c>
      <c r="DR73" s="258">
        <v>0</v>
      </c>
      <c r="DS73" s="258">
        <v>3.254447368421054</v>
      </c>
      <c r="DT73" s="258">
        <v>3.4332631578947375</v>
      </c>
      <c r="DU73" s="258">
        <v>2.5272631578947373</v>
      </c>
      <c r="DZ73" s="259">
        <v>17</v>
      </c>
      <c r="EA73" s="259">
        <v>357</v>
      </c>
      <c r="EB73" s="259">
        <v>0</v>
      </c>
      <c r="EC73" s="259">
        <v>0</v>
      </c>
      <c r="ED73" s="259">
        <v>0</v>
      </c>
      <c r="EE73" s="259">
        <v>0</v>
      </c>
      <c r="EF73" s="262">
        <v>0</v>
      </c>
      <c r="EG73" s="262">
        <v>6</v>
      </c>
      <c r="EH73" s="262">
        <v>0</v>
      </c>
      <c r="EI73" s="262">
        <v>12</v>
      </c>
    </row>
    <row r="74" spans="1:139">
      <c r="A74" s="295">
        <v>3510</v>
      </c>
      <c r="B74" s="258" t="s">
        <v>359</v>
      </c>
      <c r="C74" s="258">
        <v>32</v>
      </c>
      <c r="D74" s="258">
        <v>122</v>
      </c>
      <c r="E74" s="296">
        <v>0</v>
      </c>
      <c r="F74" s="258">
        <v>0</v>
      </c>
      <c r="G74" s="258">
        <v>25181.196185999292</v>
      </c>
      <c r="H74" s="258">
        <v>75.62999999999991</v>
      </c>
      <c r="I74" s="258">
        <v>0</v>
      </c>
      <c r="J74" s="258">
        <v>0</v>
      </c>
      <c r="K74" s="258">
        <v>95</v>
      </c>
      <c r="L74" s="258">
        <v>0</v>
      </c>
      <c r="M74" s="257">
        <v>60</v>
      </c>
      <c r="N74" s="257">
        <v>60</v>
      </c>
      <c r="O74" s="257">
        <v>60</v>
      </c>
      <c r="P74" s="257">
        <v>60</v>
      </c>
      <c r="Q74" s="257">
        <v>60</v>
      </c>
      <c r="R74" s="257">
        <v>60</v>
      </c>
      <c r="X74" s="257">
        <v>0</v>
      </c>
      <c r="Z74" s="257">
        <v>60</v>
      </c>
      <c r="AA74" s="257">
        <v>0</v>
      </c>
      <c r="AC74" s="258">
        <v>0</v>
      </c>
      <c r="AE74" s="258">
        <v>0</v>
      </c>
      <c r="AF74" s="258">
        <v>0</v>
      </c>
      <c r="AG74" s="258">
        <v>0</v>
      </c>
      <c r="AH74" s="258">
        <v>0</v>
      </c>
      <c r="AJ74" s="258">
        <v>32</v>
      </c>
      <c r="AQ74" s="258">
        <v>38</v>
      </c>
      <c r="AR74" s="258">
        <v>0</v>
      </c>
      <c r="AS74" s="258">
        <v>0</v>
      </c>
      <c r="AT74" s="258">
        <v>1</v>
      </c>
      <c r="AV74" s="258">
        <v>1</v>
      </c>
      <c r="AW74" s="296"/>
      <c r="AX74" s="258">
        <v>0</v>
      </c>
      <c r="AZ74" s="258">
        <v>0</v>
      </c>
      <c r="BB74" s="258">
        <v>0</v>
      </c>
      <c r="BC74" s="258">
        <v>0</v>
      </c>
      <c r="BD74" s="297" t="s">
        <v>597</v>
      </c>
      <c r="BF74" s="258">
        <v>0</v>
      </c>
      <c r="BG74" s="258">
        <v>47</v>
      </c>
      <c r="BO74" s="258">
        <v>0</v>
      </c>
      <c r="BP74" s="258">
        <v>0</v>
      </c>
      <c r="BW74" s="258">
        <v>5904.96</v>
      </c>
      <c r="BX74" s="258">
        <v>1423.02</v>
      </c>
      <c r="BY74" s="258">
        <v>6597</v>
      </c>
      <c r="BZ74" s="258">
        <v>2169</v>
      </c>
      <c r="CA74" s="258">
        <v>0</v>
      </c>
      <c r="CC74" s="325">
        <v>2364</v>
      </c>
      <c r="CD74" s="258">
        <v>0</v>
      </c>
      <c r="CJ74" s="258">
        <v>0</v>
      </c>
      <c r="CK74" s="258">
        <v>0</v>
      </c>
      <c r="CQ74" s="325">
        <v>420</v>
      </c>
      <c r="CR74" s="258">
        <v>32</v>
      </c>
      <c r="CS74" s="258">
        <v>6.71</v>
      </c>
      <c r="CT74" s="258">
        <v>122</v>
      </c>
      <c r="CU74" s="258">
        <v>0</v>
      </c>
      <c r="CV74" s="258">
        <v>0</v>
      </c>
      <c r="CW74" s="258">
        <v>0</v>
      </c>
      <c r="DE74" s="258">
        <v>420</v>
      </c>
      <c r="DF74" s="298">
        <v>0</v>
      </c>
      <c r="DG74" s="258" t="s">
        <v>210</v>
      </c>
      <c r="DH74" s="258">
        <v>1</v>
      </c>
      <c r="DI74" s="258">
        <v>7.6190476190476195</v>
      </c>
      <c r="DJ74" s="258">
        <v>0</v>
      </c>
      <c r="DK74" s="258">
        <v>0</v>
      </c>
      <c r="DL74" s="258">
        <v>0</v>
      </c>
      <c r="DM74" s="258">
        <v>0</v>
      </c>
      <c r="DN74" s="258">
        <v>0</v>
      </c>
      <c r="DO74" s="258">
        <v>0</v>
      </c>
      <c r="DP74" s="258">
        <v>0</v>
      </c>
      <c r="DQ74" s="258">
        <v>0</v>
      </c>
      <c r="DR74" s="258">
        <v>0</v>
      </c>
      <c r="DS74" s="258">
        <v>0</v>
      </c>
      <c r="DT74" s="258">
        <v>0</v>
      </c>
      <c r="DU74" s="258">
        <v>0</v>
      </c>
      <c r="DZ74" s="259">
        <v>15</v>
      </c>
      <c r="EA74" s="259">
        <v>360</v>
      </c>
      <c r="EB74" s="259">
        <v>8</v>
      </c>
      <c r="EC74" s="259">
        <v>15</v>
      </c>
      <c r="ED74" s="259">
        <v>1</v>
      </c>
      <c r="EE74" s="259">
        <v>5</v>
      </c>
      <c r="EF74" s="262">
        <v>6</v>
      </c>
      <c r="EG74" s="262">
        <v>10</v>
      </c>
      <c r="EH74" s="262">
        <v>8</v>
      </c>
      <c r="EI74" s="262">
        <v>16</v>
      </c>
    </row>
    <row r="75" spans="1:139">
      <c r="A75" s="295">
        <v>3502</v>
      </c>
      <c r="B75" s="258" t="s">
        <v>360</v>
      </c>
      <c r="C75" s="258">
        <v>47</v>
      </c>
      <c r="D75" s="258">
        <v>217</v>
      </c>
      <c r="E75" s="296">
        <v>0</v>
      </c>
      <c r="F75" s="258">
        <v>0</v>
      </c>
      <c r="G75" s="258">
        <v>34477.021275172599</v>
      </c>
      <c r="H75" s="258">
        <v>116.62057803468196</v>
      </c>
      <c r="I75" s="258">
        <v>0</v>
      </c>
      <c r="J75" s="258">
        <v>0</v>
      </c>
      <c r="K75" s="258">
        <v>90</v>
      </c>
      <c r="L75" s="258">
        <v>0</v>
      </c>
      <c r="M75" s="257">
        <v>47</v>
      </c>
      <c r="N75" s="257">
        <v>44</v>
      </c>
      <c r="O75" s="257">
        <v>44</v>
      </c>
      <c r="P75" s="257">
        <v>40</v>
      </c>
      <c r="Q75" s="257">
        <v>34</v>
      </c>
      <c r="R75" s="257">
        <v>41</v>
      </c>
      <c r="X75" s="257">
        <v>50</v>
      </c>
      <c r="Z75" s="257">
        <v>46</v>
      </c>
      <c r="AA75" s="257">
        <v>0</v>
      </c>
      <c r="AC75" s="258">
        <v>0</v>
      </c>
      <c r="AE75" s="258">
        <v>30</v>
      </c>
      <c r="AF75" s="258">
        <v>101.36842105263158</v>
      </c>
      <c r="AG75" s="258">
        <v>28890</v>
      </c>
      <c r="AH75" s="258">
        <v>19.341094736842109</v>
      </c>
      <c r="AJ75" s="258">
        <v>47</v>
      </c>
      <c r="AQ75" s="258">
        <v>71</v>
      </c>
      <c r="AR75" s="258">
        <v>0</v>
      </c>
      <c r="AS75" s="258">
        <v>0</v>
      </c>
      <c r="AT75" s="258">
        <v>1</v>
      </c>
      <c r="AV75" s="258">
        <v>2</v>
      </c>
      <c r="AW75" s="296"/>
      <c r="AX75" s="258">
        <v>1</v>
      </c>
      <c r="AZ75" s="258">
        <v>0</v>
      </c>
      <c r="BB75" s="258">
        <v>0</v>
      </c>
      <c r="BC75" s="258">
        <v>0</v>
      </c>
      <c r="BD75" s="297" t="s">
        <v>597</v>
      </c>
      <c r="BF75" s="258">
        <v>0</v>
      </c>
      <c r="BG75" s="258">
        <v>98</v>
      </c>
      <c r="BO75" s="258">
        <v>0</v>
      </c>
      <c r="BP75" s="258">
        <v>0</v>
      </c>
      <c r="BW75" s="258">
        <v>0</v>
      </c>
      <c r="BX75" s="258">
        <v>0</v>
      </c>
      <c r="BY75" s="258">
        <v>4577</v>
      </c>
      <c r="BZ75" s="258">
        <v>2069</v>
      </c>
      <c r="CA75" s="258">
        <v>0</v>
      </c>
      <c r="CC75" s="325">
        <v>1684</v>
      </c>
      <c r="CD75" s="258">
        <v>0</v>
      </c>
      <c r="CJ75" s="258">
        <v>0</v>
      </c>
      <c r="CK75" s="258">
        <v>0</v>
      </c>
      <c r="CQ75" s="325">
        <v>326</v>
      </c>
      <c r="CR75" s="258">
        <v>47</v>
      </c>
      <c r="CS75" s="258">
        <v>2.1</v>
      </c>
      <c r="CT75" s="258">
        <v>217</v>
      </c>
      <c r="CU75" s="258">
        <v>0</v>
      </c>
      <c r="CV75" s="258">
        <v>0</v>
      </c>
      <c r="CW75" s="258">
        <v>0</v>
      </c>
      <c r="DE75" s="258">
        <v>296</v>
      </c>
      <c r="DF75" s="298">
        <v>0</v>
      </c>
      <c r="DG75" s="258" t="s">
        <v>210</v>
      </c>
      <c r="DH75" s="258">
        <v>1</v>
      </c>
      <c r="DI75" s="258">
        <v>15.878378378378377</v>
      </c>
      <c r="DJ75" s="258">
        <v>10.263157894736842</v>
      </c>
      <c r="DK75" s="258">
        <v>11.368421052631579</v>
      </c>
      <c r="DL75" s="258">
        <v>8.3684210526315788</v>
      </c>
      <c r="DM75" s="258">
        <v>10140</v>
      </c>
      <c r="DN75" s="258">
        <v>10800</v>
      </c>
      <c r="DO75" s="258">
        <v>7950</v>
      </c>
      <c r="DP75" s="258">
        <v>35.578947368421055</v>
      </c>
      <c r="DQ75" s="258">
        <v>37.89473684210526</v>
      </c>
      <c r="DR75" s="258">
        <v>27.894736842105264</v>
      </c>
      <c r="DS75" s="258">
        <v>6.7884631578947383</v>
      </c>
      <c r="DT75" s="258">
        <v>7.2303157894736847</v>
      </c>
      <c r="DU75" s="258">
        <v>5.3223157894736843</v>
      </c>
      <c r="DZ75" s="259">
        <v>17</v>
      </c>
      <c r="EA75" s="259">
        <v>250</v>
      </c>
      <c r="EB75" s="259">
        <v>20</v>
      </c>
      <c r="EC75" s="259">
        <v>23</v>
      </c>
      <c r="ED75" s="259">
        <v>2</v>
      </c>
      <c r="EE75" s="259">
        <v>9</v>
      </c>
      <c r="EF75" s="262">
        <v>0</v>
      </c>
      <c r="EG75" s="262">
        <v>26</v>
      </c>
      <c r="EH75" s="262">
        <v>10</v>
      </c>
      <c r="EI75" s="262">
        <v>83</v>
      </c>
    </row>
    <row r="76" spans="1:139">
      <c r="A76" s="295">
        <v>3315</v>
      </c>
      <c r="B76" s="258" t="s">
        <v>605</v>
      </c>
      <c r="C76" s="258">
        <v>9</v>
      </c>
      <c r="D76" s="258">
        <v>101</v>
      </c>
      <c r="E76" s="296">
        <v>0</v>
      </c>
      <c r="F76" s="258">
        <v>0</v>
      </c>
      <c r="G76" s="258">
        <v>13031.950367291487</v>
      </c>
      <c r="H76" s="258">
        <v>26.77</v>
      </c>
      <c r="I76" s="258">
        <v>0</v>
      </c>
      <c r="J76" s="258">
        <v>0</v>
      </c>
      <c r="K76" s="258">
        <v>90</v>
      </c>
      <c r="L76" s="258">
        <v>0</v>
      </c>
      <c r="M76" s="257">
        <v>30</v>
      </c>
      <c r="N76" s="257">
        <v>30</v>
      </c>
      <c r="O76" s="257">
        <v>30</v>
      </c>
      <c r="P76" s="257">
        <v>30</v>
      </c>
      <c r="Q76" s="257">
        <v>30</v>
      </c>
      <c r="R76" s="257">
        <v>28</v>
      </c>
      <c r="X76" s="257">
        <v>0</v>
      </c>
      <c r="Z76" s="257">
        <v>30</v>
      </c>
      <c r="AA76" s="257">
        <v>0</v>
      </c>
      <c r="AC76" s="258">
        <v>0</v>
      </c>
      <c r="AE76" s="258">
        <v>0</v>
      </c>
      <c r="AF76" s="258">
        <v>0</v>
      </c>
      <c r="AG76" s="258">
        <v>0</v>
      </c>
      <c r="AH76" s="258">
        <v>0</v>
      </c>
      <c r="AJ76" s="258">
        <v>9</v>
      </c>
      <c r="AQ76" s="258">
        <v>11</v>
      </c>
      <c r="AR76" s="258">
        <v>0</v>
      </c>
      <c r="AS76" s="258">
        <v>0</v>
      </c>
      <c r="AT76" s="258">
        <v>1</v>
      </c>
      <c r="AV76" s="258">
        <v>0</v>
      </c>
      <c r="AW76" s="296"/>
      <c r="AX76" s="258">
        <v>0</v>
      </c>
      <c r="AZ76" s="258">
        <v>0</v>
      </c>
      <c r="BB76" s="258">
        <v>0</v>
      </c>
      <c r="BC76" s="258">
        <v>0</v>
      </c>
      <c r="BD76" s="297" t="s">
        <v>597</v>
      </c>
      <c r="BF76" s="258">
        <v>0</v>
      </c>
      <c r="BG76" s="258">
        <v>22</v>
      </c>
      <c r="BO76" s="258">
        <v>1</v>
      </c>
      <c r="BP76" s="258">
        <v>0</v>
      </c>
      <c r="BW76" s="258">
        <v>0</v>
      </c>
      <c r="BX76" s="258">
        <v>0</v>
      </c>
      <c r="BY76" s="258">
        <v>4047</v>
      </c>
      <c r="BZ76" s="258">
        <v>2317</v>
      </c>
      <c r="CA76" s="258">
        <v>0</v>
      </c>
      <c r="CC76" s="325">
        <v>1176</v>
      </c>
      <c r="CD76" s="258">
        <v>0</v>
      </c>
      <c r="CJ76" s="258">
        <v>0</v>
      </c>
      <c r="CK76" s="258">
        <v>0</v>
      </c>
      <c r="CQ76" s="325">
        <v>208</v>
      </c>
      <c r="CR76" s="258">
        <v>9</v>
      </c>
      <c r="CS76" s="258">
        <v>3</v>
      </c>
      <c r="CT76" s="258">
        <v>101</v>
      </c>
      <c r="CU76" s="258">
        <v>0</v>
      </c>
      <c r="CV76" s="258">
        <v>0</v>
      </c>
      <c r="CW76" s="258">
        <v>0</v>
      </c>
      <c r="DE76" s="258">
        <v>208</v>
      </c>
      <c r="DF76" s="298">
        <v>0</v>
      </c>
      <c r="DG76" s="258" t="s">
        <v>210</v>
      </c>
      <c r="DH76" s="258">
        <v>1</v>
      </c>
      <c r="DI76" s="258">
        <v>4.3269230769230766</v>
      </c>
      <c r="DJ76" s="258">
        <v>0</v>
      </c>
      <c r="DK76" s="258">
        <v>0</v>
      </c>
      <c r="DL76" s="258">
        <v>0</v>
      </c>
      <c r="DM76" s="258">
        <v>0</v>
      </c>
      <c r="DN76" s="258">
        <v>0</v>
      </c>
      <c r="DO76" s="258">
        <v>0</v>
      </c>
      <c r="DP76" s="258">
        <v>0</v>
      </c>
      <c r="DQ76" s="258">
        <v>0</v>
      </c>
      <c r="DR76" s="258">
        <v>0</v>
      </c>
      <c r="DS76" s="258">
        <v>0</v>
      </c>
      <c r="DT76" s="258">
        <v>0</v>
      </c>
      <c r="DU76" s="258">
        <v>0</v>
      </c>
      <c r="DZ76" s="259">
        <v>21</v>
      </c>
      <c r="EA76" s="259">
        <v>178</v>
      </c>
      <c r="EB76" s="259">
        <v>1</v>
      </c>
      <c r="EC76" s="259">
        <v>13</v>
      </c>
      <c r="ED76" s="259">
        <v>2</v>
      </c>
      <c r="EE76" s="259">
        <v>0</v>
      </c>
      <c r="EF76" s="262">
        <v>4</v>
      </c>
      <c r="EG76" s="262">
        <v>14</v>
      </c>
      <c r="EH76" s="262">
        <v>0</v>
      </c>
      <c r="EI76" s="262">
        <v>17</v>
      </c>
    </row>
    <row r="77" spans="1:139">
      <c r="A77" s="295">
        <v>3504</v>
      </c>
      <c r="B77" s="258" t="s">
        <v>361</v>
      </c>
      <c r="C77" s="258">
        <v>38</v>
      </c>
      <c r="D77" s="258">
        <v>105</v>
      </c>
      <c r="E77" s="296">
        <v>0</v>
      </c>
      <c r="F77" s="258">
        <v>0</v>
      </c>
      <c r="G77" s="258">
        <v>22089.900289581055</v>
      </c>
      <c r="H77" s="258">
        <v>67.485611510791344</v>
      </c>
      <c r="I77" s="258">
        <v>0</v>
      </c>
      <c r="J77" s="258">
        <v>0</v>
      </c>
      <c r="K77" s="258">
        <v>160</v>
      </c>
      <c r="L77" s="258">
        <v>0</v>
      </c>
      <c r="M77" s="257">
        <v>60</v>
      </c>
      <c r="N77" s="257">
        <v>58</v>
      </c>
      <c r="O77" s="257">
        <v>49</v>
      </c>
      <c r="P77" s="257">
        <v>48</v>
      </c>
      <c r="Q77" s="257">
        <v>45</v>
      </c>
      <c r="R77" s="257">
        <v>45</v>
      </c>
      <c r="X77" s="257">
        <v>52</v>
      </c>
      <c r="Z77" s="257">
        <v>60</v>
      </c>
      <c r="AA77" s="257">
        <v>0</v>
      </c>
      <c r="AC77" s="258">
        <v>0</v>
      </c>
      <c r="AE77" s="258">
        <v>30</v>
      </c>
      <c r="AF77" s="258">
        <v>96.494736842105254</v>
      </c>
      <c r="AG77" s="258">
        <v>27501</v>
      </c>
      <c r="AH77" s="258">
        <v>9.3940464396284789</v>
      </c>
      <c r="AJ77" s="258">
        <v>38</v>
      </c>
      <c r="AQ77" s="258">
        <v>52</v>
      </c>
      <c r="AR77" s="258">
        <v>0</v>
      </c>
      <c r="AS77" s="258">
        <v>0</v>
      </c>
      <c r="AT77" s="258">
        <v>1</v>
      </c>
      <c r="AV77" s="258">
        <v>1</v>
      </c>
      <c r="AW77" s="296"/>
      <c r="AX77" s="258">
        <v>1</v>
      </c>
      <c r="AZ77" s="258">
        <v>0</v>
      </c>
      <c r="BB77" s="258">
        <v>0</v>
      </c>
      <c r="BC77" s="258">
        <v>0</v>
      </c>
      <c r="BD77" s="297" t="s">
        <v>597</v>
      </c>
      <c r="BF77" s="258">
        <v>0</v>
      </c>
      <c r="BG77" s="258">
        <v>73</v>
      </c>
      <c r="BO77" s="258">
        <v>0</v>
      </c>
      <c r="BP77" s="258">
        <v>0</v>
      </c>
      <c r="BW77" s="258">
        <v>0</v>
      </c>
      <c r="BX77" s="258">
        <v>1423.02</v>
      </c>
      <c r="BY77" s="258">
        <v>10401</v>
      </c>
      <c r="BZ77" s="258">
        <v>1809</v>
      </c>
      <c r="CA77" s="258">
        <v>0</v>
      </c>
      <c r="CC77" s="325">
        <v>1992</v>
      </c>
      <c r="CD77" s="258">
        <v>0</v>
      </c>
      <c r="CJ77" s="258">
        <v>0</v>
      </c>
      <c r="CK77" s="258">
        <v>0</v>
      </c>
      <c r="CQ77" s="325">
        <v>396.2</v>
      </c>
      <c r="CR77" s="258">
        <v>38</v>
      </c>
      <c r="CS77" s="258">
        <v>4.05</v>
      </c>
      <c r="CT77" s="258">
        <v>105</v>
      </c>
      <c r="CU77" s="258">
        <v>0</v>
      </c>
      <c r="CV77" s="258">
        <v>0</v>
      </c>
      <c r="CW77" s="258">
        <v>0</v>
      </c>
      <c r="DE77" s="258">
        <v>365</v>
      </c>
      <c r="DF77" s="298">
        <v>0</v>
      </c>
      <c r="DG77" s="258" t="s">
        <v>210</v>
      </c>
      <c r="DH77" s="258">
        <v>1</v>
      </c>
      <c r="DI77" s="258">
        <v>10.41095890410959</v>
      </c>
      <c r="DJ77" s="258">
        <v>10.263157894736842</v>
      </c>
      <c r="DK77" s="258">
        <v>11.368421052631579</v>
      </c>
      <c r="DL77" s="258">
        <v>8.3684210526315788</v>
      </c>
      <c r="DM77" s="258">
        <v>9945</v>
      </c>
      <c r="DN77" s="258">
        <v>9288</v>
      </c>
      <c r="DO77" s="258">
        <v>8268</v>
      </c>
      <c r="DP77" s="258">
        <v>34.89473684210526</v>
      </c>
      <c r="DQ77" s="258">
        <v>32.589473684210532</v>
      </c>
      <c r="DR77" s="258">
        <v>29.01052631578947</v>
      </c>
      <c r="DS77" s="258">
        <v>3.3971052631578935</v>
      </c>
      <c r="DT77" s="258">
        <v>3.1726811145510827</v>
      </c>
      <c r="DU77" s="258">
        <v>2.8242600619195031</v>
      </c>
      <c r="DZ77" s="259">
        <v>14</v>
      </c>
      <c r="EA77" s="259">
        <v>305</v>
      </c>
      <c r="EB77" s="259">
        <v>12</v>
      </c>
      <c r="EC77" s="259">
        <v>29</v>
      </c>
      <c r="ED77" s="259">
        <v>0</v>
      </c>
      <c r="EE77" s="259">
        <v>8</v>
      </c>
      <c r="EF77" s="262">
        <v>4</v>
      </c>
      <c r="EG77" s="262">
        <v>2</v>
      </c>
      <c r="EH77" s="262">
        <v>6</v>
      </c>
      <c r="EI77" s="262">
        <v>51</v>
      </c>
    </row>
    <row r="78" spans="1:139">
      <c r="A78" s="295">
        <v>3307</v>
      </c>
      <c r="B78" s="258" t="s">
        <v>606</v>
      </c>
      <c r="C78" s="258">
        <v>25</v>
      </c>
      <c r="D78" s="258">
        <v>78</v>
      </c>
      <c r="E78" s="296">
        <v>0</v>
      </c>
      <c r="F78" s="258">
        <v>0</v>
      </c>
      <c r="G78" s="258">
        <v>24790.555208905043</v>
      </c>
      <c r="H78" s="258">
        <v>47.905228215767572</v>
      </c>
      <c r="I78" s="258">
        <v>0</v>
      </c>
      <c r="J78" s="258">
        <v>0</v>
      </c>
      <c r="K78" s="258">
        <v>0</v>
      </c>
      <c r="L78" s="258">
        <v>0</v>
      </c>
      <c r="M78" s="257">
        <v>30</v>
      </c>
      <c r="N78" s="257">
        <v>30</v>
      </c>
      <c r="O78" s="257">
        <v>30</v>
      </c>
      <c r="P78" s="257">
        <v>30</v>
      </c>
      <c r="Q78" s="257">
        <v>30</v>
      </c>
      <c r="R78" s="257">
        <v>29</v>
      </c>
      <c r="X78" s="257">
        <v>32</v>
      </c>
      <c r="Z78" s="257">
        <v>30</v>
      </c>
      <c r="AA78" s="257">
        <v>0</v>
      </c>
      <c r="AC78" s="258">
        <v>0</v>
      </c>
      <c r="AE78" s="258">
        <v>28.105263157894736</v>
      </c>
      <c r="AF78" s="258">
        <v>0</v>
      </c>
      <c r="AG78" s="258">
        <v>18714</v>
      </c>
      <c r="AH78" s="258">
        <v>6.5769066213921903</v>
      </c>
      <c r="AJ78" s="258">
        <v>25</v>
      </c>
      <c r="AQ78" s="258">
        <v>29</v>
      </c>
      <c r="AR78" s="258">
        <v>0</v>
      </c>
      <c r="AS78" s="258">
        <v>0</v>
      </c>
      <c r="AT78" s="258">
        <v>1</v>
      </c>
      <c r="AV78" s="258">
        <v>1</v>
      </c>
      <c r="AW78" s="296"/>
      <c r="AX78" s="258">
        <v>0</v>
      </c>
      <c r="AZ78" s="258">
        <v>0</v>
      </c>
      <c r="BB78" s="258">
        <v>0</v>
      </c>
      <c r="BC78" s="258">
        <v>0</v>
      </c>
      <c r="BD78" s="297" t="s">
        <v>597</v>
      </c>
      <c r="BF78" s="258">
        <v>0</v>
      </c>
      <c r="BG78" s="258">
        <v>49</v>
      </c>
      <c r="BO78" s="258">
        <v>0</v>
      </c>
      <c r="BP78" s="258">
        <v>0</v>
      </c>
      <c r="BW78" s="258">
        <v>0</v>
      </c>
      <c r="BX78" s="258">
        <v>1264.9100000000001</v>
      </c>
      <c r="BY78" s="258">
        <v>7205</v>
      </c>
      <c r="BZ78" s="258">
        <v>2098</v>
      </c>
      <c r="CA78" s="258">
        <v>0</v>
      </c>
      <c r="CC78" s="325">
        <v>1602</v>
      </c>
      <c r="CD78" s="258">
        <v>1</v>
      </c>
      <c r="CJ78" s="258">
        <v>0</v>
      </c>
      <c r="CK78" s="258">
        <v>0</v>
      </c>
      <c r="CQ78" s="325">
        <v>228.2</v>
      </c>
      <c r="CR78" s="258">
        <v>25</v>
      </c>
      <c r="CS78" s="258">
        <v>0.90000000000000213</v>
      </c>
      <c r="CT78" s="258">
        <v>78</v>
      </c>
      <c r="CU78" s="258">
        <v>0</v>
      </c>
      <c r="CV78" s="258">
        <v>0</v>
      </c>
      <c r="CW78" s="258">
        <v>0</v>
      </c>
      <c r="DE78" s="258">
        <v>209</v>
      </c>
      <c r="DF78" s="298">
        <v>0</v>
      </c>
      <c r="DG78" s="258" t="s">
        <v>210</v>
      </c>
      <c r="DH78" s="258">
        <v>1</v>
      </c>
      <c r="DI78" s="258">
        <v>11.961722488038278</v>
      </c>
      <c r="DJ78" s="258">
        <v>10.263157894736842</v>
      </c>
      <c r="DK78" s="258">
        <v>9.473684210526315</v>
      </c>
      <c r="DL78" s="258">
        <v>8.3684210526315788</v>
      </c>
      <c r="DM78" s="258">
        <v>8385</v>
      </c>
      <c r="DN78" s="258">
        <v>5400</v>
      </c>
      <c r="DO78" s="258">
        <v>4929</v>
      </c>
      <c r="DP78" s="258">
        <v>0</v>
      </c>
      <c r="DQ78" s="258">
        <v>0</v>
      </c>
      <c r="DR78" s="258">
        <v>0</v>
      </c>
      <c r="DS78" s="258">
        <v>2.9468505942275041</v>
      </c>
      <c r="DT78" s="258">
        <v>1.8977928692699488</v>
      </c>
      <c r="DU78" s="258">
        <v>1.7322631578947367</v>
      </c>
      <c r="DZ78" s="259">
        <v>7</v>
      </c>
      <c r="EA78" s="259">
        <v>179</v>
      </c>
      <c r="EB78" s="259">
        <v>2</v>
      </c>
      <c r="EC78" s="259">
        <v>24</v>
      </c>
      <c r="ED78" s="259">
        <v>3</v>
      </c>
      <c r="EE78" s="259">
        <v>10</v>
      </c>
      <c r="EF78" s="262">
        <v>2</v>
      </c>
      <c r="EG78" s="262">
        <v>1</v>
      </c>
      <c r="EH78" s="262">
        <v>12</v>
      </c>
      <c r="EI78" s="262">
        <v>24</v>
      </c>
    </row>
    <row r="79" spans="1:139">
      <c r="A79" s="295">
        <v>3309</v>
      </c>
      <c r="B79" s="258" t="s">
        <v>607</v>
      </c>
      <c r="C79" s="258">
        <v>21</v>
      </c>
      <c r="D79" s="258">
        <v>116</v>
      </c>
      <c r="E79" s="296">
        <v>0</v>
      </c>
      <c r="F79" s="258">
        <v>0</v>
      </c>
      <c r="G79" s="258">
        <v>21522.239805752728</v>
      </c>
      <c r="H79" s="258">
        <v>37.79344398340244</v>
      </c>
      <c r="I79" s="258">
        <v>0</v>
      </c>
      <c r="J79" s="258">
        <v>0</v>
      </c>
      <c r="K79" s="258">
        <v>170</v>
      </c>
      <c r="L79" s="258">
        <v>0</v>
      </c>
      <c r="M79" s="257">
        <v>30</v>
      </c>
      <c r="N79" s="257">
        <v>30</v>
      </c>
      <c r="O79" s="257">
        <v>29</v>
      </c>
      <c r="P79" s="257">
        <v>30</v>
      </c>
      <c r="Q79" s="257">
        <v>30</v>
      </c>
      <c r="R79" s="257">
        <v>30</v>
      </c>
      <c r="X79" s="257">
        <v>32</v>
      </c>
      <c r="Z79" s="257">
        <v>30</v>
      </c>
      <c r="AA79" s="257">
        <v>0</v>
      </c>
      <c r="AC79" s="258">
        <v>0</v>
      </c>
      <c r="AE79" s="258">
        <v>28.105263157894736</v>
      </c>
      <c r="AF79" s="258">
        <v>66.221052631578942</v>
      </c>
      <c r="AG79" s="258">
        <v>18873</v>
      </c>
      <c r="AH79" s="258">
        <v>5.8046891447368418</v>
      </c>
      <c r="AJ79" s="258">
        <v>21</v>
      </c>
      <c r="AQ79" s="258">
        <v>39</v>
      </c>
      <c r="AR79" s="258">
        <v>0</v>
      </c>
      <c r="AS79" s="258">
        <v>4</v>
      </c>
      <c r="AT79" s="258">
        <v>1</v>
      </c>
      <c r="AV79" s="258">
        <v>2</v>
      </c>
      <c r="AW79" s="296"/>
      <c r="AX79" s="258">
        <v>0</v>
      </c>
      <c r="AZ79" s="258">
        <v>0</v>
      </c>
      <c r="BB79" s="258">
        <v>0</v>
      </c>
      <c r="BC79" s="258">
        <v>0</v>
      </c>
      <c r="BD79" s="297" t="s">
        <v>597</v>
      </c>
      <c r="BF79" s="258">
        <v>0</v>
      </c>
      <c r="BG79" s="258">
        <v>22</v>
      </c>
      <c r="BO79" s="258">
        <v>0</v>
      </c>
      <c r="BP79" s="258">
        <v>0</v>
      </c>
      <c r="BW79" s="258">
        <v>0</v>
      </c>
      <c r="BX79" s="258">
        <v>1423.02</v>
      </c>
      <c r="BY79" s="258">
        <v>9329</v>
      </c>
      <c r="BZ79" s="258">
        <v>2144</v>
      </c>
      <c r="CA79" s="258">
        <v>0</v>
      </c>
      <c r="CC79" s="325">
        <v>1246</v>
      </c>
      <c r="CD79" s="258">
        <v>0</v>
      </c>
      <c r="CJ79" s="258">
        <v>0</v>
      </c>
      <c r="CK79" s="258">
        <v>0</v>
      </c>
      <c r="CQ79" s="325">
        <v>228.2</v>
      </c>
      <c r="CR79" s="258">
        <v>21</v>
      </c>
      <c r="CS79" s="258">
        <v>3.9</v>
      </c>
      <c r="CT79" s="258">
        <v>116</v>
      </c>
      <c r="CU79" s="258">
        <v>0</v>
      </c>
      <c r="CV79" s="258">
        <v>0</v>
      </c>
      <c r="CW79" s="258">
        <v>0</v>
      </c>
      <c r="DE79" s="258">
        <v>209</v>
      </c>
      <c r="DF79" s="298">
        <v>0</v>
      </c>
      <c r="DG79" s="258" t="s">
        <v>210</v>
      </c>
      <c r="DH79" s="258">
        <v>1</v>
      </c>
      <c r="DI79" s="258">
        <v>10.047846889952153</v>
      </c>
      <c r="DJ79" s="258">
        <v>10.263157894736842</v>
      </c>
      <c r="DK79" s="258">
        <v>9.473684210526315</v>
      </c>
      <c r="DL79" s="258">
        <v>8.3684210526315788</v>
      </c>
      <c r="DM79" s="258">
        <v>8385</v>
      </c>
      <c r="DN79" s="258">
        <v>5400</v>
      </c>
      <c r="DO79" s="258">
        <v>5088</v>
      </c>
      <c r="DP79" s="258">
        <v>29.421052631578949</v>
      </c>
      <c r="DQ79" s="258">
        <v>18.94736842105263</v>
      </c>
      <c r="DR79" s="258">
        <v>17.852631578947367</v>
      </c>
      <c r="DS79" s="258">
        <v>2.5789391447368422</v>
      </c>
      <c r="DT79" s="258">
        <v>1.6608552631578948</v>
      </c>
      <c r="DU79" s="258">
        <v>1.5648947368421053</v>
      </c>
      <c r="DZ79" s="259">
        <v>14</v>
      </c>
      <c r="EA79" s="259">
        <v>179</v>
      </c>
      <c r="EB79" s="259">
        <v>1</v>
      </c>
      <c r="EC79" s="259">
        <v>10</v>
      </c>
      <c r="ED79" s="259">
        <v>1</v>
      </c>
      <c r="EE79" s="259">
        <v>6</v>
      </c>
      <c r="EF79" s="262">
        <v>6</v>
      </c>
      <c r="EG79" s="262">
        <v>10</v>
      </c>
      <c r="EH79" s="262">
        <v>2</v>
      </c>
      <c r="EI79" s="262">
        <v>28</v>
      </c>
    </row>
    <row r="80" spans="1:139">
      <c r="A80" s="295">
        <v>3508</v>
      </c>
      <c r="B80" s="258" t="s">
        <v>362</v>
      </c>
      <c r="C80" s="258">
        <v>22</v>
      </c>
      <c r="D80" s="258">
        <v>162</v>
      </c>
      <c r="E80" s="296">
        <v>0</v>
      </c>
      <c r="F80" s="258">
        <v>0</v>
      </c>
      <c r="G80" s="258">
        <v>26604.075760055097</v>
      </c>
      <c r="H80" s="258">
        <v>44.220782608695686</v>
      </c>
      <c r="I80" s="258">
        <v>0</v>
      </c>
      <c r="J80" s="258">
        <v>0</v>
      </c>
      <c r="K80" s="258">
        <v>40</v>
      </c>
      <c r="L80" s="258">
        <v>0</v>
      </c>
      <c r="M80" s="257">
        <v>60</v>
      </c>
      <c r="N80" s="257">
        <v>60</v>
      </c>
      <c r="O80" s="257">
        <v>0</v>
      </c>
      <c r="P80" s="257">
        <v>0</v>
      </c>
      <c r="Q80" s="257">
        <v>0</v>
      </c>
      <c r="R80" s="257">
        <v>0</v>
      </c>
      <c r="X80" s="257">
        <v>51</v>
      </c>
      <c r="Z80" s="257">
        <v>59</v>
      </c>
      <c r="AA80" s="257">
        <v>0</v>
      </c>
      <c r="AC80" s="258">
        <v>0</v>
      </c>
      <c r="AE80" s="258">
        <v>30</v>
      </c>
      <c r="AF80" s="258">
        <v>100.48421052631579</v>
      </c>
      <c r="AG80" s="258">
        <v>28638</v>
      </c>
      <c r="AH80" s="258">
        <v>11.585238390092885</v>
      </c>
      <c r="AJ80" s="258">
        <v>22</v>
      </c>
      <c r="AQ80" s="258">
        <v>31</v>
      </c>
      <c r="AR80" s="258">
        <v>0</v>
      </c>
      <c r="AS80" s="258">
        <v>0</v>
      </c>
      <c r="AT80" s="258">
        <v>1</v>
      </c>
      <c r="AV80" s="258">
        <v>1</v>
      </c>
      <c r="AW80" s="296"/>
      <c r="AX80" s="258">
        <v>0</v>
      </c>
      <c r="AZ80" s="258">
        <v>0</v>
      </c>
      <c r="BB80" s="258">
        <v>0</v>
      </c>
      <c r="BC80" s="258">
        <v>0</v>
      </c>
      <c r="BD80" s="297" t="s">
        <v>597</v>
      </c>
      <c r="BF80" s="258">
        <v>0</v>
      </c>
      <c r="BG80" s="258">
        <v>71</v>
      </c>
      <c r="BO80" s="258">
        <v>0</v>
      </c>
      <c r="BP80" s="258">
        <v>0</v>
      </c>
      <c r="BW80" s="258">
        <v>0</v>
      </c>
      <c r="BX80" s="258">
        <v>0</v>
      </c>
      <c r="BY80" s="258">
        <v>10023</v>
      </c>
      <c r="BZ80" s="258">
        <v>4394</v>
      </c>
      <c r="CA80" s="258">
        <v>0</v>
      </c>
      <c r="CC80" s="325">
        <v>1731.5</v>
      </c>
      <c r="CD80" s="258">
        <v>0</v>
      </c>
      <c r="CJ80" s="258">
        <v>0</v>
      </c>
      <c r="CK80" s="258">
        <v>0</v>
      </c>
      <c r="CQ80" s="325">
        <v>209.6</v>
      </c>
      <c r="CR80" s="258">
        <v>22</v>
      </c>
      <c r="CS80" s="258">
        <v>13</v>
      </c>
      <c r="CT80" s="258">
        <v>162</v>
      </c>
      <c r="CU80" s="258">
        <v>0</v>
      </c>
      <c r="CV80" s="258">
        <v>0</v>
      </c>
      <c r="CW80" s="258">
        <v>0</v>
      </c>
      <c r="DE80" s="258">
        <v>179</v>
      </c>
      <c r="DF80" s="298">
        <v>0</v>
      </c>
      <c r="DG80" s="258" t="s">
        <v>280</v>
      </c>
      <c r="DH80" s="258">
        <v>1</v>
      </c>
      <c r="DI80" s="258">
        <v>12.290502793296088</v>
      </c>
      <c r="DJ80" s="258">
        <v>10.263157894736842</v>
      </c>
      <c r="DK80" s="258">
        <v>11.368421052631579</v>
      </c>
      <c r="DL80" s="258">
        <v>8.3684210526315788</v>
      </c>
      <c r="DM80" s="258">
        <v>9945</v>
      </c>
      <c r="DN80" s="258">
        <v>10584</v>
      </c>
      <c r="DO80" s="258">
        <v>8109</v>
      </c>
      <c r="DP80" s="258">
        <v>34.89473684210526</v>
      </c>
      <c r="DQ80" s="258">
        <v>37.136842105263156</v>
      </c>
      <c r="DR80" s="258">
        <v>28.452631578947368</v>
      </c>
      <c r="DS80" s="258">
        <v>4.023157894736844</v>
      </c>
      <c r="DT80" s="258">
        <v>4.2816594427244601</v>
      </c>
      <c r="DU80" s="258">
        <v>3.28042105263158</v>
      </c>
      <c r="DZ80" s="259">
        <v>6</v>
      </c>
      <c r="EA80" s="259">
        <v>120</v>
      </c>
      <c r="EB80" s="259">
        <v>10</v>
      </c>
      <c r="EC80" s="259">
        <v>27</v>
      </c>
      <c r="ED80" s="259">
        <v>1</v>
      </c>
      <c r="EE80" s="259">
        <v>11</v>
      </c>
      <c r="EF80" s="262">
        <v>0</v>
      </c>
      <c r="EG80" s="262">
        <v>10</v>
      </c>
      <c r="EH80" s="262">
        <v>8</v>
      </c>
      <c r="EI80" s="262">
        <v>98</v>
      </c>
    </row>
    <row r="81" spans="1:139">
      <c r="A81" s="295">
        <v>3509</v>
      </c>
      <c r="B81" s="258" t="s">
        <v>363</v>
      </c>
      <c r="C81" s="258">
        <v>27</v>
      </c>
      <c r="D81" s="258">
        <v>56</v>
      </c>
      <c r="E81" s="296">
        <v>0</v>
      </c>
      <c r="F81" s="258">
        <v>0</v>
      </c>
      <c r="G81" s="258">
        <v>46.813703703703702</v>
      </c>
      <c r="H81" s="258">
        <v>66.650000000000091</v>
      </c>
      <c r="I81" s="258">
        <v>0</v>
      </c>
      <c r="J81" s="258">
        <v>0</v>
      </c>
      <c r="K81" s="258">
        <v>145</v>
      </c>
      <c r="L81" s="258">
        <v>0</v>
      </c>
      <c r="M81" s="257">
        <v>0</v>
      </c>
      <c r="N81" s="257">
        <v>0</v>
      </c>
      <c r="O81" s="257">
        <v>62</v>
      </c>
      <c r="P81" s="257">
        <v>62</v>
      </c>
      <c r="Q81" s="257">
        <v>62</v>
      </c>
      <c r="R81" s="257">
        <v>61</v>
      </c>
      <c r="X81" s="257">
        <v>0</v>
      </c>
      <c r="Z81" s="257">
        <v>0</v>
      </c>
      <c r="AA81" s="257">
        <v>0</v>
      </c>
      <c r="AC81" s="258">
        <v>0</v>
      </c>
      <c r="AE81" s="258">
        <v>0</v>
      </c>
      <c r="AF81" s="258">
        <v>0</v>
      </c>
      <c r="AG81" s="258">
        <v>0</v>
      </c>
      <c r="AH81" s="258">
        <v>0</v>
      </c>
      <c r="AJ81" s="258">
        <v>27</v>
      </c>
      <c r="AQ81" s="258">
        <v>46</v>
      </c>
      <c r="AR81" s="258">
        <v>0</v>
      </c>
      <c r="AS81" s="258">
        <v>0</v>
      </c>
      <c r="AT81" s="258">
        <v>1</v>
      </c>
      <c r="AV81" s="258">
        <v>2</v>
      </c>
      <c r="AW81" s="296"/>
      <c r="AX81" s="258">
        <v>0</v>
      </c>
      <c r="AZ81" s="258">
        <v>0</v>
      </c>
      <c r="BB81" s="258">
        <v>0</v>
      </c>
      <c r="BC81" s="258">
        <v>0</v>
      </c>
      <c r="BD81" s="297" t="s">
        <v>597</v>
      </c>
      <c r="BF81" s="258">
        <v>0</v>
      </c>
      <c r="BG81" s="258">
        <v>105</v>
      </c>
      <c r="BO81" s="258">
        <v>0</v>
      </c>
      <c r="BP81" s="258">
        <v>0</v>
      </c>
      <c r="BW81" s="258">
        <v>0</v>
      </c>
      <c r="BX81" s="258">
        <v>0</v>
      </c>
      <c r="BY81" s="258">
        <v>13369</v>
      </c>
      <c r="BZ81" s="258">
        <v>4301</v>
      </c>
      <c r="CA81" s="258">
        <v>0</v>
      </c>
      <c r="CC81" s="325">
        <v>1787</v>
      </c>
      <c r="CD81" s="258">
        <v>0</v>
      </c>
      <c r="CJ81" s="258">
        <v>0</v>
      </c>
      <c r="CK81" s="258">
        <v>0</v>
      </c>
      <c r="CQ81" s="325">
        <v>247</v>
      </c>
      <c r="CR81" s="258">
        <v>27</v>
      </c>
      <c r="CS81" s="258">
        <v>1.24</v>
      </c>
      <c r="CT81" s="258">
        <v>56</v>
      </c>
      <c r="CU81" s="258">
        <v>0</v>
      </c>
      <c r="CV81" s="258">
        <v>0</v>
      </c>
      <c r="CW81" s="258">
        <v>0</v>
      </c>
      <c r="DE81" s="258">
        <v>247</v>
      </c>
      <c r="DF81" s="298">
        <v>0</v>
      </c>
      <c r="DG81" s="258" t="s">
        <v>279</v>
      </c>
      <c r="DH81" s="258">
        <v>1</v>
      </c>
      <c r="DI81" s="258">
        <v>10.931174089068826</v>
      </c>
      <c r="DJ81" s="258">
        <v>0</v>
      </c>
      <c r="DK81" s="258">
        <v>0</v>
      </c>
      <c r="DL81" s="258">
        <v>0</v>
      </c>
      <c r="DM81" s="258">
        <v>0</v>
      </c>
      <c r="DN81" s="258">
        <v>0</v>
      </c>
      <c r="DO81" s="258">
        <v>0</v>
      </c>
      <c r="DP81" s="258">
        <v>0</v>
      </c>
      <c r="DQ81" s="258">
        <v>0</v>
      </c>
      <c r="DR81" s="258">
        <v>0</v>
      </c>
      <c r="DS81" s="258">
        <v>0</v>
      </c>
      <c r="DT81" s="258">
        <v>0</v>
      </c>
      <c r="DU81" s="258">
        <v>0</v>
      </c>
      <c r="DZ81" s="259">
        <v>11</v>
      </c>
      <c r="EA81" s="259">
        <v>247</v>
      </c>
      <c r="EB81" s="259">
        <v>14</v>
      </c>
      <c r="EC81" s="259">
        <v>46</v>
      </c>
      <c r="ED81" s="259">
        <v>1</v>
      </c>
      <c r="EE81" s="259">
        <v>14</v>
      </c>
      <c r="EF81" s="262">
        <v>0</v>
      </c>
      <c r="EG81" s="262">
        <v>14</v>
      </c>
      <c r="EH81" s="262">
        <v>0</v>
      </c>
      <c r="EI81" s="262">
        <v>0</v>
      </c>
    </row>
    <row r="82" spans="1:139">
      <c r="A82" s="295">
        <v>3521</v>
      </c>
      <c r="B82" s="258" t="s">
        <v>364</v>
      </c>
      <c r="C82" s="258">
        <v>68</v>
      </c>
      <c r="D82" s="258">
        <v>305</v>
      </c>
      <c r="E82" s="296">
        <v>0</v>
      </c>
      <c r="F82" s="258">
        <v>0</v>
      </c>
      <c r="G82" s="258">
        <v>36543.690044882227</v>
      </c>
      <c r="H82" s="258">
        <v>111.34806521739134</v>
      </c>
      <c r="I82" s="258">
        <v>0</v>
      </c>
      <c r="J82" s="258">
        <v>0</v>
      </c>
      <c r="K82" s="258">
        <v>196.66666666666663</v>
      </c>
      <c r="L82" s="258">
        <v>0</v>
      </c>
      <c r="M82" s="257">
        <v>60</v>
      </c>
      <c r="N82" s="257">
        <v>60</v>
      </c>
      <c r="O82" s="257">
        <v>60</v>
      </c>
      <c r="P82" s="257">
        <v>59</v>
      </c>
      <c r="Q82" s="257">
        <v>60</v>
      </c>
      <c r="R82" s="257">
        <v>58</v>
      </c>
      <c r="X82" s="257">
        <v>43</v>
      </c>
      <c r="Z82" s="257">
        <v>60</v>
      </c>
      <c r="AA82" s="257">
        <v>0</v>
      </c>
      <c r="AC82" s="258">
        <v>0</v>
      </c>
      <c r="AE82" s="258">
        <v>30</v>
      </c>
      <c r="AF82" s="258">
        <v>89.126315789473679</v>
      </c>
      <c r="AG82" s="258">
        <v>25401</v>
      </c>
      <c r="AH82" s="258">
        <v>11.389514075887398</v>
      </c>
      <c r="AJ82" s="258">
        <v>68</v>
      </c>
      <c r="AQ82" s="258">
        <v>100</v>
      </c>
      <c r="AR82" s="258">
        <v>0</v>
      </c>
      <c r="AS82" s="258">
        <v>0</v>
      </c>
      <c r="AT82" s="258">
        <v>1</v>
      </c>
      <c r="AV82" s="258">
        <v>0</v>
      </c>
      <c r="AW82" s="296"/>
      <c r="AX82" s="258">
        <v>0</v>
      </c>
      <c r="AZ82" s="258">
        <v>1</v>
      </c>
      <c r="BB82" s="258">
        <v>0</v>
      </c>
      <c r="BC82" s="258">
        <v>0</v>
      </c>
      <c r="BD82" s="297" t="s">
        <v>597</v>
      </c>
      <c r="BF82" s="258">
        <v>0</v>
      </c>
      <c r="BG82" s="258">
        <v>165</v>
      </c>
      <c r="BO82" s="258">
        <v>0</v>
      </c>
      <c r="BP82" s="258">
        <v>0</v>
      </c>
      <c r="BW82" s="258">
        <v>0</v>
      </c>
      <c r="BX82" s="258">
        <v>1423.02</v>
      </c>
      <c r="BY82" s="258">
        <v>21233</v>
      </c>
      <c r="BZ82" s="258">
        <v>2216</v>
      </c>
      <c r="CA82" s="258">
        <v>0</v>
      </c>
      <c r="CC82" s="325">
        <v>2190</v>
      </c>
      <c r="CD82" s="258">
        <v>0</v>
      </c>
      <c r="CJ82" s="258">
        <v>0</v>
      </c>
      <c r="CK82" s="258">
        <v>0</v>
      </c>
      <c r="CQ82" s="325">
        <v>442.8</v>
      </c>
      <c r="CR82" s="258">
        <v>68</v>
      </c>
      <c r="CS82" s="258">
        <v>12.18</v>
      </c>
      <c r="CT82" s="258">
        <v>305</v>
      </c>
      <c r="CU82" s="258">
        <v>0</v>
      </c>
      <c r="CV82" s="258">
        <v>0</v>
      </c>
      <c r="CW82" s="258">
        <v>0</v>
      </c>
      <c r="DE82" s="258">
        <v>417</v>
      </c>
      <c r="DF82" s="298">
        <v>0</v>
      </c>
      <c r="DG82" s="258" t="s">
        <v>210</v>
      </c>
      <c r="DH82" s="258">
        <v>1</v>
      </c>
      <c r="DI82" s="258">
        <v>16.306954436450841</v>
      </c>
      <c r="DJ82" s="258">
        <v>10.263157894736842</v>
      </c>
      <c r="DK82" s="258">
        <v>11.368421052631579</v>
      </c>
      <c r="DL82" s="258">
        <v>8.3684210526315788</v>
      </c>
      <c r="DM82" s="258">
        <v>10140</v>
      </c>
      <c r="DN82" s="258">
        <v>8424</v>
      </c>
      <c r="DO82" s="258">
        <v>6837</v>
      </c>
      <c r="DP82" s="258">
        <v>35.578947368421055</v>
      </c>
      <c r="DQ82" s="258">
        <v>29.557894736842105</v>
      </c>
      <c r="DR82" s="258">
        <v>23.989473684210527</v>
      </c>
      <c r="DS82" s="258">
        <v>4.5466585067319478</v>
      </c>
      <c r="DT82" s="258">
        <v>3.7772239902080798</v>
      </c>
      <c r="DU82" s="258">
        <v>3.0656315789473694</v>
      </c>
      <c r="DZ82" s="259">
        <v>28</v>
      </c>
      <c r="EA82" s="259">
        <v>357</v>
      </c>
      <c r="EB82" s="259">
        <v>20</v>
      </c>
      <c r="EC82" s="259">
        <v>87</v>
      </c>
      <c r="ED82" s="259">
        <v>2</v>
      </c>
      <c r="EE82" s="259">
        <v>12</v>
      </c>
      <c r="EF82" s="262">
        <v>2</v>
      </c>
      <c r="EG82" s="262">
        <v>36</v>
      </c>
      <c r="EH82" s="262">
        <v>16</v>
      </c>
      <c r="EI82" s="262">
        <v>99</v>
      </c>
    </row>
    <row r="83" spans="1:139">
      <c r="A83" s="295">
        <v>3311</v>
      </c>
      <c r="B83" s="258" t="s">
        <v>608</v>
      </c>
      <c r="C83" s="258">
        <v>20</v>
      </c>
      <c r="D83" s="258">
        <v>286</v>
      </c>
      <c r="E83" s="296">
        <v>0</v>
      </c>
      <c r="F83" s="258">
        <v>0</v>
      </c>
      <c r="G83" s="258">
        <v>27449.429992748279</v>
      </c>
      <c r="H83" s="258">
        <v>72.782822085889492</v>
      </c>
      <c r="I83" s="258">
        <v>0</v>
      </c>
      <c r="J83" s="258">
        <v>0</v>
      </c>
      <c r="K83" s="258">
        <v>75</v>
      </c>
      <c r="L83" s="258">
        <v>0</v>
      </c>
      <c r="M83" s="257">
        <v>60</v>
      </c>
      <c r="N83" s="257">
        <v>60</v>
      </c>
      <c r="O83" s="257">
        <v>60</v>
      </c>
      <c r="P83" s="257">
        <v>60</v>
      </c>
      <c r="Q83" s="257">
        <v>60</v>
      </c>
      <c r="R83" s="257">
        <v>60</v>
      </c>
      <c r="X83" s="257">
        <v>69</v>
      </c>
      <c r="Z83" s="257">
        <v>60</v>
      </c>
      <c r="AA83" s="257">
        <v>0</v>
      </c>
      <c r="AC83" s="258">
        <v>0</v>
      </c>
      <c r="AE83" s="258">
        <v>30</v>
      </c>
      <c r="AF83" s="258">
        <v>135.82105263157894</v>
      </c>
      <c r="AG83" s="258">
        <v>38709</v>
      </c>
      <c r="AH83" s="258">
        <v>11.844394736842105</v>
      </c>
      <c r="AJ83" s="258">
        <v>20</v>
      </c>
      <c r="AQ83" s="258">
        <v>33</v>
      </c>
      <c r="AR83" s="258">
        <v>0</v>
      </c>
      <c r="AS83" s="258">
        <v>0</v>
      </c>
      <c r="AT83" s="258">
        <v>1</v>
      </c>
      <c r="AV83" s="258">
        <v>1</v>
      </c>
      <c r="AW83" s="296"/>
      <c r="AX83" s="258">
        <v>0</v>
      </c>
      <c r="AZ83" s="258">
        <v>0</v>
      </c>
      <c r="BB83" s="258">
        <v>0</v>
      </c>
      <c r="BC83" s="258">
        <v>0</v>
      </c>
      <c r="BD83" s="297" t="s">
        <v>597</v>
      </c>
      <c r="BF83" s="258">
        <v>0</v>
      </c>
      <c r="BG83" s="258">
        <v>40</v>
      </c>
      <c r="BO83" s="258">
        <v>0</v>
      </c>
      <c r="BP83" s="258">
        <v>0</v>
      </c>
      <c r="BW83" s="258">
        <v>0</v>
      </c>
      <c r="BX83" s="258">
        <v>1739.25</v>
      </c>
      <c r="BY83" s="258">
        <v>8992</v>
      </c>
      <c r="BZ83" s="258">
        <v>1616</v>
      </c>
      <c r="CA83" s="258">
        <v>0</v>
      </c>
      <c r="CC83" s="325">
        <v>2233.86</v>
      </c>
      <c r="CD83" s="258">
        <v>0</v>
      </c>
      <c r="CJ83" s="258">
        <v>0</v>
      </c>
      <c r="CK83" s="258">
        <v>0</v>
      </c>
      <c r="CQ83" s="325">
        <v>461.4</v>
      </c>
      <c r="CR83" s="258">
        <v>20</v>
      </c>
      <c r="CS83" s="258">
        <v>7.84</v>
      </c>
      <c r="CT83" s="258">
        <v>286</v>
      </c>
      <c r="CU83" s="258">
        <v>0</v>
      </c>
      <c r="CV83" s="258">
        <v>0</v>
      </c>
      <c r="CW83" s="258">
        <v>0</v>
      </c>
      <c r="DE83" s="258">
        <v>420</v>
      </c>
      <c r="DF83" s="298">
        <v>0</v>
      </c>
      <c r="DG83" s="258" t="s">
        <v>210</v>
      </c>
      <c r="DH83" s="258">
        <v>1</v>
      </c>
      <c r="DI83" s="258">
        <v>4.7619047619047619</v>
      </c>
      <c r="DJ83" s="258">
        <v>10.263157894736842</v>
      </c>
      <c r="DK83" s="258">
        <v>11.368421052631579</v>
      </c>
      <c r="DL83" s="258">
        <v>8.3684210526315788</v>
      </c>
      <c r="DM83" s="258">
        <v>15210</v>
      </c>
      <c r="DN83" s="258">
        <v>12528</v>
      </c>
      <c r="DO83" s="258">
        <v>10971</v>
      </c>
      <c r="DP83" s="258">
        <v>53.368421052631582</v>
      </c>
      <c r="DQ83" s="258">
        <v>43.957894736842107</v>
      </c>
      <c r="DR83" s="258">
        <v>38.494736842105262</v>
      </c>
      <c r="DS83" s="258">
        <v>4.6540402476780187</v>
      </c>
      <c r="DT83" s="258">
        <v>3.8333869969040242</v>
      </c>
      <c r="DU83" s="258">
        <v>3.3569674922600616</v>
      </c>
      <c r="DZ83" s="259">
        <v>35</v>
      </c>
      <c r="EA83" s="259">
        <v>360</v>
      </c>
      <c r="EB83" s="259">
        <v>3</v>
      </c>
      <c r="EC83" s="259">
        <v>17</v>
      </c>
      <c r="ED83" s="259">
        <v>1</v>
      </c>
      <c r="EE83" s="259">
        <v>11</v>
      </c>
      <c r="EF83" s="262">
        <v>4</v>
      </c>
      <c r="EG83" s="262">
        <v>46</v>
      </c>
      <c r="EH83" s="262">
        <v>4</v>
      </c>
      <c r="EI83" s="262">
        <v>62</v>
      </c>
    </row>
    <row r="84" spans="1:139">
      <c r="A84" s="295">
        <v>3312</v>
      </c>
      <c r="B84" s="258" t="s">
        <v>365</v>
      </c>
      <c r="C84" s="258">
        <v>19</v>
      </c>
      <c r="D84" s="258">
        <v>58</v>
      </c>
      <c r="E84" s="296">
        <v>0</v>
      </c>
      <c r="F84" s="258">
        <v>0</v>
      </c>
      <c r="G84" s="258">
        <v>18909.757797547878</v>
      </c>
      <c r="H84" s="258">
        <v>35.56</v>
      </c>
      <c r="I84" s="258">
        <v>0</v>
      </c>
      <c r="J84" s="258">
        <v>0</v>
      </c>
      <c r="K84" s="258">
        <v>175</v>
      </c>
      <c r="L84" s="258">
        <v>0</v>
      </c>
      <c r="M84" s="257">
        <v>28</v>
      </c>
      <c r="N84" s="257">
        <v>30</v>
      </c>
      <c r="O84" s="257">
        <v>31</v>
      </c>
      <c r="P84" s="257">
        <v>30</v>
      </c>
      <c r="Q84" s="257">
        <v>30</v>
      </c>
      <c r="R84" s="257">
        <v>29</v>
      </c>
      <c r="X84" s="257">
        <v>0</v>
      </c>
      <c r="Z84" s="257">
        <v>30</v>
      </c>
      <c r="AA84" s="257">
        <v>0</v>
      </c>
      <c r="AC84" s="258">
        <v>0</v>
      </c>
      <c r="AE84" s="258">
        <v>0</v>
      </c>
      <c r="AF84" s="258">
        <v>0</v>
      </c>
      <c r="AG84" s="258">
        <v>0</v>
      </c>
      <c r="AH84" s="258">
        <v>0</v>
      </c>
      <c r="AJ84" s="258">
        <v>19</v>
      </c>
      <c r="AQ84" s="258">
        <v>30</v>
      </c>
      <c r="AR84" s="258">
        <v>0</v>
      </c>
      <c r="AS84" s="258">
        <v>1</v>
      </c>
      <c r="AT84" s="258">
        <v>1</v>
      </c>
      <c r="AV84" s="258">
        <v>1</v>
      </c>
      <c r="AW84" s="296"/>
      <c r="AX84" s="258">
        <v>0</v>
      </c>
      <c r="AZ84" s="258">
        <v>0</v>
      </c>
      <c r="BB84" s="258">
        <v>0</v>
      </c>
      <c r="BC84" s="258">
        <v>0</v>
      </c>
      <c r="BD84" s="297" t="s">
        <v>597</v>
      </c>
      <c r="BF84" s="258">
        <v>0</v>
      </c>
      <c r="BG84" s="258">
        <v>18</v>
      </c>
      <c r="BO84" s="258">
        <v>0</v>
      </c>
      <c r="BP84" s="258">
        <v>0</v>
      </c>
      <c r="BW84" s="258">
        <v>0</v>
      </c>
      <c r="BX84" s="258">
        <v>0</v>
      </c>
      <c r="BY84" s="258">
        <v>4655</v>
      </c>
      <c r="BZ84" s="258">
        <v>2039</v>
      </c>
      <c r="CA84" s="258">
        <v>0</v>
      </c>
      <c r="CC84" s="325">
        <v>1355</v>
      </c>
      <c r="CD84" s="258">
        <v>0</v>
      </c>
      <c r="CJ84" s="258">
        <v>0</v>
      </c>
      <c r="CK84" s="258">
        <v>0</v>
      </c>
      <c r="CQ84" s="325">
        <v>208</v>
      </c>
      <c r="CR84" s="258">
        <v>19</v>
      </c>
      <c r="CS84" s="258">
        <v>0</v>
      </c>
      <c r="CT84" s="258">
        <v>58</v>
      </c>
      <c r="CU84" s="258">
        <v>0</v>
      </c>
      <c r="CV84" s="258">
        <v>0</v>
      </c>
      <c r="CW84" s="258">
        <v>0</v>
      </c>
      <c r="DE84" s="258">
        <v>208</v>
      </c>
      <c r="DF84" s="298">
        <v>0</v>
      </c>
      <c r="DG84" s="258" t="s">
        <v>210</v>
      </c>
      <c r="DH84" s="258">
        <v>1</v>
      </c>
      <c r="DI84" s="258">
        <v>9.1346153846153832</v>
      </c>
      <c r="DJ84" s="258">
        <v>0</v>
      </c>
      <c r="DK84" s="258">
        <v>0</v>
      </c>
      <c r="DL84" s="258">
        <v>0</v>
      </c>
      <c r="DM84" s="258">
        <v>0</v>
      </c>
      <c r="DN84" s="258">
        <v>0</v>
      </c>
      <c r="DO84" s="258">
        <v>0</v>
      </c>
      <c r="DP84" s="258">
        <v>0</v>
      </c>
      <c r="DQ84" s="258">
        <v>0</v>
      </c>
      <c r="DR84" s="258">
        <v>0</v>
      </c>
      <c r="DS84" s="258">
        <v>0</v>
      </c>
      <c r="DT84" s="258">
        <v>0</v>
      </c>
      <c r="DU84" s="258">
        <v>0</v>
      </c>
      <c r="DZ84" s="259">
        <v>9</v>
      </c>
      <c r="EA84" s="259">
        <v>178</v>
      </c>
      <c r="EB84" s="259">
        <v>0</v>
      </c>
      <c r="EC84" s="259">
        <v>6</v>
      </c>
      <c r="ED84" s="259">
        <v>1</v>
      </c>
      <c r="EE84" s="259">
        <v>9</v>
      </c>
      <c r="EF84" s="262">
        <v>6</v>
      </c>
      <c r="EG84" s="262">
        <v>2</v>
      </c>
      <c r="EH84" s="262">
        <v>0</v>
      </c>
      <c r="EI84" s="262">
        <v>8</v>
      </c>
    </row>
    <row r="85" spans="1:139">
      <c r="A85" s="295">
        <v>3313</v>
      </c>
      <c r="B85" s="258" t="s">
        <v>366</v>
      </c>
      <c r="C85" s="258">
        <v>43</v>
      </c>
      <c r="D85" s="258">
        <v>156</v>
      </c>
      <c r="E85" s="296">
        <v>0</v>
      </c>
      <c r="F85" s="258">
        <v>0</v>
      </c>
      <c r="G85" s="258">
        <v>44147.262508931737</v>
      </c>
      <c r="H85" s="258">
        <v>61.360588235294031</v>
      </c>
      <c r="I85" s="258">
        <v>0</v>
      </c>
      <c r="J85" s="258">
        <v>0</v>
      </c>
      <c r="K85" s="258">
        <v>55</v>
      </c>
      <c r="L85" s="258">
        <v>0</v>
      </c>
      <c r="M85" s="257">
        <v>30</v>
      </c>
      <c r="N85" s="257">
        <v>26</v>
      </c>
      <c r="O85" s="257">
        <v>30</v>
      </c>
      <c r="P85" s="257">
        <v>30</v>
      </c>
      <c r="Q85" s="257">
        <v>27</v>
      </c>
      <c r="R85" s="257">
        <v>30</v>
      </c>
      <c r="X85" s="257">
        <v>35</v>
      </c>
      <c r="Z85" s="257">
        <v>30</v>
      </c>
      <c r="AA85" s="257">
        <v>0</v>
      </c>
      <c r="AC85" s="258">
        <v>0</v>
      </c>
      <c r="AE85" s="258">
        <v>28.86315789473684</v>
      </c>
      <c r="AF85" s="258">
        <v>0</v>
      </c>
      <c r="AG85" s="258">
        <v>18807</v>
      </c>
      <c r="AH85" s="258">
        <v>10.75240247678019</v>
      </c>
      <c r="AJ85" s="258">
        <v>43</v>
      </c>
      <c r="AQ85" s="258">
        <v>57</v>
      </c>
      <c r="AR85" s="258">
        <v>0</v>
      </c>
      <c r="AS85" s="258">
        <v>0</v>
      </c>
      <c r="AT85" s="258">
        <v>1</v>
      </c>
      <c r="AV85" s="258">
        <v>1</v>
      </c>
      <c r="AW85" s="296"/>
      <c r="AX85" s="258">
        <v>0</v>
      </c>
      <c r="AZ85" s="258">
        <v>0</v>
      </c>
      <c r="BB85" s="258">
        <v>0</v>
      </c>
      <c r="BC85" s="258">
        <v>0</v>
      </c>
      <c r="BD85" s="297" t="s">
        <v>597</v>
      </c>
      <c r="BF85" s="258">
        <v>0</v>
      </c>
      <c r="BG85" s="258">
        <v>94</v>
      </c>
      <c r="BO85" s="258">
        <v>0</v>
      </c>
      <c r="BP85" s="258">
        <v>0</v>
      </c>
      <c r="BW85" s="258">
        <v>5733.6</v>
      </c>
      <c r="BX85" s="258">
        <v>1423.02</v>
      </c>
      <c r="BY85" s="258">
        <v>4856</v>
      </c>
      <c r="BZ85" s="258">
        <v>1653</v>
      </c>
      <c r="CA85" s="258">
        <v>0</v>
      </c>
      <c r="CC85" s="325">
        <v>1152</v>
      </c>
      <c r="CD85" s="258">
        <v>0</v>
      </c>
      <c r="CJ85" s="258">
        <v>0</v>
      </c>
      <c r="CK85" s="258">
        <v>0</v>
      </c>
      <c r="CQ85" s="325">
        <v>224</v>
      </c>
      <c r="CR85" s="258">
        <v>43</v>
      </c>
      <c r="CS85" s="258">
        <v>6.9</v>
      </c>
      <c r="CT85" s="258">
        <v>156</v>
      </c>
      <c r="CU85" s="258">
        <v>0</v>
      </c>
      <c r="CV85" s="258">
        <v>0</v>
      </c>
      <c r="CW85" s="258">
        <v>0</v>
      </c>
      <c r="DE85" s="258">
        <v>203</v>
      </c>
      <c r="DF85" s="298">
        <v>0</v>
      </c>
      <c r="DG85" s="258" t="s">
        <v>210</v>
      </c>
      <c r="DH85" s="258">
        <v>1</v>
      </c>
      <c r="DI85" s="258">
        <v>21.182266009852217</v>
      </c>
      <c r="DJ85" s="258">
        <v>10.263157894736842</v>
      </c>
      <c r="DK85" s="258">
        <v>10.231578947368421</v>
      </c>
      <c r="DL85" s="258">
        <v>8.3684210526315788</v>
      </c>
      <c r="DM85" s="258">
        <v>7410</v>
      </c>
      <c r="DN85" s="258">
        <v>5832</v>
      </c>
      <c r="DO85" s="258">
        <v>5565</v>
      </c>
      <c r="DP85" s="258">
        <v>0</v>
      </c>
      <c r="DQ85" s="258">
        <v>0</v>
      </c>
      <c r="DR85" s="258">
        <v>0</v>
      </c>
      <c r="DS85" s="258">
        <v>4.2364705882352967</v>
      </c>
      <c r="DT85" s="258">
        <v>3.3342910216718278</v>
      </c>
      <c r="DU85" s="258">
        <v>3.1816408668730665</v>
      </c>
      <c r="DZ85" s="259">
        <v>16</v>
      </c>
      <c r="EA85" s="259">
        <v>173</v>
      </c>
      <c r="EB85" s="259">
        <v>17</v>
      </c>
      <c r="EC85" s="259">
        <v>26</v>
      </c>
      <c r="ED85" s="259">
        <v>4</v>
      </c>
      <c r="EE85" s="259">
        <v>5</v>
      </c>
      <c r="EF85" s="262">
        <v>0</v>
      </c>
      <c r="EG85" s="262">
        <v>12</v>
      </c>
      <c r="EH85" s="262">
        <v>20</v>
      </c>
      <c r="EI85" s="262">
        <v>48</v>
      </c>
    </row>
    <row r="86" spans="1:139">
      <c r="A86" s="295">
        <v>3314</v>
      </c>
      <c r="B86" s="258" t="s">
        <v>609</v>
      </c>
      <c r="C86" s="258">
        <v>13</v>
      </c>
      <c r="D86" s="258">
        <v>59</v>
      </c>
      <c r="E86" s="296">
        <v>0</v>
      </c>
      <c r="F86" s="258">
        <v>0</v>
      </c>
      <c r="G86" s="258">
        <v>13386.714329580273</v>
      </c>
      <c r="H86" s="258">
        <v>39.869999999999997</v>
      </c>
      <c r="I86" s="258">
        <v>0</v>
      </c>
      <c r="J86" s="258">
        <v>0</v>
      </c>
      <c r="K86" s="258">
        <v>120</v>
      </c>
      <c r="L86" s="258">
        <v>0</v>
      </c>
      <c r="M86" s="257">
        <v>31</v>
      </c>
      <c r="N86" s="257">
        <v>30</v>
      </c>
      <c r="O86" s="257">
        <v>30</v>
      </c>
      <c r="P86" s="257">
        <v>30</v>
      </c>
      <c r="Q86" s="257">
        <v>25</v>
      </c>
      <c r="R86" s="257">
        <v>30</v>
      </c>
      <c r="X86" s="257">
        <v>0</v>
      </c>
      <c r="Z86" s="257">
        <v>29</v>
      </c>
      <c r="AA86" s="257">
        <v>0</v>
      </c>
      <c r="AC86" s="258">
        <v>0</v>
      </c>
      <c r="AE86" s="258">
        <v>0</v>
      </c>
      <c r="AF86" s="258">
        <v>0</v>
      </c>
      <c r="AG86" s="258">
        <v>0</v>
      </c>
      <c r="AH86" s="258">
        <v>0</v>
      </c>
      <c r="AJ86" s="258">
        <v>13</v>
      </c>
      <c r="AN86" s="258">
        <v>1</v>
      </c>
      <c r="AQ86" s="258">
        <v>17</v>
      </c>
      <c r="AR86" s="258">
        <v>0</v>
      </c>
      <c r="AS86" s="258">
        <v>0</v>
      </c>
      <c r="AT86" s="258">
        <v>1</v>
      </c>
      <c r="AV86" s="258">
        <v>0</v>
      </c>
      <c r="AW86" s="296"/>
      <c r="AX86" s="258">
        <v>0</v>
      </c>
      <c r="AZ86" s="258">
        <v>0</v>
      </c>
      <c r="BB86" s="258">
        <v>0</v>
      </c>
      <c r="BC86" s="258">
        <v>0</v>
      </c>
      <c r="BD86" s="297" t="s">
        <v>597</v>
      </c>
      <c r="BF86" s="258">
        <v>0</v>
      </c>
      <c r="BG86" s="258">
        <v>59</v>
      </c>
      <c r="BO86" s="258">
        <v>0</v>
      </c>
      <c r="BP86" s="258">
        <v>0</v>
      </c>
      <c r="BW86" s="258">
        <v>0</v>
      </c>
      <c r="BX86" s="258">
        <v>1264.9100000000001</v>
      </c>
      <c r="BY86" s="258">
        <v>3482</v>
      </c>
      <c r="BZ86" s="258">
        <v>5248</v>
      </c>
      <c r="CA86" s="258">
        <v>0</v>
      </c>
      <c r="CC86" s="325">
        <v>1113.2</v>
      </c>
      <c r="CD86" s="258">
        <v>0</v>
      </c>
      <c r="CJ86" s="258">
        <v>0</v>
      </c>
      <c r="CK86" s="258">
        <v>0</v>
      </c>
      <c r="CQ86" s="325">
        <v>205</v>
      </c>
      <c r="CR86" s="258">
        <v>13</v>
      </c>
      <c r="CS86" s="258">
        <v>3.08</v>
      </c>
      <c r="CT86" s="258">
        <v>59</v>
      </c>
      <c r="CU86" s="258">
        <v>0</v>
      </c>
      <c r="CV86" s="258">
        <v>0</v>
      </c>
      <c r="CW86" s="258">
        <v>0</v>
      </c>
      <c r="DE86" s="258">
        <v>205</v>
      </c>
      <c r="DF86" s="298">
        <v>0</v>
      </c>
      <c r="DG86" s="258" t="s">
        <v>210</v>
      </c>
      <c r="DH86" s="258">
        <v>1</v>
      </c>
      <c r="DI86" s="258">
        <v>6.3414634146341466</v>
      </c>
      <c r="DJ86" s="258">
        <v>0</v>
      </c>
      <c r="DK86" s="258">
        <v>0</v>
      </c>
      <c r="DL86" s="258">
        <v>0</v>
      </c>
      <c r="DM86" s="258">
        <v>0</v>
      </c>
      <c r="DN86" s="258">
        <v>0</v>
      </c>
      <c r="DO86" s="258">
        <v>0</v>
      </c>
      <c r="DP86" s="258">
        <v>0</v>
      </c>
      <c r="DQ86" s="258">
        <v>0</v>
      </c>
      <c r="DR86" s="258">
        <v>0</v>
      </c>
      <c r="DS86" s="258">
        <v>0</v>
      </c>
      <c r="DT86" s="258">
        <v>0</v>
      </c>
      <c r="DU86" s="258">
        <v>0</v>
      </c>
      <c r="DZ86" s="259">
        <v>15</v>
      </c>
      <c r="EA86" s="259">
        <v>176</v>
      </c>
      <c r="EB86" s="259">
        <v>3</v>
      </c>
      <c r="EC86" s="259">
        <v>41</v>
      </c>
      <c r="ED86" s="259">
        <v>0</v>
      </c>
      <c r="EE86" s="259">
        <v>9</v>
      </c>
      <c r="EF86" s="262">
        <v>2</v>
      </c>
      <c r="EG86" s="262">
        <v>2</v>
      </c>
      <c r="EH86" s="262">
        <v>4</v>
      </c>
      <c r="EI86" s="262">
        <v>25</v>
      </c>
    </row>
    <row r="87" spans="1:139">
      <c r="A87" s="295">
        <v>3507</v>
      </c>
      <c r="B87" s="258" t="s">
        <v>367</v>
      </c>
      <c r="C87" s="258">
        <v>24</v>
      </c>
      <c r="D87" s="258">
        <v>117</v>
      </c>
      <c r="E87" s="296">
        <v>0</v>
      </c>
      <c r="F87" s="258">
        <v>0</v>
      </c>
      <c r="G87" s="258">
        <v>25525.365781113851</v>
      </c>
      <c r="H87" s="258">
        <v>33.11</v>
      </c>
      <c r="I87" s="258">
        <v>0</v>
      </c>
      <c r="J87" s="258">
        <v>0</v>
      </c>
      <c r="K87" s="258">
        <v>0</v>
      </c>
      <c r="L87" s="258">
        <v>0</v>
      </c>
      <c r="M87" s="257">
        <v>27</v>
      </c>
      <c r="N87" s="257">
        <v>30</v>
      </c>
      <c r="O87" s="257">
        <v>28</v>
      </c>
      <c r="P87" s="257">
        <v>29</v>
      </c>
      <c r="Q87" s="257">
        <v>28</v>
      </c>
      <c r="R87" s="257">
        <v>29</v>
      </c>
      <c r="X87" s="257">
        <v>0</v>
      </c>
      <c r="Z87" s="257">
        <v>28</v>
      </c>
      <c r="AA87" s="257">
        <v>0</v>
      </c>
      <c r="AC87" s="258">
        <v>0</v>
      </c>
      <c r="AE87" s="258">
        <v>0</v>
      </c>
      <c r="AF87" s="258">
        <v>0</v>
      </c>
      <c r="AG87" s="258">
        <v>0</v>
      </c>
      <c r="AH87" s="258">
        <v>0</v>
      </c>
      <c r="AJ87" s="258">
        <v>24</v>
      </c>
      <c r="AQ87" s="258">
        <v>29</v>
      </c>
      <c r="AR87" s="258">
        <v>0</v>
      </c>
      <c r="AS87" s="258">
        <v>0</v>
      </c>
      <c r="AT87" s="258">
        <v>1</v>
      </c>
      <c r="AV87" s="258">
        <v>0</v>
      </c>
      <c r="AW87" s="296"/>
      <c r="AX87" s="258">
        <v>0</v>
      </c>
      <c r="AZ87" s="258">
        <v>1</v>
      </c>
      <c r="BB87" s="258">
        <v>0</v>
      </c>
      <c r="BC87" s="258">
        <v>0</v>
      </c>
      <c r="BD87" s="297" t="s">
        <v>597</v>
      </c>
      <c r="BF87" s="258">
        <v>0</v>
      </c>
      <c r="BG87" s="258">
        <v>48</v>
      </c>
      <c r="BO87" s="258">
        <v>0</v>
      </c>
      <c r="BP87" s="258">
        <v>0</v>
      </c>
      <c r="BW87" s="258">
        <v>0</v>
      </c>
      <c r="BX87" s="258">
        <v>0</v>
      </c>
      <c r="BY87" s="258">
        <v>5345</v>
      </c>
      <c r="BZ87" s="258">
        <v>1827</v>
      </c>
      <c r="CA87" s="258">
        <v>0</v>
      </c>
      <c r="CC87" s="325">
        <v>1287</v>
      </c>
      <c r="CD87" s="258">
        <v>0</v>
      </c>
      <c r="CJ87" s="258">
        <v>0</v>
      </c>
      <c r="CK87" s="258">
        <v>0</v>
      </c>
      <c r="CQ87" s="325">
        <v>199</v>
      </c>
      <c r="CR87" s="258">
        <v>24</v>
      </c>
      <c r="CS87" s="258">
        <v>1.96</v>
      </c>
      <c r="CT87" s="258">
        <v>117</v>
      </c>
      <c r="CU87" s="258">
        <v>0</v>
      </c>
      <c r="CV87" s="258">
        <v>0</v>
      </c>
      <c r="CW87" s="258">
        <v>0</v>
      </c>
      <c r="DE87" s="258">
        <v>199</v>
      </c>
      <c r="DF87" s="298">
        <v>0</v>
      </c>
      <c r="DG87" s="258" t="s">
        <v>210</v>
      </c>
      <c r="DH87" s="258">
        <v>1</v>
      </c>
      <c r="DI87" s="258">
        <v>12.060301507537687</v>
      </c>
      <c r="DJ87" s="258">
        <v>0</v>
      </c>
      <c r="DK87" s="258">
        <v>0</v>
      </c>
      <c r="DL87" s="258">
        <v>0</v>
      </c>
      <c r="DM87" s="258">
        <v>0</v>
      </c>
      <c r="DN87" s="258">
        <v>0</v>
      </c>
      <c r="DO87" s="258">
        <v>0</v>
      </c>
      <c r="DP87" s="258">
        <v>0</v>
      </c>
      <c r="DQ87" s="258">
        <v>0</v>
      </c>
      <c r="DR87" s="258">
        <v>0</v>
      </c>
      <c r="DS87" s="258">
        <v>0</v>
      </c>
      <c r="DT87" s="258">
        <v>0</v>
      </c>
      <c r="DU87" s="258">
        <v>0</v>
      </c>
      <c r="DZ87" s="259">
        <v>13</v>
      </c>
      <c r="EA87" s="259">
        <v>171</v>
      </c>
      <c r="EB87" s="259">
        <v>11</v>
      </c>
      <c r="EC87" s="259">
        <v>14</v>
      </c>
      <c r="ED87" s="259">
        <v>0</v>
      </c>
      <c r="EE87" s="259">
        <v>1</v>
      </c>
      <c r="EF87" s="262">
        <v>6</v>
      </c>
      <c r="EG87" s="262">
        <v>8</v>
      </c>
      <c r="EH87" s="262">
        <v>6</v>
      </c>
      <c r="EI87" s="262">
        <v>25</v>
      </c>
    </row>
    <row r="88" spans="1:139">
      <c r="A88" s="295">
        <v>3506</v>
      </c>
      <c r="B88" s="258" t="s">
        <v>368</v>
      </c>
      <c r="C88" s="258">
        <v>34</v>
      </c>
      <c r="D88" s="258">
        <v>115</v>
      </c>
      <c r="E88" s="296">
        <v>0</v>
      </c>
      <c r="F88" s="258">
        <v>0</v>
      </c>
      <c r="G88" s="258">
        <v>22986.8185963705</v>
      </c>
      <c r="H88" s="258">
        <v>76.819999999999993</v>
      </c>
      <c r="I88" s="258">
        <v>0</v>
      </c>
      <c r="J88" s="258">
        <v>0</v>
      </c>
      <c r="K88" s="258">
        <v>158.74910522548316</v>
      </c>
      <c r="L88" s="258">
        <v>0</v>
      </c>
      <c r="M88" s="257">
        <v>45</v>
      </c>
      <c r="N88" s="257">
        <v>45</v>
      </c>
      <c r="O88" s="257">
        <v>45</v>
      </c>
      <c r="P88" s="257">
        <v>45</v>
      </c>
      <c r="Q88" s="257">
        <v>45</v>
      </c>
      <c r="R88" s="257">
        <v>45</v>
      </c>
      <c r="X88" s="257">
        <v>0</v>
      </c>
      <c r="Z88" s="257">
        <v>45</v>
      </c>
      <c r="AA88" s="257">
        <v>0</v>
      </c>
      <c r="AC88" s="258">
        <v>0</v>
      </c>
      <c r="AE88" s="258">
        <v>0</v>
      </c>
      <c r="AF88" s="258">
        <v>0</v>
      </c>
      <c r="AG88" s="258">
        <v>0</v>
      </c>
      <c r="AH88" s="258">
        <v>0</v>
      </c>
      <c r="AJ88" s="258">
        <v>34</v>
      </c>
      <c r="AQ88" s="258">
        <v>41</v>
      </c>
      <c r="AR88" s="258">
        <v>0</v>
      </c>
      <c r="AS88" s="258">
        <v>0</v>
      </c>
      <c r="AT88" s="258">
        <v>1</v>
      </c>
      <c r="AV88" s="258">
        <v>1</v>
      </c>
      <c r="AW88" s="296"/>
      <c r="AX88" s="258">
        <v>1</v>
      </c>
      <c r="AZ88" s="258">
        <v>0</v>
      </c>
      <c r="BB88" s="258">
        <v>0</v>
      </c>
      <c r="BC88" s="258">
        <v>0</v>
      </c>
      <c r="BD88" s="297" t="s">
        <v>597</v>
      </c>
      <c r="BF88" s="258">
        <v>0</v>
      </c>
      <c r="BG88" s="258">
        <v>105</v>
      </c>
      <c r="BO88" s="258">
        <v>0</v>
      </c>
      <c r="BP88" s="258">
        <v>0</v>
      </c>
      <c r="BW88" s="258">
        <v>0</v>
      </c>
      <c r="BX88" s="258">
        <v>0</v>
      </c>
      <c r="BY88" s="258">
        <v>18547</v>
      </c>
      <c r="BZ88" s="258">
        <v>1532</v>
      </c>
      <c r="CA88" s="258">
        <v>0</v>
      </c>
      <c r="CC88" s="325">
        <v>1631</v>
      </c>
      <c r="CD88" s="258">
        <v>0</v>
      </c>
      <c r="CJ88" s="258">
        <v>0</v>
      </c>
      <c r="CK88" s="258">
        <v>0</v>
      </c>
      <c r="CQ88" s="325">
        <v>315</v>
      </c>
      <c r="CR88" s="258">
        <v>34</v>
      </c>
      <c r="CS88" s="258">
        <v>8.1</v>
      </c>
      <c r="CT88" s="258">
        <v>115</v>
      </c>
      <c r="CU88" s="258">
        <v>0</v>
      </c>
      <c r="CV88" s="258">
        <v>0</v>
      </c>
      <c r="CW88" s="258">
        <v>0</v>
      </c>
      <c r="DE88" s="258">
        <v>315</v>
      </c>
      <c r="DF88" s="298">
        <v>0</v>
      </c>
      <c r="DG88" s="258" t="s">
        <v>210</v>
      </c>
      <c r="DH88" s="258">
        <v>1</v>
      </c>
      <c r="DI88" s="258">
        <v>10.793650793650794</v>
      </c>
      <c r="DJ88" s="258">
        <v>0</v>
      </c>
      <c r="DK88" s="258">
        <v>0</v>
      </c>
      <c r="DL88" s="258">
        <v>0</v>
      </c>
      <c r="DM88" s="258">
        <v>0</v>
      </c>
      <c r="DN88" s="258">
        <v>0</v>
      </c>
      <c r="DO88" s="258">
        <v>0</v>
      </c>
      <c r="DP88" s="258">
        <v>0</v>
      </c>
      <c r="DQ88" s="258">
        <v>0</v>
      </c>
      <c r="DR88" s="258">
        <v>0</v>
      </c>
      <c r="DS88" s="258">
        <v>0</v>
      </c>
      <c r="DT88" s="258">
        <v>0</v>
      </c>
      <c r="DU88" s="258">
        <v>0</v>
      </c>
      <c r="DZ88" s="259">
        <v>21</v>
      </c>
      <c r="EA88" s="259">
        <v>270</v>
      </c>
      <c r="EB88" s="259">
        <v>18</v>
      </c>
      <c r="EC88" s="259">
        <v>30</v>
      </c>
      <c r="ED88" s="259">
        <v>2</v>
      </c>
      <c r="EE88" s="259">
        <v>15</v>
      </c>
      <c r="EF88" s="262">
        <v>4</v>
      </c>
      <c r="EG88" s="262">
        <v>10</v>
      </c>
      <c r="EH88" s="262">
        <v>8</v>
      </c>
      <c r="EI88" s="262">
        <v>23</v>
      </c>
    </row>
    <row r="89" spans="1:139">
      <c r="A89" s="295">
        <v>2052</v>
      </c>
      <c r="B89" s="258" t="s">
        <v>369</v>
      </c>
      <c r="C89" s="258">
        <v>99</v>
      </c>
      <c r="D89" s="258">
        <v>769</v>
      </c>
      <c r="E89" s="296">
        <v>0</v>
      </c>
      <c r="F89" s="258">
        <v>72</v>
      </c>
      <c r="G89" s="258">
        <v>63675.808889462853</v>
      </c>
      <c r="H89" s="258">
        <v>108.6808612440189</v>
      </c>
      <c r="I89" s="258">
        <v>204652.82310000001</v>
      </c>
      <c r="J89" s="258">
        <v>0</v>
      </c>
      <c r="K89" s="258">
        <v>85</v>
      </c>
      <c r="L89" s="258">
        <v>0</v>
      </c>
      <c r="M89" s="257">
        <v>53</v>
      </c>
      <c r="N89" s="257">
        <v>57</v>
      </c>
      <c r="O89" s="257">
        <v>53</v>
      </c>
      <c r="P89" s="257">
        <v>52</v>
      </c>
      <c r="Q89" s="257">
        <v>46</v>
      </c>
      <c r="R89" s="257">
        <v>49</v>
      </c>
      <c r="X89" s="257">
        <v>48</v>
      </c>
      <c r="Z89" s="257">
        <v>60</v>
      </c>
      <c r="AA89" s="257">
        <v>0</v>
      </c>
      <c r="AC89" s="258">
        <v>0</v>
      </c>
      <c r="AE89" s="258">
        <v>30</v>
      </c>
      <c r="AF89" s="258">
        <v>94.94736842105263</v>
      </c>
      <c r="AG89" s="258">
        <v>27060</v>
      </c>
      <c r="AH89" s="258">
        <v>14.575431131019036</v>
      </c>
      <c r="AJ89" s="258">
        <v>99</v>
      </c>
      <c r="AQ89" s="258">
        <v>141</v>
      </c>
      <c r="AR89" s="258">
        <v>0</v>
      </c>
      <c r="AS89" s="258">
        <v>0</v>
      </c>
      <c r="AT89" s="258">
        <v>1</v>
      </c>
      <c r="AV89" s="258">
        <v>2</v>
      </c>
      <c r="AW89" s="296"/>
      <c r="AX89" s="258">
        <v>0</v>
      </c>
      <c r="AZ89" s="258">
        <v>0</v>
      </c>
      <c r="BB89" s="258">
        <v>0</v>
      </c>
      <c r="BC89" s="258">
        <v>0</v>
      </c>
      <c r="BD89" s="297" t="s">
        <v>214</v>
      </c>
      <c r="BF89" s="258">
        <v>398.8</v>
      </c>
      <c r="BG89" s="258">
        <v>147</v>
      </c>
      <c r="BO89" s="258">
        <v>1</v>
      </c>
      <c r="BP89" s="258">
        <v>54528.972831231542</v>
      </c>
      <c r="BW89" s="258">
        <v>0</v>
      </c>
      <c r="BX89" s="258">
        <v>0</v>
      </c>
      <c r="BY89" s="258">
        <v>25900</v>
      </c>
      <c r="BZ89" s="258">
        <v>5097</v>
      </c>
      <c r="CA89" s="258">
        <v>22442</v>
      </c>
      <c r="CC89" s="325">
        <v>2815</v>
      </c>
      <c r="CD89" s="258">
        <v>0</v>
      </c>
      <c r="CJ89" s="258">
        <v>0</v>
      </c>
      <c r="CK89" s="258">
        <v>0</v>
      </c>
      <c r="CQ89" s="325">
        <v>398.8</v>
      </c>
      <c r="CR89" s="258">
        <v>99</v>
      </c>
      <c r="CS89" s="258">
        <v>31.2</v>
      </c>
      <c r="CT89" s="258">
        <v>769</v>
      </c>
      <c r="CU89" s="258">
        <v>0</v>
      </c>
      <c r="CV89" s="258">
        <v>0</v>
      </c>
      <c r="CW89" s="258">
        <v>0</v>
      </c>
      <c r="DE89" s="258">
        <v>370</v>
      </c>
      <c r="DF89" s="298">
        <v>0</v>
      </c>
      <c r="DG89" s="258" t="s">
        <v>210</v>
      </c>
      <c r="DH89" s="258">
        <v>1</v>
      </c>
      <c r="DI89" s="258">
        <v>26.756756756756754</v>
      </c>
      <c r="DJ89" s="258">
        <v>10.263157894736842</v>
      </c>
      <c r="DK89" s="258">
        <v>11.368421052631579</v>
      </c>
      <c r="DL89" s="258">
        <v>8.3684210526315788</v>
      </c>
      <c r="DM89" s="258">
        <v>10140</v>
      </c>
      <c r="DN89" s="258">
        <v>9288</v>
      </c>
      <c r="DO89" s="258">
        <v>7632</v>
      </c>
      <c r="DP89" s="258">
        <v>35.578947368421055</v>
      </c>
      <c r="DQ89" s="258">
        <v>32.589473684210532</v>
      </c>
      <c r="DR89" s="258">
        <v>26.778947368421051</v>
      </c>
      <c r="DS89" s="258">
        <v>5.4617469204927209</v>
      </c>
      <c r="DT89" s="258">
        <v>5.0028309070548707</v>
      </c>
      <c r="DU89" s="258">
        <v>4.1108533034714441</v>
      </c>
      <c r="DZ89" s="259">
        <v>72</v>
      </c>
      <c r="EA89" s="259">
        <v>310</v>
      </c>
      <c r="EB89" s="259">
        <v>26</v>
      </c>
      <c r="EC89" s="259">
        <v>34</v>
      </c>
      <c r="ED89" s="259">
        <v>6</v>
      </c>
      <c r="EE89" s="259">
        <v>17</v>
      </c>
      <c r="EF89" s="262">
        <v>34</v>
      </c>
      <c r="EG89" s="262">
        <v>80</v>
      </c>
      <c r="EH89" s="262">
        <v>32</v>
      </c>
      <c r="EI89" s="262">
        <v>115</v>
      </c>
    </row>
    <row r="90" spans="1:139">
      <c r="A90" s="295">
        <v>2070</v>
      </c>
      <c r="B90" s="258" t="s">
        <v>370</v>
      </c>
      <c r="C90" s="258">
        <v>71</v>
      </c>
      <c r="D90" s="258">
        <v>485</v>
      </c>
      <c r="E90" s="296">
        <v>0</v>
      </c>
      <c r="F90" s="258">
        <v>0</v>
      </c>
      <c r="G90" s="258">
        <v>75363.266598833754</v>
      </c>
      <c r="H90" s="258">
        <v>49.16011673151759</v>
      </c>
      <c r="I90" s="258">
        <v>0</v>
      </c>
      <c r="J90" s="258">
        <v>0</v>
      </c>
      <c r="K90" s="258">
        <v>125</v>
      </c>
      <c r="L90" s="258">
        <v>0</v>
      </c>
      <c r="M90" s="257">
        <v>30</v>
      </c>
      <c r="N90" s="257">
        <v>30</v>
      </c>
      <c r="O90" s="257">
        <v>31</v>
      </c>
      <c r="P90" s="257">
        <v>27</v>
      </c>
      <c r="Q90" s="257">
        <v>27</v>
      </c>
      <c r="R90" s="257">
        <v>30</v>
      </c>
      <c r="X90" s="257">
        <v>52</v>
      </c>
      <c r="Z90" s="257">
        <v>30</v>
      </c>
      <c r="AA90" s="257">
        <v>0</v>
      </c>
      <c r="AC90" s="258">
        <v>0</v>
      </c>
      <c r="AE90" s="258">
        <v>30</v>
      </c>
      <c r="AF90" s="258">
        <v>91.26315789473685</v>
      </c>
      <c r="AG90" s="258">
        <v>26010</v>
      </c>
      <c r="AH90" s="258">
        <v>10.923641245972075</v>
      </c>
      <c r="AJ90" s="258">
        <v>71</v>
      </c>
      <c r="AQ90" s="258">
        <v>83</v>
      </c>
      <c r="AR90" s="258">
        <v>0</v>
      </c>
      <c r="AS90" s="258">
        <v>0</v>
      </c>
      <c r="AT90" s="258">
        <v>1</v>
      </c>
      <c r="AV90" s="258">
        <v>3</v>
      </c>
      <c r="AW90" s="296"/>
      <c r="AX90" s="258">
        <v>0</v>
      </c>
      <c r="AZ90" s="258">
        <v>0</v>
      </c>
      <c r="BB90" s="258">
        <v>0</v>
      </c>
      <c r="BC90" s="258">
        <v>0</v>
      </c>
      <c r="BD90" s="297" t="s">
        <v>214</v>
      </c>
      <c r="BF90" s="258">
        <v>236.2</v>
      </c>
      <c r="BG90" s="258">
        <v>97</v>
      </c>
      <c r="BO90" s="258">
        <v>0</v>
      </c>
      <c r="BP90" s="258">
        <v>0</v>
      </c>
      <c r="BW90" s="258">
        <v>0</v>
      </c>
      <c r="BX90" s="258">
        <v>1264.9100000000001</v>
      </c>
      <c r="BY90" s="258">
        <v>12700</v>
      </c>
      <c r="BZ90" s="258">
        <v>2348</v>
      </c>
      <c r="CA90" s="258">
        <v>12137</v>
      </c>
      <c r="CC90" s="325">
        <v>1132</v>
      </c>
      <c r="CD90" s="258">
        <v>0</v>
      </c>
      <c r="CJ90" s="258">
        <v>0</v>
      </c>
      <c r="CK90" s="258">
        <v>0</v>
      </c>
      <c r="CQ90" s="325">
        <v>236.2</v>
      </c>
      <c r="CR90" s="258">
        <v>72.8</v>
      </c>
      <c r="CS90" s="258">
        <v>9.1</v>
      </c>
      <c r="CT90" s="258">
        <v>485</v>
      </c>
      <c r="CU90" s="258">
        <v>0</v>
      </c>
      <c r="CV90" s="258">
        <v>0</v>
      </c>
      <c r="CW90" s="258">
        <v>0</v>
      </c>
      <c r="DE90" s="258">
        <v>205</v>
      </c>
      <c r="DF90" s="298">
        <v>0</v>
      </c>
      <c r="DG90" s="258" t="s">
        <v>210</v>
      </c>
      <c r="DH90" s="258">
        <v>1</v>
      </c>
      <c r="DI90" s="258">
        <v>34.634146341463413</v>
      </c>
      <c r="DJ90" s="258">
        <v>10.263157894736842</v>
      </c>
      <c r="DK90" s="258">
        <v>11.368421052631579</v>
      </c>
      <c r="DL90" s="258">
        <v>8.3684210526315788</v>
      </c>
      <c r="DM90" s="258">
        <v>9750</v>
      </c>
      <c r="DN90" s="258">
        <v>7992</v>
      </c>
      <c r="DO90" s="258">
        <v>8268</v>
      </c>
      <c r="DP90" s="258">
        <v>34.210526315789473</v>
      </c>
      <c r="DQ90" s="258">
        <v>28.042105263157897</v>
      </c>
      <c r="DR90" s="258">
        <v>29.01052631578947</v>
      </c>
      <c r="DS90" s="258">
        <v>4.0947905477980671</v>
      </c>
      <c r="DT90" s="258">
        <v>3.3564683136412468</v>
      </c>
      <c r="DU90" s="258">
        <v>3.4723823845327608</v>
      </c>
      <c r="DZ90" s="259">
        <v>32</v>
      </c>
      <c r="EA90" s="259">
        <v>175</v>
      </c>
      <c r="EB90" s="259">
        <v>18</v>
      </c>
      <c r="EC90" s="259">
        <v>25</v>
      </c>
      <c r="ED90" s="259">
        <v>5</v>
      </c>
      <c r="EE90" s="259">
        <v>3</v>
      </c>
      <c r="EF90" s="262">
        <v>22</v>
      </c>
      <c r="EG90" s="262">
        <v>36</v>
      </c>
      <c r="EH90" s="262">
        <v>34</v>
      </c>
      <c r="EI90" s="262">
        <v>85</v>
      </c>
    </row>
    <row r="91" spans="1:139">
      <c r="A91" s="295">
        <v>3500</v>
      </c>
      <c r="B91" s="258" t="s">
        <v>371</v>
      </c>
      <c r="C91" s="258">
        <v>19</v>
      </c>
      <c r="D91" s="258">
        <v>158</v>
      </c>
      <c r="E91" s="296">
        <v>0</v>
      </c>
      <c r="F91" s="258">
        <v>0</v>
      </c>
      <c r="G91" s="258">
        <v>23344.666104629418</v>
      </c>
      <c r="H91" s="258">
        <v>67.624521739130444</v>
      </c>
      <c r="I91" s="258">
        <v>0</v>
      </c>
      <c r="J91" s="258">
        <v>0</v>
      </c>
      <c r="K91" s="258">
        <v>80</v>
      </c>
      <c r="L91" s="258">
        <v>0</v>
      </c>
      <c r="M91" s="257">
        <v>60</v>
      </c>
      <c r="N91" s="257">
        <v>58</v>
      </c>
      <c r="O91" s="257">
        <v>0</v>
      </c>
      <c r="P91" s="257">
        <v>0</v>
      </c>
      <c r="Q91" s="257">
        <v>0</v>
      </c>
      <c r="R91" s="257">
        <v>0</v>
      </c>
      <c r="X91" s="257">
        <v>52</v>
      </c>
      <c r="Z91" s="257">
        <v>60</v>
      </c>
      <c r="AA91" s="257">
        <v>0</v>
      </c>
      <c r="AC91" s="258">
        <v>0</v>
      </c>
      <c r="AE91" s="258">
        <v>30</v>
      </c>
      <c r="AF91" s="258">
        <v>0</v>
      </c>
      <c r="AG91" s="258">
        <v>29445</v>
      </c>
      <c r="AH91" s="258">
        <v>20.832039473684208</v>
      </c>
      <c r="AJ91" s="258">
        <v>19</v>
      </c>
      <c r="AQ91" s="258">
        <v>23</v>
      </c>
      <c r="AR91" s="258">
        <v>0</v>
      </c>
      <c r="AS91" s="258">
        <v>0</v>
      </c>
      <c r="AT91" s="258">
        <v>1</v>
      </c>
      <c r="AV91" s="258">
        <v>0</v>
      </c>
      <c r="AW91" s="296"/>
      <c r="AX91" s="258">
        <v>0</v>
      </c>
      <c r="AZ91" s="258">
        <v>0</v>
      </c>
      <c r="BB91" s="258">
        <v>0</v>
      </c>
      <c r="BC91" s="258">
        <v>0</v>
      </c>
      <c r="BD91" s="297" t="s">
        <v>597</v>
      </c>
      <c r="BF91" s="258">
        <v>0</v>
      </c>
      <c r="BG91" s="258">
        <v>97</v>
      </c>
      <c r="BO91" s="258">
        <v>0</v>
      </c>
      <c r="BP91" s="258">
        <v>0</v>
      </c>
      <c r="BW91" s="258">
        <v>5185.4399999999996</v>
      </c>
      <c r="BX91" s="258">
        <v>1423.02</v>
      </c>
      <c r="BY91" s="258">
        <v>2465</v>
      </c>
      <c r="BZ91" s="258">
        <v>2038</v>
      </c>
      <c r="CA91" s="258">
        <v>0</v>
      </c>
      <c r="CC91" s="325">
        <v>1132</v>
      </c>
      <c r="CD91" s="258">
        <v>0</v>
      </c>
      <c r="CJ91" s="258">
        <v>0</v>
      </c>
      <c r="CK91" s="258">
        <v>0</v>
      </c>
      <c r="CQ91" s="325">
        <v>209.2</v>
      </c>
      <c r="CR91" s="258">
        <v>19</v>
      </c>
      <c r="CS91" s="258">
        <v>1</v>
      </c>
      <c r="CT91" s="258">
        <v>158</v>
      </c>
      <c r="CU91" s="258">
        <v>0</v>
      </c>
      <c r="CV91" s="258">
        <v>0</v>
      </c>
      <c r="CW91" s="258">
        <v>0</v>
      </c>
      <c r="DE91" s="258">
        <v>178</v>
      </c>
      <c r="DF91" s="298">
        <v>0</v>
      </c>
      <c r="DG91" s="258" t="s">
        <v>280</v>
      </c>
      <c r="DH91" s="258">
        <v>1</v>
      </c>
      <c r="DI91" s="258">
        <v>10.674157303370785</v>
      </c>
      <c r="DJ91" s="258">
        <v>10.263157894736842</v>
      </c>
      <c r="DK91" s="258">
        <v>11.368421052631579</v>
      </c>
      <c r="DL91" s="258">
        <v>8.3684210526315788</v>
      </c>
      <c r="DM91" s="258">
        <v>9945</v>
      </c>
      <c r="DN91" s="258">
        <v>11232</v>
      </c>
      <c r="DO91" s="258">
        <v>8268</v>
      </c>
      <c r="DP91" s="258">
        <v>0</v>
      </c>
      <c r="DQ91" s="258">
        <v>0</v>
      </c>
      <c r="DR91" s="258">
        <v>0</v>
      </c>
      <c r="DS91" s="258">
        <v>7.0359868421052632</v>
      </c>
      <c r="DT91" s="258">
        <v>7.9465263157894741</v>
      </c>
      <c r="DU91" s="258">
        <v>5.8495263157894728</v>
      </c>
      <c r="DZ91" s="259">
        <v>6</v>
      </c>
      <c r="EA91" s="259">
        <v>118</v>
      </c>
      <c r="EB91" s="259">
        <v>4</v>
      </c>
      <c r="EC91" s="259">
        <v>62</v>
      </c>
      <c r="ED91" s="259">
        <v>5</v>
      </c>
      <c r="EE91" s="259">
        <v>8</v>
      </c>
      <c r="EF91" s="262">
        <v>0</v>
      </c>
      <c r="EG91" s="262">
        <v>8</v>
      </c>
      <c r="EH91" s="262">
        <v>12</v>
      </c>
      <c r="EI91" s="262">
        <v>90</v>
      </c>
    </row>
    <row r="92" spans="1:139">
      <c r="A92" s="295">
        <v>3514</v>
      </c>
      <c r="B92" s="258" t="s">
        <v>372</v>
      </c>
      <c r="C92" s="258">
        <v>26</v>
      </c>
      <c r="D92" s="258">
        <v>24</v>
      </c>
      <c r="E92" s="296">
        <v>0</v>
      </c>
      <c r="F92" s="258">
        <v>0</v>
      </c>
      <c r="G92" s="258">
        <v>8.6924691358024688</v>
      </c>
      <c r="H92" s="258">
        <v>81.86</v>
      </c>
      <c r="I92" s="258">
        <v>0</v>
      </c>
      <c r="J92" s="258">
        <v>0</v>
      </c>
      <c r="K92" s="258">
        <v>80</v>
      </c>
      <c r="L92" s="258">
        <v>0</v>
      </c>
      <c r="M92" s="257">
        <v>0</v>
      </c>
      <c r="N92" s="257">
        <v>0</v>
      </c>
      <c r="O92" s="257">
        <v>55</v>
      </c>
      <c r="P92" s="257">
        <v>55</v>
      </c>
      <c r="Q92" s="257">
        <v>53</v>
      </c>
      <c r="R92" s="257">
        <v>52</v>
      </c>
      <c r="X92" s="257">
        <v>0</v>
      </c>
      <c r="Z92" s="257">
        <v>0</v>
      </c>
      <c r="AA92" s="257">
        <v>0</v>
      </c>
      <c r="AC92" s="258">
        <v>0</v>
      </c>
      <c r="AE92" s="258">
        <v>0</v>
      </c>
      <c r="AF92" s="258">
        <v>0</v>
      </c>
      <c r="AG92" s="258">
        <v>0</v>
      </c>
      <c r="AH92" s="258">
        <v>0</v>
      </c>
      <c r="AJ92" s="258">
        <v>26</v>
      </c>
      <c r="AQ92" s="258">
        <v>51</v>
      </c>
      <c r="AR92" s="258">
        <v>0</v>
      </c>
      <c r="AS92" s="258">
        <v>0</v>
      </c>
      <c r="AT92" s="258">
        <v>1</v>
      </c>
      <c r="AV92" s="258">
        <v>1</v>
      </c>
      <c r="AW92" s="296"/>
      <c r="AX92" s="258">
        <v>0</v>
      </c>
      <c r="AZ92" s="258">
        <v>0</v>
      </c>
      <c r="BB92" s="258">
        <v>0</v>
      </c>
      <c r="BC92" s="258">
        <v>0</v>
      </c>
      <c r="BD92" s="297" t="s">
        <v>597</v>
      </c>
      <c r="BF92" s="258">
        <v>0</v>
      </c>
      <c r="BG92" s="258">
        <v>127</v>
      </c>
      <c r="BO92" s="258">
        <v>0</v>
      </c>
      <c r="BP92" s="258">
        <v>0</v>
      </c>
      <c r="BW92" s="258">
        <v>0</v>
      </c>
      <c r="BX92" s="258">
        <v>1423.02</v>
      </c>
      <c r="BY92" s="258">
        <v>9400</v>
      </c>
      <c r="BZ92" s="258">
        <v>1743</v>
      </c>
      <c r="CA92" s="258">
        <v>0</v>
      </c>
      <c r="CC92" s="325">
        <v>1482</v>
      </c>
      <c r="CD92" s="258">
        <v>0</v>
      </c>
      <c r="CJ92" s="258">
        <v>0</v>
      </c>
      <c r="CK92" s="258">
        <v>0</v>
      </c>
      <c r="CQ92" s="325">
        <v>215</v>
      </c>
      <c r="CR92" s="258">
        <v>26</v>
      </c>
      <c r="CS92" s="258">
        <v>9.1199999999999992</v>
      </c>
      <c r="CT92" s="258">
        <v>24</v>
      </c>
      <c r="CU92" s="258">
        <v>0</v>
      </c>
      <c r="CV92" s="258">
        <v>0</v>
      </c>
      <c r="CW92" s="258">
        <v>0</v>
      </c>
      <c r="DE92" s="258">
        <v>215</v>
      </c>
      <c r="DF92" s="298">
        <v>0</v>
      </c>
      <c r="DG92" s="258" t="s">
        <v>279</v>
      </c>
      <c r="DH92" s="258">
        <v>1</v>
      </c>
      <c r="DI92" s="258">
        <v>12.093023255813954</v>
      </c>
      <c r="DJ92" s="258">
        <v>0</v>
      </c>
      <c r="DK92" s="258">
        <v>0</v>
      </c>
      <c r="DL92" s="258">
        <v>0</v>
      </c>
      <c r="DM92" s="258">
        <v>0</v>
      </c>
      <c r="DN92" s="258">
        <v>0</v>
      </c>
      <c r="DO92" s="258">
        <v>0</v>
      </c>
      <c r="DP92" s="258">
        <v>0</v>
      </c>
      <c r="DQ92" s="258">
        <v>0</v>
      </c>
      <c r="DR92" s="258">
        <v>0</v>
      </c>
      <c r="DS92" s="258">
        <v>0</v>
      </c>
      <c r="DT92" s="258">
        <v>0</v>
      </c>
      <c r="DU92" s="258">
        <v>0</v>
      </c>
      <c r="DZ92" s="259">
        <v>16</v>
      </c>
      <c r="EA92" s="259">
        <v>215</v>
      </c>
      <c r="EB92" s="259">
        <v>16</v>
      </c>
      <c r="EC92" s="259">
        <v>70</v>
      </c>
      <c r="ED92" s="259">
        <v>1</v>
      </c>
      <c r="EE92" s="259">
        <v>6</v>
      </c>
      <c r="EF92" s="262">
        <v>0</v>
      </c>
      <c r="EG92" s="262">
        <v>6</v>
      </c>
      <c r="EH92" s="262">
        <v>0</v>
      </c>
      <c r="EI92" s="262">
        <v>0</v>
      </c>
    </row>
    <row r="93" spans="1:139">
      <c r="A93" s="295">
        <v>2074</v>
      </c>
      <c r="B93" s="258" t="s">
        <v>373</v>
      </c>
      <c r="C93" s="258">
        <v>114</v>
      </c>
      <c r="D93" s="258">
        <v>701</v>
      </c>
      <c r="E93" s="296">
        <v>0</v>
      </c>
      <c r="F93" s="258">
        <v>0</v>
      </c>
      <c r="G93" s="258">
        <v>67788.521546814474</v>
      </c>
      <c r="H93" s="258">
        <v>140.85343685300242</v>
      </c>
      <c r="I93" s="258">
        <v>0</v>
      </c>
      <c r="J93" s="258">
        <v>0</v>
      </c>
      <c r="K93" s="258">
        <v>115</v>
      </c>
      <c r="L93" s="258">
        <v>0</v>
      </c>
      <c r="M93" s="257">
        <v>60</v>
      </c>
      <c r="N93" s="257">
        <v>60</v>
      </c>
      <c r="O93" s="257">
        <v>60</v>
      </c>
      <c r="P93" s="257">
        <v>45</v>
      </c>
      <c r="Q93" s="257">
        <v>54</v>
      </c>
      <c r="R93" s="257">
        <v>48</v>
      </c>
      <c r="X93" s="257">
        <v>94</v>
      </c>
      <c r="Z93" s="257">
        <v>62</v>
      </c>
      <c r="AA93" s="257">
        <v>0</v>
      </c>
      <c r="AC93" s="258">
        <v>0</v>
      </c>
      <c r="AE93" s="258">
        <v>30</v>
      </c>
      <c r="AF93" s="258">
        <v>181.49473684210525</v>
      </c>
      <c r="AG93" s="258">
        <v>51726</v>
      </c>
      <c r="AH93" s="258">
        <v>31.585938879456702</v>
      </c>
      <c r="AJ93" s="258">
        <v>114</v>
      </c>
      <c r="AN93" s="258">
        <v>1</v>
      </c>
      <c r="AQ93" s="258">
        <v>151</v>
      </c>
      <c r="AR93" s="258">
        <v>1</v>
      </c>
      <c r="AS93" s="258">
        <v>0</v>
      </c>
      <c r="AT93" s="258">
        <v>1</v>
      </c>
      <c r="AV93" s="258">
        <v>1</v>
      </c>
      <c r="AW93" s="296"/>
      <c r="AX93" s="258">
        <v>0</v>
      </c>
      <c r="AZ93" s="258">
        <v>0</v>
      </c>
      <c r="BB93" s="258">
        <v>0</v>
      </c>
      <c r="BC93" s="258">
        <v>0</v>
      </c>
      <c r="BD93" s="297" t="s">
        <v>214</v>
      </c>
      <c r="BF93" s="258">
        <v>445.4</v>
      </c>
      <c r="BG93" s="258">
        <v>131</v>
      </c>
      <c r="BO93" s="258">
        <v>0</v>
      </c>
      <c r="BP93" s="258">
        <v>61396.422120702096</v>
      </c>
      <c r="BW93" s="258">
        <v>0</v>
      </c>
      <c r="BX93" s="258">
        <v>0</v>
      </c>
      <c r="BY93" s="258">
        <v>16600</v>
      </c>
      <c r="BZ93" s="258">
        <v>10079</v>
      </c>
      <c r="CA93" s="258">
        <v>20017.784054308508</v>
      </c>
      <c r="CC93" s="325">
        <v>1940.51</v>
      </c>
      <c r="CD93" s="258">
        <v>0</v>
      </c>
      <c r="CJ93" s="258">
        <v>0</v>
      </c>
      <c r="CK93" s="258">
        <v>0</v>
      </c>
      <c r="CQ93" s="325">
        <v>445.4</v>
      </c>
      <c r="CR93" s="258">
        <v>114</v>
      </c>
      <c r="CS93" s="258">
        <v>21.93</v>
      </c>
      <c r="CT93" s="258">
        <v>701</v>
      </c>
      <c r="CU93" s="258">
        <v>0</v>
      </c>
      <c r="CV93" s="258">
        <v>0</v>
      </c>
      <c r="CW93" s="258">
        <v>0</v>
      </c>
      <c r="CY93" s="258">
        <v>1</v>
      </c>
      <c r="DE93" s="258">
        <v>389</v>
      </c>
      <c r="DF93" s="298">
        <v>0</v>
      </c>
      <c r="DG93" s="258" t="s">
        <v>210</v>
      </c>
      <c r="DH93" s="258">
        <v>1</v>
      </c>
      <c r="DI93" s="258">
        <v>29.305912596401029</v>
      </c>
      <c r="DJ93" s="258">
        <v>10.263157894736842</v>
      </c>
      <c r="DK93" s="258">
        <v>11.368421052631579</v>
      </c>
      <c r="DL93" s="258">
        <v>8.3684210526315788</v>
      </c>
      <c r="DM93" s="258">
        <v>19500</v>
      </c>
      <c r="DN93" s="258">
        <v>17280</v>
      </c>
      <c r="DO93" s="258">
        <v>14946</v>
      </c>
      <c r="DP93" s="258">
        <v>68.421052631578945</v>
      </c>
      <c r="DQ93" s="258">
        <v>60.631578947368418</v>
      </c>
      <c r="DR93" s="258">
        <v>52.442105263157892</v>
      </c>
      <c r="DS93" s="258">
        <v>11.907470288624788</v>
      </c>
      <c r="DT93" s="258">
        <v>10.551850594227503</v>
      </c>
      <c r="DU93" s="258">
        <v>9.1266179966044128</v>
      </c>
      <c r="DZ93" s="259">
        <v>43</v>
      </c>
      <c r="EA93" s="259">
        <v>327</v>
      </c>
      <c r="EB93" s="259">
        <v>22</v>
      </c>
      <c r="EC93" s="259">
        <v>42</v>
      </c>
      <c r="ED93" s="259">
        <v>6</v>
      </c>
      <c r="EE93" s="259">
        <v>5</v>
      </c>
      <c r="EF93" s="262">
        <v>18</v>
      </c>
      <c r="EG93" s="262">
        <v>62</v>
      </c>
      <c r="EH93" s="262">
        <v>52</v>
      </c>
      <c r="EI93" s="262">
        <v>171</v>
      </c>
    </row>
    <row r="94" spans="1:139">
      <c r="A94" s="295">
        <v>2077</v>
      </c>
      <c r="B94" s="258" t="s">
        <v>374</v>
      </c>
      <c r="C94" s="258">
        <v>188</v>
      </c>
      <c r="D94" s="258">
        <v>875</v>
      </c>
      <c r="E94" s="296">
        <v>1</v>
      </c>
      <c r="F94" s="258">
        <v>0</v>
      </c>
      <c r="G94" s="258">
        <v>96800.267783063624</v>
      </c>
      <c r="H94" s="258">
        <v>233.42044088176419</v>
      </c>
      <c r="I94" s="258">
        <v>0</v>
      </c>
      <c r="J94" s="258">
        <v>0</v>
      </c>
      <c r="K94" s="258">
        <v>345</v>
      </c>
      <c r="L94" s="258">
        <v>0</v>
      </c>
      <c r="M94" s="257">
        <v>74</v>
      </c>
      <c r="N94" s="257">
        <v>60</v>
      </c>
      <c r="O94" s="257">
        <v>60</v>
      </c>
      <c r="P94" s="257">
        <v>60</v>
      </c>
      <c r="Q94" s="257">
        <v>57</v>
      </c>
      <c r="R94" s="257">
        <v>58</v>
      </c>
      <c r="X94" s="257">
        <v>59</v>
      </c>
      <c r="Z94" s="257">
        <v>71</v>
      </c>
      <c r="AA94" s="257">
        <v>0</v>
      </c>
      <c r="AC94" s="258">
        <v>0</v>
      </c>
      <c r="AE94" s="258">
        <v>30</v>
      </c>
      <c r="AF94" s="258">
        <v>0</v>
      </c>
      <c r="AG94" s="258">
        <v>31449</v>
      </c>
      <c r="AH94" s="258">
        <v>28.671290381125228</v>
      </c>
      <c r="AJ94" s="258">
        <v>188</v>
      </c>
      <c r="AO94" s="258">
        <v>67974.75</v>
      </c>
      <c r="AQ94" s="258">
        <v>261</v>
      </c>
      <c r="AR94" s="258">
        <v>0</v>
      </c>
      <c r="AS94" s="258">
        <v>0</v>
      </c>
      <c r="AT94" s="258">
        <v>1</v>
      </c>
      <c r="AV94" s="258">
        <v>0</v>
      </c>
      <c r="AW94" s="296"/>
      <c r="AX94" s="258">
        <v>0</v>
      </c>
      <c r="AZ94" s="258">
        <v>1</v>
      </c>
      <c r="BB94" s="258">
        <v>0</v>
      </c>
      <c r="BC94" s="258">
        <v>0</v>
      </c>
      <c r="BD94" s="297" t="s">
        <v>214</v>
      </c>
      <c r="BF94" s="258">
        <v>475.4</v>
      </c>
      <c r="BG94" s="258">
        <v>457</v>
      </c>
      <c r="BO94" s="258">
        <v>1</v>
      </c>
      <c r="BP94" s="258">
        <v>81017.048146413887</v>
      </c>
      <c r="BW94" s="258">
        <v>0</v>
      </c>
      <c r="BX94" s="258">
        <v>1264.9100000000001</v>
      </c>
      <c r="BY94" s="258">
        <v>10800</v>
      </c>
      <c r="BZ94" s="258">
        <v>4943</v>
      </c>
      <c r="CA94" s="258">
        <v>23587</v>
      </c>
      <c r="CC94" s="325">
        <v>2561.15</v>
      </c>
      <c r="CD94" s="258">
        <v>0</v>
      </c>
      <c r="CJ94" s="258">
        <v>0</v>
      </c>
      <c r="CK94" s="258">
        <v>0</v>
      </c>
      <c r="CQ94" s="325">
        <v>475.4</v>
      </c>
      <c r="CR94" s="258">
        <v>199.4</v>
      </c>
      <c r="CS94" s="258">
        <v>4.8600000000000003</v>
      </c>
      <c r="CT94" s="258">
        <v>875</v>
      </c>
      <c r="CU94" s="258">
        <v>0</v>
      </c>
      <c r="CV94" s="258">
        <v>0</v>
      </c>
      <c r="CW94" s="258">
        <v>0</v>
      </c>
      <c r="DE94" s="258">
        <v>440</v>
      </c>
      <c r="DF94" s="298">
        <v>0</v>
      </c>
      <c r="DG94" s="258" t="s">
        <v>210</v>
      </c>
      <c r="DH94" s="258">
        <v>1</v>
      </c>
      <c r="DI94" s="258">
        <v>42.727272727272727</v>
      </c>
      <c r="DJ94" s="258">
        <v>10.263157894736842</v>
      </c>
      <c r="DK94" s="258">
        <v>11.368421052631579</v>
      </c>
      <c r="DL94" s="258">
        <v>8.3684210526315788</v>
      </c>
      <c r="DM94" s="258">
        <v>11700</v>
      </c>
      <c r="DN94" s="258">
        <v>10368</v>
      </c>
      <c r="DO94" s="258">
        <v>9381</v>
      </c>
      <c r="DP94" s="258">
        <v>0</v>
      </c>
      <c r="DQ94" s="258">
        <v>0</v>
      </c>
      <c r="DR94" s="258">
        <v>0</v>
      </c>
      <c r="DS94" s="258">
        <v>10.666606170598913</v>
      </c>
      <c r="DT94" s="258">
        <v>9.4522540834845721</v>
      </c>
      <c r="DU94" s="258">
        <v>8.5524301270417418</v>
      </c>
      <c r="DZ94" s="259">
        <v>52</v>
      </c>
      <c r="EA94" s="259">
        <v>369</v>
      </c>
      <c r="EB94" s="259">
        <v>107</v>
      </c>
      <c r="EC94" s="259">
        <v>89</v>
      </c>
      <c r="ED94" s="259">
        <v>9</v>
      </c>
      <c r="EE94" s="259">
        <v>20</v>
      </c>
      <c r="EF94" s="262">
        <v>38</v>
      </c>
      <c r="EG94" s="262">
        <v>34</v>
      </c>
      <c r="EH94" s="262">
        <v>124</v>
      </c>
      <c r="EI94" s="262">
        <v>101</v>
      </c>
    </row>
    <row r="95" spans="1:139">
      <c r="A95" s="295">
        <v>3316</v>
      </c>
      <c r="B95" s="258" t="s">
        <v>375</v>
      </c>
      <c r="C95" s="258">
        <v>15</v>
      </c>
      <c r="D95" s="258">
        <v>13</v>
      </c>
      <c r="E95" s="296">
        <v>0</v>
      </c>
      <c r="F95" s="258">
        <v>0</v>
      </c>
      <c r="G95" s="258">
        <v>14614.045815420261</v>
      </c>
      <c r="H95" s="258">
        <v>31.29</v>
      </c>
      <c r="I95" s="258">
        <v>0</v>
      </c>
      <c r="J95" s="258">
        <v>0</v>
      </c>
      <c r="K95" s="258">
        <v>0</v>
      </c>
      <c r="L95" s="258">
        <v>0</v>
      </c>
      <c r="M95" s="257">
        <v>30</v>
      </c>
      <c r="N95" s="257">
        <v>30</v>
      </c>
      <c r="O95" s="257">
        <v>29</v>
      </c>
      <c r="P95" s="257">
        <v>29</v>
      </c>
      <c r="Q95" s="257">
        <v>30</v>
      </c>
      <c r="R95" s="257">
        <v>28</v>
      </c>
      <c r="X95" s="257">
        <v>0</v>
      </c>
      <c r="Z95" s="257">
        <v>30</v>
      </c>
      <c r="AA95" s="257">
        <v>0</v>
      </c>
      <c r="AC95" s="258">
        <v>0</v>
      </c>
      <c r="AE95" s="258">
        <v>0</v>
      </c>
      <c r="AF95" s="258">
        <v>0</v>
      </c>
      <c r="AG95" s="258">
        <v>0</v>
      </c>
      <c r="AH95" s="258">
        <v>0</v>
      </c>
      <c r="AJ95" s="258">
        <v>15</v>
      </c>
      <c r="AQ95" s="258">
        <v>15</v>
      </c>
      <c r="AR95" s="258">
        <v>0</v>
      </c>
      <c r="AS95" s="258">
        <v>0</v>
      </c>
      <c r="AT95" s="258">
        <v>1</v>
      </c>
      <c r="AV95" s="258">
        <v>2</v>
      </c>
      <c r="AW95" s="296"/>
      <c r="AX95" s="258">
        <v>0</v>
      </c>
      <c r="AZ95" s="258">
        <v>0</v>
      </c>
      <c r="BB95" s="258">
        <v>0</v>
      </c>
      <c r="BC95" s="258">
        <v>0</v>
      </c>
      <c r="BD95" s="297" t="s">
        <v>597</v>
      </c>
      <c r="BF95" s="258">
        <v>0</v>
      </c>
      <c r="BG95" s="258">
        <v>0</v>
      </c>
      <c r="BO95" s="258">
        <v>1</v>
      </c>
      <c r="BP95" s="258">
        <v>0</v>
      </c>
      <c r="BW95" s="258">
        <v>0</v>
      </c>
      <c r="BX95" s="258">
        <v>0</v>
      </c>
      <c r="BY95" s="258">
        <v>5505</v>
      </c>
      <c r="BZ95" s="258">
        <v>1420</v>
      </c>
      <c r="CA95" s="258">
        <v>0</v>
      </c>
      <c r="CC95" s="325">
        <v>1166</v>
      </c>
      <c r="CD95" s="258">
        <v>0</v>
      </c>
      <c r="CJ95" s="258">
        <v>0</v>
      </c>
      <c r="CK95" s="258">
        <v>0</v>
      </c>
      <c r="CQ95" s="325">
        <v>206</v>
      </c>
      <c r="CR95" s="258">
        <v>15</v>
      </c>
      <c r="CS95" s="258">
        <v>0.87000000000000099</v>
      </c>
      <c r="CT95" s="258">
        <v>0</v>
      </c>
      <c r="CU95" s="258">
        <v>0</v>
      </c>
      <c r="CV95" s="258">
        <v>0</v>
      </c>
      <c r="CW95" s="258">
        <v>0</v>
      </c>
      <c r="DE95" s="258">
        <v>206</v>
      </c>
      <c r="DF95" s="298">
        <v>0</v>
      </c>
      <c r="DG95" s="258" t="s">
        <v>210</v>
      </c>
      <c r="DH95" s="258">
        <v>1</v>
      </c>
      <c r="DI95" s="258">
        <v>7.2815533980582519</v>
      </c>
      <c r="DJ95" s="258">
        <v>0</v>
      </c>
      <c r="DK95" s="258">
        <v>0</v>
      </c>
      <c r="DL95" s="258">
        <v>0</v>
      </c>
      <c r="DM95" s="258">
        <v>0</v>
      </c>
      <c r="DN95" s="258">
        <v>0</v>
      </c>
      <c r="DO95" s="258">
        <v>0</v>
      </c>
      <c r="DP95" s="258">
        <v>0</v>
      </c>
      <c r="DQ95" s="258">
        <v>0</v>
      </c>
      <c r="DR95" s="258">
        <v>0</v>
      </c>
      <c r="DS95" s="258">
        <v>0</v>
      </c>
      <c r="DT95" s="258">
        <v>0</v>
      </c>
      <c r="DU95" s="258">
        <v>0</v>
      </c>
      <c r="DZ95" s="259">
        <v>10</v>
      </c>
      <c r="EA95" s="259">
        <v>176</v>
      </c>
      <c r="EB95" s="259">
        <v>0</v>
      </c>
      <c r="EC95" s="259">
        <v>7</v>
      </c>
      <c r="ED95" s="259">
        <v>0</v>
      </c>
      <c r="EE95" s="259">
        <v>2</v>
      </c>
      <c r="EF95" s="262">
        <v>0</v>
      </c>
      <c r="EG95" s="262">
        <v>2</v>
      </c>
      <c r="EH95" s="262">
        <v>0</v>
      </c>
      <c r="EI95" s="262">
        <v>5</v>
      </c>
    </row>
    <row r="96" spans="1:139">
      <c r="A96" s="295">
        <v>2055</v>
      </c>
      <c r="B96" s="258" t="s">
        <v>376</v>
      </c>
      <c r="C96" s="258">
        <v>67</v>
      </c>
      <c r="D96" s="258">
        <v>430</v>
      </c>
      <c r="E96" s="296">
        <v>0</v>
      </c>
      <c r="F96" s="258">
        <v>42</v>
      </c>
      <c r="G96" s="258">
        <v>70734.66969750289</v>
      </c>
      <c r="H96" s="258">
        <v>57.073673469387707</v>
      </c>
      <c r="I96" s="258">
        <v>0</v>
      </c>
      <c r="J96" s="258">
        <v>0</v>
      </c>
      <c r="K96" s="258">
        <v>77.083631591505593</v>
      </c>
      <c r="L96" s="258">
        <v>0</v>
      </c>
      <c r="M96" s="257">
        <v>47</v>
      </c>
      <c r="N96" s="257">
        <v>30</v>
      </c>
      <c r="O96" s="257">
        <v>27</v>
      </c>
      <c r="P96" s="257">
        <v>29</v>
      </c>
      <c r="Q96" s="257">
        <v>24</v>
      </c>
      <c r="R96" s="257">
        <v>20</v>
      </c>
      <c r="X96" s="257">
        <v>40</v>
      </c>
      <c r="Z96" s="257">
        <v>28</v>
      </c>
      <c r="AA96" s="257">
        <v>0</v>
      </c>
      <c r="AC96" s="258">
        <v>0</v>
      </c>
      <c r="AE96" s="258">
        <v>30</v>
      </c>
      <c r="AF96" s="258">
        <v>72.10526315789474</v>
      </c>
      <c r="AG96" s="258">
        <v>20550</v>
      </c>
      <c r="AH96" s="258">
        <v>9.563434903047094</v>
      </c>
      <c r="AJ96" s="258">
        <v>67</v>
      </c>
      <c r="AO96" s="258">
        <v>46222.83</v>
      </c>
      <c r="AQ96" s="258">
        <v>82</v>
      </c>
      <c r="AR96" s="258">
        <v>0</v>
      </c>
      <c r="AS96" s="258">
        <v>0</v>
      </c>
      <c r="AT96" s="258">
        <v>1</v>
      </c>
      <c r="AV96" s="258">
        <v>2</v>
      </c>
      <c r="AW96" s="296"/>
      <c r="AX96" s="258">
        <v>0</v>
      </c>
      <c r="AZ96" s="258">
        <v>0</v>
      </c>
      <c r="BB96" s="258">
        <v>0</v>
      </c>
      <c r="BC96" s="258">
        <v>0</v>
      </c>
      <c r="BD96" s="297" t="s">
        <v>214</v>
      </c>
      <c r="BF96" s="258">
        <v>229</v>
      </c>
      <c r="BG96" s="258">
        <v>111</v>
      </c>
      <c r="BO96" s="258">
        <v>0</v>
      </c>
      <c r="BP96" s="258">
        <v>21978.024258532139</v>
      </c>
      <c r="BW96" s="258">
        <v>0</v>
      </c>
      <c r="BX96" s="258">
        <v>1106.79</v>
      </c>
      <c r="BY96" s="258">
        <v>16900</v>
      </c>
      <c r="BZ96" s="258">
        <v>3659</v>
      </c>
      <c r="CA96" s="258">
        <v>15343</v>
      </c>
      <c r="CC96" s="325">
        <v>2192</v>
      </c>
      <c r="CD96" s="258">
        <v>0</v>
      </c>
      <c r="CJ96" s="258">
        <v>0</v>
      </c>
      <c r="CK96" s="258">
        <v>0</v>
      </c>
      <c r="CQ96" s="325">
        <v>229</v>
      </c>
      <c r="CR96" s="258">
        <v>67</v>
      </c>
      <c r="CS96" s="258">
        <v>11.07</v>
      </c>
      <c r="CT96" s="258">
        <v>430</v>
      </c>
      <c r="CU96" s="258">
        <v>0</v>
      </c>
      <c r="CV96" s="258">
        <v>0</v>
      </c>
      <c r="CW96" s="258">
        <v>0</v>
      </c>
      <c r="CY96" s="258">
        <v>0</v>
      </c>
      <c r="DE96" s="258">
        <v>205</v>
      </c>
      <c r="DF96" s="298">
        <v>0</v>
      </c>
      <c r="DG96" s="258" t="s">
        <v>210</v>
      </c>
      <c r="DH96" s="258">
        <v>1</v>
      </c>
      <c r="DI96" s="258">
        <v>32.682926829268297</v>
      </c>
      <c r="DJ96" s="258">
        <v>10.263157894736842</v>
      </c>
      <c r="DK96" s="258">
        <v>11.368421052631579</v>
      </c>
      <c r="DL96" s="258">
        <v>8.3684210526315788</v>
      </c>
      <c r="DM96" s="258">
        <v>6630</v>
      </c>
      <c r="DN96" s="258">
        <v>7560</v>
      </c>
      <c r="DO96" s="258">
        <v>6360</v>
      </c>
      <c r="DP96" s="258">
        <v>23.263157894736842</v>
      </c>
      <c r="DQ96" s="258">
        <v>26.526315789473685</v>
      </c>
      <c r="DR96" s="258">
        <v>22.315789473684209</v>
      </c>
      <c r="DS96" s="258">
        <v>3.0854293628808875</v>
      </c>
      <c r="DT96" s="258">
        <v>3.5182271468144055</v>
      </c>
      <c r="DU96" s="258">
        <v>2.9597783933518009</v>
      </c>
      <c r="DZ96" s="259">
        <v>42</v>
      </c>
      <c r="EA96" s="259">
        <v>177</v>
      </c>
      <c r="EB96" s="259">
        <v>18</v>
      </c>
      <c r="EC96" s="259">
        <v>24</v>
      </c>
      <c r="ED96" s="259">
        <v>10</v>
      </c>
      <c r="EE96" s="259">
        <v>3</v>
      </c>
      <c r="EF96" s="262">
        <v>18</v>
      </c>
      <c r="EG96" s="262">
        <v>32</v>
      </c>
      <c r="EH96" s="262">
        <v>34</v>
      </c>
      <c r="EI96" s="262">
        <v>74</v>
      </c>
    </row>
    <row r="97" spans="1:158">
      <c r="A97" s="295">
        <v>2057</v>
      </c>
      <c r="B97" s="258" t="s">
        <v>112</v>
      </c>
      <c r="C97" s="258">
        <v>59</v>
      </c>
      <c r="D97" s="258">
        <v>334</v>
      </c>
      <c r="E97" s="296">
        <v>0</v>
      </c>
      <c r="F97" s="258">
        <v>0</v>
      </c>
      <c r="G97" s="258">
        <v>80074.864910984266</v>
      </c>
      <c r="H97" s="258">
        <v>50.816749999999985</v>
      </c>
      <c r="I97" s="258">
        <v>0</v>
      </c>
      <c r="J97" s="258">
        <v>0</v>
      </c>
      <c r="K97" s="258">
        <v>25</v>
      </c>
      <c r="L97" s="258">
        <v>0</v>
      </c>
      <c r="M97" s="257">
        <v>47</v>
      </c>
      <c r="N97" s="257">
        <v>50</v>
      </c>
      <c r="O97" s="257">
        <v>0</v>
      </c>
      <c r="P97" s="257">
        <v>0</v>
      </c>
      <c r="Q97" s="257">
        <v>0</v>
      </c>
      <c r="R97" s="257">
        <v>0</v>
      </c>
      <c r="X97" s="257">
        <v>45</v>
      </c>
      <c r="Z97" s="257">
        <v>58</v>
      </c>
      <c r="AA97" s="257">
        <v>0</v>
      </c>
      <c r="AC97" s="258">
        <v>0</v>
      </c>
      <c r="AE97" s="258">
        <v>30</v>
      </c>
      <c r="AF97" s="258">
        <v>43.60526315789474</v>
      </c>
      <c r="AG97" s="258">
        <v>24855</v>
      </c>
      <c r="AH97" s="258">
        <v>14.76764912280702</v>
      </c>
      <c r="AJ97" s="258">
        <v>59</v>
      </c>
      <c r="AQ97" s="258">
        <v>74</v>
      </c>
      <c r="AR97" s="258">
        <v>0</v>
      </c>
      <c r="AS97" s="258">
        <v>0</v>
      </c>
      <c r="AT97" s="258">
        <v>1</v>
      </c>
      <c r="AV97" s="258">
        <v>0</v>
      </c>
      <c r="AW97" s="296"/>
      <c r="AX97" s="258">
        <v>0</v>
      </c>
      <c r="AZ97" s="258">
        <v>0</v>
      </c>
      <c r="BB97" s="258">
        <v>0</v>
      </c>
      <c r="BC97" s="258">
        <v>0</v>
      </c>
      <c r="BD97" s="297" t="s">
        <v>214</v>
      </c>
      <c r="BF97" s="258">
        <v>182</v>
      </c>
      <c r="BG97" s="258">
        <v>103</v>
      </c>
      <c r="BO97" s="258">
        <v>0</v>
      </c>
      <c r="BP97" s="258">
        <v>0</v>
      </c>
      <c r="BW97" s="258">
        <v>0</v>
      </c>
      <c r="BX97" s="258">
        <v>869.63</v>
      </c>
      <c r="BY97" s="258">
        <v>7946.0237659963441</v>
      </c>
      <c r="BZ97" s="258">
        <v>2416</v>
      </c>
      <c r="CA97" s="258">
        <v>12766.351826895701</v>
      </c>
      <c r="CC97" s="325">
        <v>1250.33</v>
      </c>
      <c r="CD97" s="258">
        <v>0</v>
      </c>
      <c r="CJ97" s="258">
        <v>0</v>
      </c>
      <c r="CK97" s="258">
        <v>0</v>
      </c>
      <c r="CQ97" s="325">
        <v>182</v>
      </c>
      <c r="CR97" s="258">
        <v>60.8</v>
      </c>
      <c r="CS97" s="258">
        <v>13</v>
      </c>
      <c r="CT97" s="258">
        <v>334</v>
      </c>
      <c r="CU97" s="258">
        <v>0</v>
      </c>
      <c r="CV97" s="258">
        <v>0</v>
      </c>
      <c r="CW97" s="258">
        <v>0</v>
      </c>
      <c r="DE97" s="258">
        <v>155</v>
      </c>
      <c r="DF97" s="298">
        <v>0</v>
      </c>
      <c r="DG97" s="258" t="s">
        <v>280</v>
      </c>
      <c r="DH97" s="258">
        <v>1</v>
      </c>
      <c r="DI97" s="258">
        <v>38.064516129032256</v>
      </c>
      <c r="DJ97" s="258">
        <v>10.263157894736842</v>
      </c>
      <c r="DK97" s="258">
        <v>11.368421052631579</v>
      </c>
      <c r="DL97" s="258">
        <v>8.3684210526315788</v>
      </c>
      <c r="DM97" s="258">
        <v>10140</v>
      </c>
      <c r="DN97" s="258">
        <v>7560</v>
      </c>
      <c r="DO97" s="258">
        <v>7155</v>
      </c>
      <c r="DP97" s="258">
        <v>17.789473684210527</v>
      </c>
      <c r="DQ97" s="258">
        <v>13.263157894736842</v>
      </c>
      <c r="DR97" s="258">
        <v>12.552631578947368</v>
      </c>
      <c r="DS97" s="258">
        <v>6.0247017543859664</v>
      </c>
      <c r="DT97" s="258">
        <v>4.4917894736842117</v>
      </c>
      <c r="DU97" s="258">
        <v>4.251157894736842</v>
      </c>
      <c r="DZ97" s="259">
        <v>15</v>
      </c>
      <c r="EA97" s="259">
        <v>97</v>
      </c>
      <c r="EB97" s="259">
        <v>19</v>
      </c>
      <c r="EC97" s="259">
        <v>25</v>
      </c>
      <c r="ED97" s="259">
        <v>5</v>
      </c>
      <c r="EE97" s="259">
        <v>6</v>
      </c>
      <c r="EF97" s="262">
        <v>12</v>
      </c>
      <c r="EG97" s="262">
        <v>8</v>
      </c>
      <c r="EH97" s="262">
        <v>48</v>
      </c>
      <c r="EI97" s="262">
        <v>74</v>
      </c>
    </row>
    <row r="98" spans="1:158">
      <c r="A98" s="295">
        <v>2056</v>
      </c>
      <c r="B98" s="258" t="s">
        <v>113</v>
      </c>
      <c r="C98" s="258">
        <v>73</v>
      </c>
      <c r="D98" s="258">
        <v>214</v>
      </c>
      <c r="E98" s="296">
        <v>0</v>
      </c>
      <c r="F98" s="258">
        <v>0</v>
      </c>
      <c r="G98" s="258">
        <v>64.455061728395052</v>
      </c>
      <c r="H98" s="258">
        <v>70.900000000000006</v>
      </c>
      <c r="I98" s="258">
        <v>0</v>
      </c>
      <c r="J98" s="258">
        <v>0</v>
      </c>
      <c r="K98" s="258">
        <v>80</v>
      </c>
      <c r="L98" s="258">
        <v>0</v>
      </c>
      <c r="M98" s="257">
        <v>0</v>
      </c>
      <c r="N98" s="257">
        <v>0</v>
      </c>
      <c r="O98" s="257">
        <v>59</v>
      </c>
      <c r="P98" s="257">
        <v>69</v>
      </c>
      <c r="Q98" s="257">
        <v>56</v>
      </c>
      <c r="R98" s="257">
        <v>52</v>
      </c>
      <c r="X98" s="257">
        <v>0</v>
      </c>
      <c r="Z98" s="257">
        <v>0</v>
      </c>
      <c r="AA98" s="257">
        <v>0</v>
      </c>
      <c r="AC98" s="258">
        <v>0</v>
      </c>
      <c r="AE98" s="258">
        <v>0</v>
      </c>
      <c r="AF98" s="258">
        <v>0</v>
      </c>
      <c r="AG98" s="258">
        <v>0</v>
      </c>
      <c r="AH98" s="258">
        <v>0</v>
      </c>
      <c r="AJ98" s="258">
        <v>73</v>
      </c>
      <c r="AQ98" s="258">
        <v>104</v>
      </c>
      <c r="AR98" s="258">
        <v>0</v>
      </c>
      <c r="AS98" s="258">
        <v>0</v>
      </c>
      <c r="AT98" s="258">
        <v>1</v>
      </c>
      <c r="AV98" s="258">
        <v>4</v>
      </c>
      <c r="AW98" s="296"/>
      <c r="AX98" s="258">
        <v>0</v>
      </c>
      <c r="AZ98" s="258">
        <v>0</v>
      </c>
      <c r="BB98" s="258">
        <v>0</v>
      </c>
      <c r="BC98" s="258">
        <v>0</v>
      </c>
      <c r="BD98" s="297" t="s">
        <v>214</v>
      </c>
      <c r="BF98" s="258">
        <v>236</v>
      </c>
      <c r="BG98" s="258">
        <v>96</v>
      </c>
      <c r="BO98" s="258">
        <v>0</v>
      </c>
      <c r="BP98" s="258">
        <v>0</v>
      </c>
      <c r="BW98" s="258">
        <v>0</v>
      </c>
      <c r="BX98" s="258">
        <v>869.62</v>
      </c>
      <c r="BY98" s="258">
        <v>13053.976234003656</v>
      </c>
      <c r="BZ98" s="258">
        <v>4752</v>
      </c>
      <c r="CA98" s="258">
        <v>12766.351826895701</v>
      </c>
      <c r="CC98" s="325">
        <v>2269</v>
      </c>
      <c r="CD98" s="258">
        <v>1</v>
      </c>
      <c r="CJ98" s="258">
        <v>0</v>
      </c>
      <c r="CK98" s="258">
        <v>0</v>
      </c>
      <c r="CQ98" s="325">
        <v>236</v>
      </c>
      <c r="CR98" s="258">
        <v>73</v>
      </c>
      <c r="CS98" s="258">
        <v>17.079999999999998</v>
      </c>
      <c r="CT98" s="258">
        <v>214</v>
      </c>
      <c r="CU98" s="258">
        <v>0</v>
      </c>
      <c r="CV98" s="258">
        <v>0</v>
      </c>
      <c r="CW98" s="258">
        <v>0</v>
      </c>
      <c r="DE98" s="258">
        <v>236</v>
      </c>
      <c r="DF98" s="298">
        <v>0</v>
      </c>
      <c r="DG98" s="258" t="s">
        <v>279</v>
      </c>
      <c r="DH98" s="258">
        <v>1</v>
      </c>
      <c r="DI98" s="258">
        <v>30.932203389830509</v>
      </c>
      <c r="DJ98" s="258">
        <v>0</v>
      </c>
      <c r="DK98" s="258">
        <v>0</v>
      </c>
      <c r="DL98" s="258">
        <v>0</v>
      </c>
      <c r="DM98" s="258">
        <v>0</v>
      </c>
      <c r="DN98" s="258">
        <v>0</v>
      </c>
      <c r="DO98" s="258">
        <v>0</v>
      </c>
      <c r="DP98" s="258">
        <v>0</v>
      </c>
      <c r="DQ98" s="258">
        <v>0</v>
      </c>
      <c r="DR98" s="258">
        <v>0</v>
      </c>
      <c r="DS98" s="258">
        <v>0</v>
      </c>
      <c r="DT98" s="258">
        <v>0</v>
      </c>
      <c r="DU98" s="258">
        <v>0</v>
      </c>
      <c r="DZ98" s="259">
        <v>30</v>
      </c>
      <c r="EA98" s="259">
        <v>236</v>
      </c>
      <c r="EB98" s="259">
        <v>20</v>
      </c>
      <c r="EC98" s="259">
        <v>23</v>
      </c>
      <c r="ED98" s="259">
        <v>3</v>
      </c>
      <c r="EE98" s="259">
        <v>4</v>
      </c>
      <c r="EF98" s="262">
        <v>18</v>
      </c>
      <c r="EG98" s="262">
        <v>22</v>
      </c>
      <c r="EH98" s="262">
        <v>0</v>
      </c>
      <c r="EI98" s="262">
        <v>0</v>
      </c>
    </row>
    <row r="99" spans="1:158">
      <c r="A99" s="295">
        <v>2076</v>
      </c>
      <c r="B99" s="258" t="s">
        <v>377</v>
      </c>
      <c r="C99" s="258">
        <v>141</v>
      </c>
      <c r="D99" s="258">
        <v>1327</v>
      </c>
      <c r="E99" s="296">
        <v>0</v>
      </c>
      <c r="F99" s="258">
        <v>100</v>
      </c>
      <c r="G99" s="258">
        <v>84744.008991884446</v>
      </c>
      <c r="H99" s="258">
        <v>122.05604838709679</v>
      </c>
      <c r="I99" s="258">
        <v>0</v>
      </c>
      <c r="J99" s="258">
        <v>0</v>
      </c>
      <c r="K99" s="258">
        <v>35</v>
      </c>
      <c r="L99" s="258">
        <v>0</v>
      </c>
      <c r="M99" s="257">
        <v>62</v>
      </c>
      <c r="N99" s="257">
        <v>86</v>
      </c>
      <c r="O99" s="257">
        <v>57</v>
      </c>
      <c r="P99" s="257">
        <v>59</v>
      </c>
      <c r="Q99" s="257">
        <v>47</v>
      </c>
      <c r="R99" s="257">
        <v>52</v>
      </c>
      <c r="X99" s="257">
        <v>75</v>
      </c>
      <c r="Z99" s="257">
        <v>58</v>
      </c>
      <c r="AA99" s="257">
        <v>0</v>
      </c>
      <c r="AC99" s="258">
        <v>0</v>
      </c>
      <c r="AE99" s="258">
        <v>30</v>
      </c>
      <c r="AF99" s="258">
        <v>138.41052631578947</v>
      </c>
      <c r="AG99" s="258">
        <v>39447</v>
      </c>
      <c r="AH99" s="258">
        <v>17.58187766714083</v>
      </c>
      <c r="AJ99" s="258">
        <v>141</v>
      </c>
      <c r="AN99" s="258">
        <v>1</v>
      </c>
      <c r="AQ99" s="258">
        <v>182</v>
      </c>
      <c r="AR99" s="258">
        <v>0</v>
      </c>
      <c r="AS99" s="258">
        <v>0</v>
      </c>
      <c r="AT99" s="258">
        <v>1</v>
      </c>
      <c r="AV99" s="258">
        <v>2</v>
      </c>
      <c r="AW99" s="296"/>
      <c r="AX99" s="258">
        <v>0</v>
      </c>
      <c r="AZ99" s="258">
        <v>0</v>
      </c>
      <c r="BB99" s="258">
        <v>0</v>
      </c>
      <c r="BC99" s="258">
        <v>0</v>
      </c>
      <c r="BD99" s="297" t="s">
        <v>214</v>
      </c>
      <c r="BF99" s="258">
        <v>466</v>
      </c>
      <c r="BG99" s="258">
        <v>260</v>
      </c>
      <c r="BO99" s="258">
        <v>0</v>
      </c>
      <c r="BP99" s="258">
        <v>71604.800442862033</v>
      </c>
      <c r="BW99" s="258">
        <v>0</v>
      </c>
      <c r="BX99" s="258">
        <v>0</v>
      </c>
      <c r="BY99" s="258">
        <v>6400</v>
      </c>
      <c r="BZ99" s="258">
        <v>4176</v>
      </c>
      <c r="CA99" s="258">
        <v>23816</v>
      </c>
      <c r="CC99" s="325">
        <v>2311</v>
      </c>
      <c r="CD99" s="258">
        <v>1</v>
      </c>
      <c r="CJ99" s="258">
        <v>0</v>
      </c>
      <c r="CK99" s="258">
        <v>0</v>
      </c>
      <c r="CQ99" s="325">
        <v>466</v>
      </c>
      <c r="CR99" s="258">
        <v>143.4</v>
      </c>
      <c r="CS99" s="258">
        <v>14.84</v>
      </c>
      <c r="CT99" s="258">
        <v>1327</v>
      </c>
      <c r="CU99" s="258">
        <v>0</v>
      </c>
      <c r="CV99" s="258">
        <v>0</v>
      </c>
      <c r="CW99" s="258">
        <v>0</v>
      </c>
      <c r="CY99" s="258">
        <v>1</v>
      </c>
      <c r="DE99" s="258">
        <v>421</v>
      </c>
      <c r="DF99" s="298">
        <v>0</v>
      </c>
      <c r="DG99" s="258" t="s">
        <v>210</v>
      </c>
      <c r="DH99" s="258">
        <v>1</v>
      </c>
      <c r="DI99" s="258">
        <v>33.4916864608076</v>
      </c>
      <c r="DJ99" s="258">
        <v>10.263157894736842</v>
      </c>
      <c r="DK99" s="258">
        <v>11.368421052631579</v>
      </c>
      <c r="DL99" s="258">
        <v>8.3684210526315788</v>
      </c>
      <c r="DM99" s="258">
        <v>15210</v>
      </c>
      <c r="DN99" s="258">
        <v>12312</v>
      </c>
      <c r="DO99" s="258">
        <v>11925</v>
      </c>
      <c r="DP99" s="258">
        <v>53.368421052631582</v>
      </c>
      <c r="DQ99" s="258">
        <v>43.2</v>
      </c>
      <c r="DR99" s="258">
        <v>41.842105263157897</v>
      </c>
      <c r="DS99" s="258">
        <v>6.7792318634423925</v>
      </c>
      <c r="DT99" s="258">
        <v>5.4875675675675692</v>
      </c>
      <c r="DU99" s="258">
        <v>5.3150782361308693</v>
      </c>
      <c r="DZ99" s="259">
        <v>100</v>
      </c>
      <c r="EA99" s="259">
        <v>363</v>
      </c>
      <c r="EB99" s="259">
        <v>59</v>
      </c>
      <c r="EC99" s="259">
        <v>57</v>
      </c>
      <c r="ED99" s="259">
        <v>8</v>
      </c>
      <c r="EE99" s="259">
        <v>2</v>
      </c>
      <c r="EF99" s="262">
        <v>60</v>
      </c>
      <c r="EG99" s="262">
        <v>130</v>
      </c>
      <c r="EH99" s="262">
        <v>74</v>
      </c>
      <c r="EI99" s="262">
        <v>165</v>
      </c>
    </row>
    <row r="100" spans="1:158">
      <c r="A100" s="295">
        <v>2060</v>
      </c>
      <c r="B100" s="258" t="s">
        <v>378</v>
      </c>
      <c r="C100" s="258">
        <v>164</v>
      </c>
      <c r="D100" s="258">
        <v>579</v>
      </c>
      <c r="E100" s="296">
        <v>0</v>
      </c>
      <c r="F100" s="258">
        <v>88</v>
      </c>
      <c r="G100" s="258">
        <v>99327.558627362712</v>
      </c>
      <c r="H100" s="258">
        <v>103.00379146919403</v>
      </c>
      <c r="I100" s="258">
        <v>0</v>
      </c>
      <c r="J100" s="258">
        <v>0</v>
      </c>
      <c r="K100" s="258">
        <v>79.167263183011215</v>
      </c>
      <c r="L100" s="258">
        <v>0</v>
      </c>
      <c r="M100" s="257">
        <v>57</v>
      </c>
      <c r="N100" s="257">
        <v>60</v>
      </c>
      <c r="O100" s="257">
        <v>57</v>
      </c>
      <c r="P100" s="257">
        <v>52</v>
      </c>
      <c r="Q100" s="257">
        <v>30</v>
      </c>
      <c r="R100" s="257">
        <v>43</v>
      </c>
      <c r="X100" s="257">
        <v>66</v>
      </c>
      <c r="Z100" s="257">
        <v>57</v>
      </c>
      <c r="AA100" s="257">
        <v>0</v>
      </c>
      <c r="AC100" s="258">
        <v>0</v>
      </c>
      <c r="AE100" s="258">
        <v>30</v>
      </c>
      <c r="AF100" s="258">
        <v>0</v>
      </c>
      <c r="AG100" s="258">
        <v>32778</v>
      </c>
      <c r="AH100" s="258">
        <v>14.879486842105262</v>
      </c>
      <c r="AJ100" s="258">
        <v>164</v>
      </c>
      <c r="AQ100" s="258">
        <v>195</v>
      </c>
      <c r="AR100" s="258">
        <v>0</v>
      </c>
      <c r="AS100" s="258">
        <v>1</v>
      </c>
      <c r="AT100" s="258">
        <v>1</v>
      </c>
      <c r="AV100" s="258">
        <v>2</v>
      </c>
      <c r="AW100" s="296"/>
      <c r="AX100" s="258">
        <v>0</v>
      </c>
      <c r="AZ100" s="258">
        <v>0</v>
      </c>
      <c r="BB100" s="258">
        <v>0</v>
      </c>
      <c r="BC100" s="258">
        <v>0</v>
      </c>
      <c r="BD100" s="297" t="s">
        <v>214</v>
      </c>
      <c r="BF100" s="258">
        <v>395.6</v>
      </c>
      <c r="BG100" s="258">
        <v>204</v>
      </c>
      <c r="BO100" s="258">
        <v>2</v>
      </c>
      <c r="BP100" s="258">
        <v>54813.232974122999</v>
      </c>
      <c r="BW100" s="258">
        <v>0</v>
      </c>
      <c r="BX100" s="258">
        <v>0</v>
      </c>
      <c r="BY100" s="258">
        <v>16430</v>
      </c>
      <c r="BZ100" s="258">
        <v>11139</v>
      </c>
      <c r="CA100" s="258">
        <v>17633</v>
      </c>
      <c r="CC100" s="325">
        <v>3050</v>
      </c>
      <c r="CD100" s="258">
        <v>1</v>
      </c>
      <c r="CJ100" s="258">
        <v>0</v>
      </c>
      <c r="CK100" s="258">
        <v>0</v>
      </c>
      <c r="CQ100" s="325">
        <v>395.6</v>
      </c>
      <c r="CR100" s="258">
        <v>168.2</v>
      </c>
      <c r="CS100" s="258">
        <v>12.98</v>
      </c>
      <c r="CT100" s="258">
        <v>579</v>
      </c>
      <c r="CU100" s="258">
        <v>0</v>
      </c>
      <c r="CV100" s="258">
        <v>0</v>
      </c>
      <c r="CW100" s="258">
        <v>0</v>
      </c>
      <c r="DE100" s="258">
        <v>356</v>
      </c>
      <c r="DF100" s="298">
        <v>0</v>
      </c>
      <c r="DG100" s="258" t="s">
        <v>210</v>
      </c>
      <c r="DH100" s="258">
        <v>1</v>
      </c>
      <c r="DI100" s="258">
        <v>46.067415730337082</v>
      </c>
      <c r="DJ100" s="258">
        <v>10.263157894736842</v>
      </c>
      <c r="DK100" s="258">
        <v>11.368421052631579</v>
      </c>
      <c r="DL100" s="258">
        <v>8.3684210526315788</v>
      </c>
      <c r="DM100" s="258">
        <v>11700</v>
      </c>
      <c r="DN100" s="258">
        <v>10584</v>
      </c>
      <c r="DO100" s="258">
        <v>10494</v>
      </c>
      <c r="DP100" s="258">
        <v>0</v>
      </c>
      <c r="DQ100" s="258">
        <v>0</v>
      </c>
      <c r="DR100" s="258">
        <v>0</v>
      </c>
      <c r="DS100" s="258">
        <v>5.3111842105263154</v>
      </c>
      <c r="DT100" s="258">
        <v>4.8045789473684204</v>
      </c>
      <c r="DU100" s="258">
        <v>4.7637236842105253</v>
      </c>
      <c r="DZ100" s="259">
        <v>88</v>
      </c>
      <c r="EA100" s="259">
        <v>238</v>
      </c>
      <c r="EB100" s="259">
        <v>43</v>
      </c>
      <c r="EC100" s="259">
        <v>27</v>
      </c>
      <c r="ED100" s="259">
        <v>11</v>
      </c>
      <c r="EE100" s="259">
        <v>15</v>
      </c>
      <c r="EF100" s="262">
        <v>18</v>
      </c>
      <c r="EG100" s="262">
        <v>56</v>
      </c>
      <c r="EH100" s="262">
        <v>58</v>
      </c>
      <c r="EI100" s="262">
        <v>55</v>
      </c>
    </row>
    <row r="101" spans="1:158">
      <c r="A101" s="295">
        <v>3518</v>
      </c>
      <c r="B101" s="258" t="s">
        <v>116</v>
      </c>
      <c r="C101" s="258">
        <v>186</v>
      </c>
      <c r="D101" s="258">
        <v>675</v>
      </c>
      <c r="E101" s="296">
        <v>0</v>
      </c>
      <c r="F101" s="258">
        <v>0</v>
      </c>
      <c r="G101" s="258">
        <v>99264.596487499526</v>
      </c>
      <c r="H101" s="258">
        <v>177.40109170305661</v>
      </c>
      <c r="I101" s="258">
        <v>0</v>
      </c>
      <c r="J101" s="258">
        <v>0</v>
      </c>
      <c r="K101" s="258">
        <v>181.25029825817225</v>
      </c>
      <c r="L101" s="258">
        <v>0</v>
      </c>
      <c r="M101" s="257">
        <v>79</v>
      </c>
      <c r="N101" s="257">
        <v>62</v>
      </c>
      <c r="O101" s="257">
        <v>60</v>
      </c>
      <c r="P101" s="257">
        <v>53</v>
      </c>
      <c r="Q101" s="257">
        <v>52</v>
      </c>
      <c r="R101" s="257">
        <v>46</v>
      </c>
      <c r="X101" s="257">
        <v>48</v>
      </c>
      <c r="Z101" s="257">
        <v>58</v>
      </c>
      <c r="AA101" s="257">
        <v>0</v>
      </c>
      <c r="AC101" s="258">
        <v>0</v>
      </c>
      <c r="AE101" s="258">
        <v>30</v>
      </c>
      <c r="AF101" s="258">
        <v>97.221052631578942</v>
      </c>
      <c r="AG101" s="258">
        <v>27708</v>
      </c>
      <c r="AH101" s="258">
        <v>21.206342105263161</v>
      </c>
      <c r="AJ101" s="258">
        <v>186</v>
      </c>
      <c r="AN101" s="258">
        <v>1</v>
      </c>
      <c r="AO101" s="258">
        <v>51660.81</v>
      </c>
      <c r="AQ101" s="258">
        <v>239</v>
      </c>
      <c r="AR101" s="258">
        <v>2</v>
      </c>
      <c r="AS101" s="258">
        <v>0</v>
      </c>
      <c r="AT101" s="258">
        <v>1</v>
      </c>
      <c r="AV101" s="258">
        <v>1</v>
      </c>
      <c r="AW101" s="296"/>
      <c r="AX101" s="258">
        <v>0</v>
      </c>
      <c r="AZ101" s="258">
        <v>0</v>
      </c>
      <c r="BB101" s="258">
        <v>0</v>
      </c>
      <c r="BC101" s="258">
        <v>0</v>
      </c>
      <c r="BD101" s="297" t="s">
        <v>214</v>
      </c>
      <c r="BF101" s="258">
        <v>438.8</v>
      </c>
      <c r="BG101" s="258">
        <v>298</v>
      </c>
      <c r="BO101" s="258">
        <v>0</v>
      </c>
      <c r="BP101" s="258">
        <v>75049.790205725032</v>
      </c>
      <c r="BW101" s="258">
        <v>0</v>
      </c>
      <c r="BX101" s="258">
        <v>1304.44</v>
      </c>
      <c r="BY101" s="258">
        <v>8046</v>
      </c>
      <c r="BZ101" s="258">
        <v>6086</v>
      </c>
      <c r="CA101" s="258">
        <v>24732</v>
      </c>
      <c r="CC101" s="325">
        <v>3473</v>
      </c>
      <c r="CD101" s="258">
        <v>0</v>
      </c>
      <c r="CJ101" s="258">
        <v>0</v>
      </c>
      <c r="CK101" s="258">
        <v>0</v>
      </c>
      <c r="CQ101" s="325">
        <v>438.8</v>
      </c>
      <c r="CR101" s="258">
        <v>186</v>
      </c>
      <c r="CS101" s="258">
        <v>16.8</v>
      </c>
      <c r="CT101" s="258">
        <v>675</v>
      </c>
      <c r="CU101" s="258">
        <v>0</v>
      </c>
      <c r="CV101" s="258">
        <v>0</v>
      </c>
      <c r="CW101" s="258">
        <v>0</v>
      </c>
      <c r="DE101" s="258">
        <v>410</v>
      </c>
      <c r="DF101" s="298">
        <v>0</v>
      </c>
      <c r="DG101" s="258" t="s">
        <v>210</v>
      </c>
      <c r="DH101" s="258">
        <v>1</v>
      </c>
      <c r="DI101" s="258">
        <v>45.365853658536587</v>
      </c>
      <c r="DJ101" s="258">
        <v>10.263157894736842</v>
      </c>
      <c r="DK101" s="258">
        <v>11.368421052631579</v>
      </c>
      <c r="DL101" s="258">
        <v>8.3684210526315788</v>
      </c>
      <c r="DM101" s="258">
        <v>10140</v>
      </c>
      <c r="DN101" s="258">
        <v>9936</v>
      </c>
      <c r="DO101" s="258">
        <v>7632</v>
      </c>
      <c r="DP101" s="258">
        <v>35.578947368421055</v>
      </c>
      <c r="DQ101" s="258">
        <v>34.863157894736844</v>
      </c>
      <c r="DR101" s="258">
        <v>26.778947368421051</v>
      </c>
      <c r="DS101" s="258">
        <v>7.760657894736843</v>
      </c>
      <c r="DT101" s="258">
        <v>7.6045263157894745</v>
      </c>
      <c r="DU101" s="258">
        <v>5.8411578947368419</v>
      </c>
      <c r="DZ101" s="259">
        <v>44</v>
      </c>
      <c r="EA101" s="259">
        <v>352</v>
      </c>
      <c r="EB101" s="259">
        <v>65</v>
      </c>
      <c r="EC101" s="259">
        <v>44</v>
      </c>
      <c r="ED101" s="259">
        <v>14</v>
      </c>
      <c r="EE101" s="259">
        <v>17</v>
      </c>
      <c r="EF101" s="262">
        <v>24</v>
      </c>
      <c r="EG101" s="262">
        <v>42</v>
      </c>
      <c r="EH101" s="262">
        <v>82</v>
      </c>
      <c r="EI101" s="262">
        <v>93</v>
      </c>
    </row>
    <row r="102" spans="1:158">
      <c r="A102" s="295">
        <v>2054</v>
      </c>
      <c r="B102" s="258" t="s">
        <v>379</v>
      </c>
      <c r="C102" s="258">
        <v>15</v>
      </c>
      <c r="D102" s="258">
        <v>214</v>
      </c>
      <c r="E102" s="296">
        <v>0</v>
      </c>
      <c r="F102" s="258">
        <v>0</v>
      </c>
      <c r="G102" s="258">
        <v>16217.01329296863</v>
      </c>
      <c r="H102" s="258">
        <v>30.03</v>
      </c>
      <c r="I102" s="258">
        <v>0</v>
      </c>
      <c r="J102" s="258">
        <v>0</v>
      </c>
      <c r="K102" s="258">
        <v>105</v>
      </c>
      <c r="L102" s="258">
        <v>0</v>
      </c>
      <c r="M102" s="257">
        <v>30</v>
      </c>
      <c r="N102" s="257">
        <v>30</v>
      </c>
      <c r="O102" s="257">
        <v>29</v>
      </c>
      <c r="P102" s="257">
        <v>30</v>
      </c>
      <c r="Q102" s="257">
        <v>29</v>
      </c>
      <c r="R102" s="257">
        <v>30</v>
      </c>
      <c r="X102" s="257">
        <v>0</v>
      </c>
      <c r="Z102" s="257">
        <v>59</v>
      </c>
      <c r="AA102" s="257">
        <v>0</v>
      </c>
      <c r="AC102" s="258">
        <v>0</v>
      </c>
      <c r="AE102" s="258">
        <v>0</v>
      </c>
      <c r="AF102" s="258">
        <v>0</v>
      </c>
      <c r="AG102" s="258">
        <v>0</v>
      </c>
      <c r="AH102" s="258">
        <v>0</v>
      </c>
      <c r="AJ102" s="258">
        <v>15</v>
      </c>
      <c r="AQ102" s="258">
        <v>17</v>
      </c>
      <c r="AR102" s="258">
        <v>0</v>
      </c>
      <c r="AS102" s="258">
        <v>0</v>
      </c>
      <c r="AT102" s="258">
        <v>1</v>
      </c>
      <c r="AV102" s="258">
        <v>0</v>
      </c>
      <c r="AW102" s="296"/>
      <c r="AX102" s="258">
        <v>0</v>
      </c>
      <c r="AZ102" s="258">
        <v>0</v>
      </c>
      <c r="BB102" s="258">
        <v>0</v>
      </c>
      <c r="BC102" s="258">
        <v>0</v>
      </c>
      <c r="BD102" s="297" t="s">
        <v>214</v>
      </c>
      <c r="BF102" s="258">
        <v>237</v>
      </c>
      <c r="BG102" s="258">
        <v>10</v>
      </c>
      <c r="BO102" s="258">
        <v>0</v>
      </c>
      <c r="BP102" s="258">
        <v>0</v>
      </c>
      <c r="BW102" s="258">
        <v>0</v>
      </c>
      <c r="BX102" s="258">
        <v>0</v>
      </c>
      <c r="BY102" s="258">
        <v>14016</v>
      </c>
      <c r="BZ102" s="258">
        <v>2490</v>
      </c>
      <c r="CA102" s="258">
        <v>12709.5</v>
      </c>
      <c r="CC102" s="325">
        <v>1484</v>
      </c>
      <c r="CD102" s="258">
        <v>0</v>
      </c>
      <c r="CJ102" s="258">
        <v>0</v>
      </c>
      <c r="CK102" s="258">
        <v>0</v>
      </c>
      <c r="CQ102" s="325">
        <v>237</v>
      </c>
      <c r="CR102" s="258">
        <v>15</v>
      </c>
      <c r="CS102" s="258">
        <v>3.08</v>
      </c>
      <c r="CT102" s="258">
        <v>214</v>
      </c>
      <c r="CU102" s="258">
        <v>0</v>
      </c>
      <c r="CV102" s="258">
        <v>0</v>
      </c>
      <c r="CW102" s="258">
        <v>0</v>
      </c>
      <c r="DE102" s="258">
        <v>237</v>
      </c>
      <c r="DF102" s="298">
        <v>0</v>
      </c>
      <c r="DG102" s="258" t="s">
        <v>210</v>
      </c>
      <c r="DH102" s="258">
        <v>1</v>
      </c>
      <c r="DI102" s="258">
        <v>6.3291139240506329</v>
      </c>
      <c r="DJ102" s="258">
        <v>0</v>
      </c>
      <c r="DK102" s="258">
        <v>0</v>
      </c>
      <c r="DL102" s="258">
        <v>0</v>
      </c>
      <c r="DM102" s="258">
        <v>0</v>
      </c>
      <c r="DN102" s="258">
        <v>0</v>
      </c>
      <c r="DO102" s="258">
        <v>0</v>
      </c>
      <c r="DP102" s="258">
        <v>0</v>
      </c>
      <c r="DQ102" s="258">
        <v>0</v>
      </c>
      <c r="DR102" s="258">
        <v>0</v>
      </c>
      <c r="DS102" s="258">
        <v>0</v>
      </c>
      <c r="DT102" s="258">
        <v>0</v>
      </c>
      <c r="DU102" s="258">
        <v>0</v>
      </c>
      <c r="DZ102" s="259">
        <v>32</v>
      </c>
      <c r="EA102" s="259">
        <v>178</v>
      </c>
      <c r="EB102" s="259">
        <v>1</v>
      </c>
      <c r="EC102" s="259">
        <v>5</v>
      </c>
      <c r="ED102" s="259">
        <v>0</v>
      </c>
      <c r="EE102" s="259">
        <v>2</v>
      </c>
      <c r="EF102" s="262">
        <v>6</v>
      </c>
      <c r="EG102" s="262">
        <v>30</v>
      </c>
      <c r="EH102" s="262">
        <v>4</v>
      </c>
      <c r="EI102" s="262">
        <v>40</v>
      </c>
    </row>
    <row r="103" spans="1:158">
      <c r="A103" s="295"/>
      <c r="B103" s="258" t="s">
        <v>610</v>
      </c>
      <c r="D103" s="258">
        <v>0</v>
      </c>
      <c r="F103" s="258">
        <v>0</v>
      </c>
      <c r="G103" s="296"/>
      <c r="H103" s="258">
        <v>0</v>
      </c>
      <c r="I103" s="296"/>
      <c r="J103" s="296"/>
      <c r="K103" s="258">
        <v>0</v>
      </c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58">
        <v>0</v>
      </c>
      <c r="AR103" s="296"/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58">
        <v>0</v>
      </c>
      <c r="BG103" s="258">
        <v>0</v>
      </c>
      <c r="BH103" s="296"/>
      <c r="BI103" s="296"/>
      <c r="BJ103" s="296"/>
      <c r="BK103" s="296"/>
      <c r="BL103" s="296"/>
      <c r="BM103" s="296"/>
      <c r="BN103" s="296"/>
      <c r="BO103" s="258">
        <v>0</v>
      </c>
      <c r="BP103" s="296"/>
      <c r="BQ103" s="296"/>
      <c r="BR103" s="296"/>
      <c r="BS103" s="296"/>
      <c r="BT103" s="296"/>
      <c r="BU103" s="296"/>
      <c r="BV103" s="296"/>
      <c r="BW103" s="258">
        <v>0</v>
      </c>
      <c r="BX103" s="296"/>
      <c r="BZ103" s="258">
        <v>0</v>
      </c>
      <c r="CA103" s="296"/>
      <c r="CB103" s="296"/>
      <c r="CC103" s="325">
        <v>0</v>
      </c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6"/>
      <c r="CR103" s="258">
        <v>0</v>
      </c>
      <c r="CS103" s="296"/>
      <c r="CT103" s="258">
        <v>0</v>
      </c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58">
        <v>0</v>
      </c>
      <c r="DF103" s="296"/>
      <c r="DG103" s="296"/>
      <c r="DI103" s="258">
        <v>0</v>
      </c>
      <c r="DN103" s="258"/>
      <c r="DO103" s="258"/>
      <c r="DP103" s="258"/>
      <c r="DQ103" s="258"/>
      <c r="DR103" s="258"/>
      <c r="DS103" s="258"/>
      <c r="DT103" s="258"/>
      <c r="DU103" s="258"/>
      <c r="DV103" s="299"/>
      <c r="DW103" s="299"/>
      <c r="DX103" s="299"/>
      <c r="DY103" s="299"/>
      <c r="DZ103" s="259">
        <v>0</v>
      </c>
      <c r="EA103" s="259">
        <v>0</v>
      </c>
      <c r="EB103" s="259">
        <v>0</v>
      </c>
      <c r="EC103" s="259">
        <v>0</v>
      </c>
      <c r="ED103" s="259">
        <v>0</v>
      </c>
      <c r="EE103" s="259">
        <v>0</v>
      </c>
      <c r="EJ103" s="299"/>
      <c r="EK103" s="299"/>
      <c r="EL103" s="299"/>
      <c r="EM103" s="299"/>
      <c r="EN103" s="299"/>
      <c r="EO103" s="299"/>
      <c r="EP103" s="299"/>
      <c r="EQ103" s="299"/>
      <c r="ER103" s="299"/>
      <c r="ES103" s="299"/>
      <c r="ET103" s="299"/>
      <c r="EU103" s="299"/>
      <c r="EV103" s="299"/>
      <c r="EW103" s="299"/>
      <c r="EX103" s="299"/>
      <c r="EY103" s="299"/>
      <c r="EZ103" s="299"/>
      <c r="FA103" s="299"/>
      <c r="FB103" s="299"/>
    </row>
    <row r="104" spans="1:158">
      <c r="A104" s="295">
        <v>5406</v>
      </c>
      <c r="B104" s="258" t="s">
        <v>409</v>
      </c>
      <c r="C104" s="258">
        <v>117</v>
      </c>
      <c r="D104" s="258">
        <v>259</v>
      </c>
      <c r="E104" s="296">
        <v>0</v>
      </c>
      <c r="F104" s="258">
        <v>0</v>
      </c>
      <c r="G104" s="258">
        <v>129.42853976092383</v>
      </c>
      <c r="H104" s="258">
        <v>227.17097035040479</v>
      </c>
      <c r="I104" s="258">
        <v>0</v>
      </c>
      <c r="J104" s="258">
        <v>0</v>
      </c>
      <c r="K104" s="258">
        <v>329.58482462419465</v>
      </c>
      <c r="L104" s="258">
        <v>0</v>
      </c>
      <c r="M104" s="257">
        <v>0</v>
      </c>
      <c r="N104" s="257">
        <v>0</v>
      </c>
      <c r="O104" s="257">
        <v>0</v>
      </c>
      <c r="P104" s="257">
        <v>0</v>
      </c>
      <c r="Q104" s="257">
        <v>0</v>
      </c>
      <c r="R104" s="257">
        <v>0</v>
      </c>
      <c r="S104" s="257">
        <v>224</v>
      </c>
      <c r="T104" s="257">
        <v>224</v>
      </c>
      <c r="U104" s="257">
        <v>224</v>
      </c>
      <c r="V104" s="257">
        <v>224</v>
      </c>
      <c r="W104" s="257">
        <v>222</v>
      </c>
      <c r="X104" s="257">
        <v>0</v>
      </c>
      <c r="Z104" s="257">
        <v>0</v>
      </c>
      <c r="AA104" s="257">
        <v>0</v>
      </c>
      <c r="AC104" s="258">
        <v>0</v>
      </c>
      <c r="AE104" s="258">
        <v>0</v>
      </c>
      <c r="AJ104" s="258">
        <v>117</v>
      </c>
      <c r="AQ104" s="258">
        <v>213</v>
      </c>
      <c r="AR104" s="258">
        <v>2</v>
      </c>
      <c r="AS104" s="258">
        <v>0</v>
      </c>
      <c r="AT104" s="258">
        <v>1</v>
      </c>
      <c r="AV104" s="258">
        <v>13</v>
      </c>
      <c r="AW104" s="296"/>
      <c r="AX104" s="258">
        <v>0</v>
      </c>
      <c r="AZ104" s="258">
        <v>0</v>
      </c>
      <c r="BB104" s="258">
        <v>0</v>
      </c>
      <c r="BC104" s="258">
        <v>0</v>
      </c>
      <c r="BD104" s="297" t="s">
        <v>604</v>
      </c>
      <c r="BF104" s="258">
        <v>0</v>
      </c>
      <c r="BG104" s="258">
        <v>242</v>
      </c>
      <c r="BO104" s="258">
        <v>0</v>
      </c>
      <c r="BP104" s="258">
        <v>0</v>
      </c>
      <c r="BW104" s="258">
        <v>0</v>
      </c>
      <c r="BX104" s="258">
        <v>0</v>
      </c>
      <c r="BY104" s="258">
        <v>112304</v>
      </c>
      <c r="CA104" s="258">
        <v>0</v>
      </c>
      <c r="CC104" s="325">
        <v>11986</v>
      </c>
      <c r="CD104" s="258">
        <v>0</v>
      </c>
      <c r="CG104" s="258">
        <v>0</v>
      </c>
      <c r="CJ104" s="258">
        <v>0</v>
      </c>
      <c r="CK104" s="258">
        <v>0</v>
      </c>
      <c r="CQ104" s="325">
        <v>1484</v>
      </c>
      <c r="CR104" s="258">
        <v>139</v>
      </c>
      <c r="CS104" s="258">
        <v>49.06</v>
      </c>
      <c r="CT104" s="258">
        <v>259</v>
      </c>
      <c r="CU104" s="258">
        <v>203</v>
      </c>
      <c r="CV104" s="258">
        <v>163</v>
      </c>
      <c r="CW104" s="258">
        <v>0</v>
      </c>
      <c r="DE104" s="258">
        <v>1118</v>
      </c>
      <c r="DF104" s="298">
        <v>0.24663072776280323</v>
      </c>
      <c r="DG104" s="258" t="s">
        <v>212</v>
      </c>
      <c r="DH104" s="258">
        <v>1</v>
      </c>
      <c r="DI104" s="258">
        <v>10.465116279069768</v>
      </c>
      <c r="DN104" s="258"/>
      <c r="DO104" s="258"/>
      <c r="DP104" s="258"/>
      <c r="DQ104" s="258"/>
      <c r="DR104" s="258"/>
      <c r="DS104" s="258"/>
      <c r="DT104" s="258"/>
      <c r="DU104" s="258"/>
      <c r="DY104" s="259">
        <v>1</v>
      </c>
      <c r="DZ104" s="259">
        <v>23</v>
      </c>
      <c r="EA104" s="259">
        <v>1118</v>
      </c>
      <c r="EB104" s="259">
        <v>29</v>
      </c>
      <c r="EC104" s="259">
        <v>105</v>
      </c>
      <c r="ED104" s="259">
        <v>7</v>
      </c>
      <c r="EE104" s="259">
        <v>29</v>
      </c>
      <c r="EF104" s="262">
        <v>2</v>
      </c>
      <c r="EG104" s="262">
        <v>11</v>
      </c>
      <c r="EH104" s="262">
        <v>67</v>
      </c>
    </row>
    <row r="105" spans="1:158">
      <c r="A105" s="295">
        <v>5408</v>
      </c>
      <c r="B105" s="258" t="s">
        <v>380</v>
      </c>
      <c r="C105" s="258">
        <v>169</v>
      </c>
      <c r="D105" s="258">
        <v>545</v>
      </c>
      <c r="E105" s="296">
        <v>0</v>
      </c>
      <c r="F105" s="258">
        <v>128</v>
      </c>
      <c r="G105" s="258">
        <v>133.85110082413004</v>
      </c>
      <c r="H105" s="258">
        <v>153.78630065359491</v>
      </c>
      <c r="I105" s="258">
        <v>0</v>
      </c>
      <c r="J105" s="258">
        <v>0</v>
      </c>
      <c r="K105" s="258">
        <v>190</v>
      </c>
      <c r="L105" s="258">
        <v>0</v>
      </c>
      <c r="M105" s="257">
        <v>0</v>
      </c>
      <c r="N105" s="257">
        <v>0</v>
      </c>
      <c r="O105" s="257">
        <v>0</v>
      </c>
      <c r="P105" s="257">
        <v>0</v>
      </c>
      <c r="Q105" s="257">
        <v>0</v>
      </c>
      <c r="R105" s="257">
        <v>0</v>
      </c>
      <c r="S105" s="257">
        <v>86</v>
      </c>
      <c r="T105" s="257">
        <v>104</v>
      </c>
      <c r="U105" s="257">
        <v>104</v>
      </c>
      <c r="V105" s="257">
        <v>109</v>
      </c>
      <c r="W105" s="257">
        <v>139</v>
      </c>
      <c r="X105" s="257">
        <v>0</v>
      </c>
      <c r="Z105" s="257">
        <v>0</v>
      </c>
      <c r="AA105" s="257">
        <v>0</v>
      </c>
      <c r="AC105" s="258">
        <v>0</v>
      </c>
      <c r="AE105" s="258">
        <v>0</v>
      </c>
      <c r="AJ105" s="258">
        <v>169</v>
      </c>
      <c r="AQ105" s="258">
        <v>244</v>
      </c>
      <c r="AR105" s="258">
        <v>1</v>
      </c>
      <c r="AS105" s="258">
        <v>0</v>
      </c>
      <c r="AT105" s="258">
        <v>1</v>
      </c>
      <c r="AV105" s="258">
        <v>7</v>
      </c>
      <c r="AW105" s="296"/>
      <c r="AX105" s="258">
        <v>0</v>
      </c>
      <c r="AZ105" s="258">
        <v>0</v>
      </c>
      <c r="BB105" s="258">
        <v>0</v>
      </c>
      <c r="BC105" s="258">
        <v>0</v>
      </c>
      <c r="BD105" s="297" t="s">
        <v>597</v>
      </c>
      <c r="BF105" s="258">
        <v>0</v>
      </c>
      <c r="BG105" s="258">
        <v>544</v>
      </c>
      <c r="BO105" s="258">
        <v>0</v>
      </c>
      <c r="BP105" s="258">
        <v>181462.68478320178</v>
      </c>
      <c r="BW105" s="258">
        <v>0</v>
      </c>
      <c r="BX105" s="258">
        <v>1423.02</v>
      </c>
      <c r="BY105" s="258">
        <v>39909</v>
      </c>
      <c r="BZ105" s="258">
        <v>11274</v>
      </c>
      <c r="CA105" s="258">
        <v>0</v>
      </c>
      <c r="CC105" s="325">
        <v>9158</v>
      </c>
      <c r="CD105" s="258">
        <v>0</v>
      </c>
      <c r="CG105" s="258">
        <v>1164400</v>
      </c>
      <c r="CJ105" s="258">
        <v>0</v>
      </c>
      <c r="CK105" s="258">
        <v>0</v>
      </c>
      <c r="CQ105" s="325">
        <v>763</v>
      </c>
      <c r="CR105" s="258">
        <v>240</v>
      </c>
      <c r="CS105" s="258">
        <v>78.650000000000006</v>
      </c>
      <c r="CT105" s="258">
        <v>545</v>
      </c>
      <c r="CU105" s="258">
        <v>107</v>
      </c>
      <c r="CV105" s="258">
        <v>91</v>
      </c>
      <c r="CW105" s="258">
        <v>23</v>
      </c>
      <c r="CZ105" s="258">
        <v>0</v>
      </c>
      <c r="DE105" s="258">
        <v>542</v>
      </c>
      <c r="DF105" s="298">
        <v>0.28964613368283093</v>
      </c>
      <c r="DG105" s="258" t="s">
        <v>212</v>
      </c>
      <c r="DH105" s="258">
        <v>1</v>
      </c>
      <c r="DI105" s="258">
        <v>31.180811808118079</v>
      </c>
      <c r="DN105" s="258"/>
      <c r="DO105" s="258"/>
      <c r="DP105" s="258"/>
      <c r="DQ105" s="258"/>
      <c r="DR105" s="258"/>
      <c r="DS105" s="258"/>
      <c r="DT105" s="258"/>
      <c r="DU105" s="258"/>
      <c r="DZ105" s="259">
        <v>128</v>
      </c>
      <c r="EA105" s="259">
        <v>544</v>
      </c>
      <c r="EB105" s="259">
        <v>117</v>
      </c>
      <c r="EC105" s="259">
        <v>148</v>
      </c>
      <c r="ED105" s="259">
        <v>10</v>
      </c>
      <c r="EE105" s="259">
        <v>15</v>
      </c>
      <c r="EF105" s="262">
        <v>7</v>
      </c>
      <c r="EG105" s="262">
        <v>31</v>
      </c>
      <c r="EH105" s="262">
        <v>124</v>
      </c>
    </row>
    <row r="106" spans="1:158">
      <c r="A106" s="295">
        <v>4211</v>
      </c>
      <c r="B106" s="258" t="s">
        <v>381</v>
      </c>
      <c r="C106" s="258">
        <v>147</v>
      </c>
      <c r="D106" s="258">
        <v>412</v>
      </c>
      <c r="E106" s="296">
        <v>0</v>
      </c>
      <c r="F106" s="258">
        <v>0</v>
      </c>
      <c r="G106" s="258">
        <v>161.15388354052757</v>
      </c>
      <c r="H106" s="258">
        <v>201.10670886075968</v>
      </c>
      <c r="I106" s="258">
        <v>0</v>
      </c>
      <c r="J106" s="258">
        <v>0</v>
      </c>
      <c r="K106" s="258">
        <v>235</v>
      </c>
      <c r="L106" s="258">
        <v>0</v>
      </c>
      <c r="M106" s="257">
        <v>0</v>
      </c>
      <c r="N106" s="257">
        <v>0</v>
      </c>
      <c r="O106" s="257">
        <v>0</v>
      </c>
      <c r="P106" s="257">
        <v>0</v>
      </c>
      <c r="Q106" s="257">
        <v>0</v>
      </c>
      <c r="R106" s="257">
        <v>0</v>
      </c>
      <c r="S106" s="257">
        <v>146</v>
      </c>
      <c r="T106" s="257">
        <v>141</v>
      </c>
      <c r="U106" s="257">
        <v>146</v>
      </c>
      <c r="V106" s="257">
        <v>151</v>
      </c>
      <c r="W106" s="257">
        <v>150</v>
      </c>
      <c r="X106" s="257">
        <v>0</v>
      </c>
      <c r="Z106" s="257">
        <v>0</v>
      </c>
      <c r="AA106" s="257">
        <v>0</v>
      </c>
      <c r="AC106" s="258">
        <v>0</v>
      </c>
      <c r="AE106" s="258">
        <v>0</v>
      </c>
      <c r="AJ106" s="258">
        <v>147</v>
      </c>
      <c r="AQ106" s="258">
        <v>262</v>
      </c>
      <c r="AR106" s="258">
        <v>1</v>
      </c>
      <c r="AS106" s="258">
        <v>0</v>
      </c>
      <c r="AT106" s="258">
        <v>1</v>
      </c>
      <c r="AV106" s="258">
        <v>8</v>
      </c>
      <c r="AW106" s="296"/>
      <c r="AX106" s="258">
        <v>0</v>
      </c>
      <c r="AZ106" s="258">
        <v>0</v>
      </c>
      <c r="BB106" s="258">
        <v>0</v>
      </c>
      <c r="BC106" s="258">
        <v>0</v>
      </c>
      <c r="BD106" s="297" t="s">
        <v>604</v>
      </c>
      <c r="BF106" s="258">
        <v>0</v>
      </c>
      <c r="BG106" s="258">
        <v>273</v>
      </c>
      <c r="BO106" s="258">
        <v>0</v>
      </c>
      <c r="BP106" s="258">
        <v>0</v>
      </c>
      <c r="BW106" s="258">
        <v>0</v>
      </c>
      <c r="BX106" s="258">
        <v>948.68</v>
      </c>
      <c r="BY106" s="258">
        <v>28368</v>
      </c>
      <c r="CA106" s="258">
        <v>0</v>
      </c>
      <c r="CC106" s="325">
        <v>8751</v>
      </c>
      <c r="CD106" s="258">
        <v>0</v>
      </c>
      <c r="CJ106" s="258">
        <v>0</v>
      </c>
      <c r="CK106" s="258">
        <v>0</v>
      </c>
      <c r="CQ106" s="325">
        <v>948</v>
      </c>
      <c r="CR106" s="258">
        <v>155</v>
      </c>
      <c r="CS106" s="258">
        <v>31.71</v>
      </c>
      <c r="CT106" s="258">
        <v>412</v>
      </c>
      <c r="CU106" s="258">
        <v>120</v>
      </c>
      <c r="CV106" s="258">
        <v>94</v>
      </c>
      <c r="CW106" s="258">
        <v>0</v>
      </c>
      <c r="DE106" s="258">
        <v>734</v>
      </c>
      <c r="DF106" s="298">
        <v>0.22573839662447256</v>
      </c>
      <c r="DG106" s="258" t="s">
        <v>212</v>
      </c>
      <c r="DH106" s="258">
        <v>1</v>
      </c>
      <c r="DI106" s="258">
        <v>20.027247956403269</v>
      </c>
      <c r="DN106" s="258"/>
      <c r="DO106" s="258"/>
      <c r="DP106" s="258"/>
      <c r="DQ106" s="258"/>
      <c r="DR106" s="258"/>
      <c r="DS106" s="258"/>
      <c r="DT106" s="258"/>
      <c r="DU106" s="258"/>
      <c r="DZ106" s="259">
        <v>55</v>
      </c>
      <c r="EA106" s="259">
        <v>734</v>
      </c>
      <c r="EB106" s="259">
        <v>35</v>
      </c>
      <c r="EC106" s="259">
        <v>131</v>
      </c>
      <c r="ED106" s="259">
        <v>1</v>
      </c>
      <c r="EE106" s="259">
        <v>34</v>
      </c>
      <c r="EF106" s="262">
        <v>4</v>
      </c>
      <c r="EG106" s="262">
        <v>21</v>
      </c>
      <c r="EH106" s="262">
        <v>100</v>
      </c>
    </row>
    <row r="107" spans="1:158">
      <c r="A107" s="295" t="s">
        <v>441</v>
      </c>
      <c r="B107" s="258" t="s">
        <v>442</v>
      </c>
      <c r="C107" s="258">
        <v>0</v>
      </c>
      <c r="D107" s="258">
        <v>0</v>
      </c>
      <c r="E107" s="296">
        <v>0</v>
      </c>
      <c r="F107" s="258">
        <v>0</v>
      </c>
      <c r="G107" s="258">
        <v>0</v>
      </c>
      <c r="H107" s="258">
        <v>0</v>
      </c>
      <c r="I107" s="258">
        <v>0</v>
      </c>
      <c r="J107" s="258">
        <v>0</v>
      </c>
      <c r="K107" s="258">
        <v>0</v>
      </c>
      <c r="L107" s="258">
        <v>0</v>
      </c>
      <c r="M107" s="257">
        <v>0</v>
      </c>
      <c r="N107" s="257">
        <v>0</v>
      </c>
      <c r="O107" s="257">
        <v>0</v>
      </c>
      <c r="P107" s="257">
        <v>0</v>
      </c>
      <c r="Q107" s="257">
        <v>0</v>
      </c>
      <c r="R107" s="257">
        <v>0</v>
      </c>
      <c r="S107" s="257">
        <v>0</v>
      </c>
      <c r="T107" s="257">
        <v>0</v>
      </c>
      <c r="U107" s="257">
        <v>0</v>
      </c>
      <c r="V107" s="257">
        <v>0</v>
      </c>
      <c r="W107" s="257">
        <v>0</v>
      </c>
      <c r="X107" s="257">
        <v>0</v>
      </c>
      <c r="Z107" s="257">
        <v>0</v>
      </c>
      <c r="AA107" s="257">
        <v>0</v>
      </c>
      <c r="AC107" s="258">
        <v>0</v>
      </c>
      <c r="AE107" s="258">
        <v>0</v>
      </c>
      <c r="AJ107" s="258">
        <v>0</v>
      </c>
      <c r="AQ107" s="258">
        <v>0</v>
      </c>
      <c r="AR107" s="258">
        <v>0</v>
      </c>
      <c r="AS107" s="258">
        <v>0</v>
      </c>
      <c r="AT107" s="258">
        <v>1</v>
      </c>
      <c r="AV107" s="258">
        <v>0</v>
      </c>
      <c r="AW107" s="296"/>
      <c r="AX107" s="258">
        <v>0</v>
      </c>
      <c r="AZ107" s="258">
        <v>0</v>
      </c>
      <c r="BB107" s="258">
        <v>0</v>
      </c>
      <c r="BC107" s="258">
        <v>0</v>
      </c>
      <c r="BD107" s="297" t="s">
        <v>604</v>
      </c>
      <c r="BF107" s="258">
        <v>0</v>
      </c>
      <c r="BG107" s="258">
        <v>0</v>
      </c>
      <c r="BO107" s="258">
        <v>0</v>
      </c>
      <c r="BP107" s="258">
        <v>0</v>
      </c>
      <c r="BW107" s="258">
        <v>0</v>
      </c>
      <c r="BX107" s="258">
        <v>0</v>
      </c>
      <c r="BZ107" s="258">
        <v>0</v>
      </c>
      <c r="CA107" s="258">
        <v>0</v>
      </c>
      <c r="CC107" s="325">
        <v>0</v>
      </c>
      <c r="CD107" s="258">
        <v>0</v>
      </c>
      <c r="CG107" s="258">
        <v>0</v>
      </c>
      <c r="CJ107" s="258">
        <v>0</v>
      </c>
      <c r="CK107" s="258">
        <v>0</v>
      </c>
      <c r="CQ107" s="325">
        <v>0</v>
      </c>
      <c r="CR107" s="258">
        <v>0</v>
      </c>
      <c r="CS107" s="258">
        <v>0</v>
      </c>
      <c r="CT107" s="258">
        <v>0</v>
      </c>
      <c r="CU107" s="258">
        <v>0</v>
      </c>
      <c r="CV107" s="258">
        <v>0</v>
      </c>
      <c r="CW107" s="258">
        <v>0</v>
      </c>
      <c r="DE107" s="258">
        <v>0</v>
      </c>
      <c r="DF107" s="298">
        <v>0</v>
      </c>
      <c r="DG107" s="258" t="s">
        <v>212</v>
      </c>
      <c r="DI107" s="258">
        <v>0</v>
      </c>
      <c r="DN107" s="258"/>
      <c r="DO107" s="258"/>
      <c r="DP107" s="258"/>
      <c r="DQ107" s="258"/>
      <c r="DR107" s="258"/>
      <c r="DS107" s="258"/>
      <c r="DT107" s="258"/>
      <c r="DU107" s="258"/>
      <c r="DZ107" s="259">
        <v>0</v>
      </c>
      <c r="EA107" s="259">
        <v>0</v>
      </c>
      <c r="EB107" s="259">
        <v>0</v>
      </c>
      <c r="EC107" s="259">
        <v>0</v>
      </c>
      <c r="ED107" s="259">
        <v>0</v>
      </c>
      <c r="EE107" s="259">
        <v>0</v>
      </c>
    </row>
    <row r="108" spans="1:158">
      <c r="A108" s="295">
        <v>4210</v>
      </c>
      <c r="B108" s="258" t="s">
        <v>52</v>
      </c>
      <c r="C108" s="258">
        <v>191</v>
      </c>
      <c r="D108" s="258">
        <v>336</v>
      </c>
      <c r="E108" s="296">
        <v>0</v>
      </c>
      <c r="F108" s="258">
        <v>0</v>
      </c>
      <c r="G108" s="258">
        <v>218.61378253133992</v>
      </c>
      <c r="H108" s="258">
        <v>301.49477611940318</v>
      </c>
      <c r="I108" s="258">
        <v>0</v>
      </c>
      <c r="J108" s="258">
        <v>0</v>
      </c>
      <c r="K108" s="258">
        <v>392.08363159150554</v>
      </c>
      <c r="L108" s="258">
        <v>0</v>
      </c>
      <c r="M108" s="257">
        <v>0</v>
      </c>
      <c r="N108" s="257">
        <v>0</v>
      </c>
      <c r="O108" s="257">
        <v>0</v>
      </c>
      <c r="P108" s="257">
        <v>0</v>
      </c>
      <c r="Q108" s="257">
        <v>0</v>
      </c>
      <c r="R108" s="257">
        <v>0</v>
      </c>
      <c r="S108" s="257">
        <v>179</v>
      </c>
      <c r="T108" s="257">
        <v>177</v>
      </c>
      <c r="U108" s="257">
        <v>181</v>
      </c>
      <c r="V108" s="257">
        <v>177</v>
      </c>
      <c r="W108" s="257">
        <v>181</v>
      </c>
      <c r="X108" s="257">
        <v>0</v>
      </c>
      <c r="Z108" s="257">
        <v>0</v>
      </c>
      <c r="AA108" s="257">
        <v>0</v>
      </c>
      <c r="AC108" s="258">
        <v>0</v>
      </c>
      <c r="AE108" s="258">
        <v>0</v>
      </c>
      <c r="AJ108" s="258">
        <v>191</v>
      </c>
      <c r="AQ108" s="258">
        <v>402</v>
      </c>
      <c r="AR108" s="258">
        <v>1</v>
      </c>
      <c r="AS108" s="258">
        <v>0</v>
      </c>
      <c r="AT108" s="258">
        <v>1</v>
      </c>
      <c r="AV108" s="258">
        <v>5</v>
      </c>
      <c r="AW108" s="296"/>
      <c r="AX108" s="258">
        <v>0</v>
      </c>
      <c r="AZ108" s="258">
        <v>0</v>
      </c>
      <c r="BB108" s="258">
        <v>0</v>
      </c>
      <c r="BC108" s="258">
        <v>0</v>
      </c>
      <c r="BD108" s="297" t="s">
        <v>214</v>
      </c>
      <c r="BF108" s="258">
        <v>1139</v>
      </c>
      <c r="BG108" s="258">
        <v>403</v>
      </c>
      <c r="BO108" s="258">
        <v>3</v>
      </c>
      <c r="BP108" s="258">
        <v>0</v>
      </c>
      <c r="BW108" s="258">
        <v>0</v>
      </c>
      <c r="BX108" s="258">
        <v>1423.02</v>
      </c>
      <c r="BY108" s="258">
        <v>46200</v>
      </c>
      <c r="BZ108" s="258">
        <v>14322</v>
      </c>
      <c r="CA108" s="258">
        <v>56882</v>
      </c>
      <c r="CC108" s="325">
        <v>10497.8</v>
      </c>
      <c r="CD108" s="258">
        <v>0</v>
      </c>
      <c r="CG108" s="258">
        <v>1299500</v>
      </c>
      <c r="CJ108" s="258">
        <v>0</v>
      </c>
      <c r="CK108" s="258">
        <v>0</v>
      </c>
      <c r="CQ108" s="325">
        <v>1138</v>
      </c>
      <c r="CR108" s="258">
        <v>216</v>
      </c>
      <c r="CS108" s="258">
        <v>65.13</v>
      </c>
      <c r="CT108" s="258">
        <v>336</v>
      </c>
      <c r="CU108" s="258">
        <v>136</v>
      </c>
      <c r="CV108" s="258">
        <v>107</v>
      </c>
      <c r="CW108" s="258">
        <v>0</v>
      </c>
      <c r="DE108" s="258">
        <v>895</v>
      </c>
      <c r="DF108" s="298">
        <v>0.21353251318101935</v>
      </c>
      <c r="DG108" s="258" t="s">
        <v>212</v>
      </c>
      <c r="DH108" s="258">
        <v>1</v>
      </c>
      <c r="DI108" s="258">
        <v>21.340782122905029</v>
      </c>
      <c r="DN108" s="258"/>
      <c r="DO108" s="258"/>
      <c r="DP108" s="258"/>
      <c r="DQ108" s="258"/>
      <c r="DR108" s="258"/>
      <c r="DS108" s="258"/>
      <c r="DT108" s="258"/>
      <c r="DU108" s="258"/>
      <c r="DZ108" s="259">
        <v>60</v>
      </c>
      <c r="EA108" s="259">
        <v>896</v>
      </c>
      <c r="EB108" s="259">
        <v>57</v>
      </c>
      <c r="EC108" s="259">
        <v>177</v>
      </c>
      <c r="ED108" s="259">
        <v>10</v>
      </c>
      <c r="EE108" s="259">
        <v>25</v>
      </c>
      <c r="EF108" s="262">
        <v>0</v>
      </c>
      <c r="EG108" s="262">
        <v>12</v>
      </c>
      <c r="EH108" s="262">
        <v>96</v>
      </c>
    </row>
    <row r="109" spans="1:158">
      <c r="A109" s="295" t="s">
        <v>439</v>
      </c>
      <c r="B109" s="258" t="s">
        <v>440</v>
      </c>
      <c r="C109" s="258">
        <v>0</v>
      </c>
      <c r="D109" s="258">
        <v>0</v>
      </c>
      <c r="E109" s="296">
        <v>0</v>
      </c>
      <c r="F109" s="258">
        <v>0</v>
      </c>
      <c r="G109" s="258">
        <v>0</v>
      </c>
      <c r="H109" s="258">
        <v>0</v>
      </c>
      <c r="I109" s="258">
        <v>0</v>
      </c>
      <c r="J109" s="258">
        <v>0</v>
      </c>
      <c r="K109" s="258">
        <v>0</v>
      </c>
      <c r="L109" s="258">
        <v>0</v>
      </c>
      <c r="M109" s="257">
        <v>0</v>
      </c>
      <c r="N109" s="257">
        <v>0</v>
      </c>
      <c r="O109" s="257">
        <v>0</v>
      </c>
      <c r="P109" s="257">
        <v>0</v>
      </c>
      <c r="Q109" s="257">
        <v>0</v>
      </c>
      <c r="R109" s="257">
        <v>0</v>
      </c>
      <c r="S109" s="257">
        <v>0</v>
      </c>
      <c r="T109" s="257">
        <v>0</v>
      </c>
      <c r="U109" s="257">
        <v>0</v>
      </c>
      <c r="V109" s="257">
        <v>0</v>
      </c>
      <c r="W109" s="257">
        <v>0</v>
      </c>
      <c r="X109" s="257">
        <v>0</v>
      </c>
      <c r="Z109" s="257">
        <v>0</v>
      </c>
      <c r="AA109" s="257">
        <v>0</v>
      </c>
      <c r="AC109" s="258">
        <v>0</v>
      </c>
      <c r="AE109" s="258">
        <v>0</v>
      </c>
      <c r="AJ109" s="258">
        <v>0</v>
      </c>
      <c r="AQ109" s="258">
        <v>0</v>
      </c>
      <c r="AR109" s="258">
        <v>0</v>
      </c>
      <c r="AS109" s="258">
        <v>0</v>
      </c>
      <c r="AT109" s="258">
        <v>0</v>
      </c>
      <c r="AV109" s="258">
        <v>0</v>
      </c>
      <c r="AW109" s="296"/>
      <c r="AX109" s="258">
        <v>0</v>
      </c>
      <c r="AZ109" s="258">
        <v>0</v>
      </c>
      <c r="BB109" s="258">
        <v>0</v>
      </c>
      <c r="BC109" s="258">
        <v>0</v>
      </c>
      <c r="BD109" s="297" t="s">
        <v>604</v>
      </c>
      <c r="BF109" s="258">
        <v>0</v>
      </c>
      <c r="BG109" s="258">
        <v>0</v>
      </c>
      <c r="BO109" s="258">
        <v>0</v>
      </c>
      <c r="BP109" s="258">
        <v>0</v>
      </c>
      <c r="BW109" s="258">
        <v>0</v>
      </c>
      <c r="BX109" s="258">
        <v>0</v>
      </c>
      <c r="BZ109" s="258">
        <v>0</v>
      </c>
      <c r="CA109" s="258">
        <v>0</v>
      </c>
      <c r="CC109" s="325">
        <v>0</v>
      </c>
      <c r="CD109" s="258">
        <v>0</v>
      </c>
      <c r="CJ109" s="258">
        <v>0</v>
      </c>
      <c r="CK109" s="258">
        <v>0</v>
      </c>
      <c r="CQ109" s="325">
        <v>0</v>
      </c>
      <c r="CR109" s="258">
        <v>0</v>
      </c>
      <c r="CS109" s="258">
        <v>0</v>
      </c>
      <c r="CT109" s="258">
        <v>0</v>
      </c>
      <c r="CU109" s="258">
        <v>0</v>
      </c>
      <c r="CV109" s="258">
        <v>0</v>
      </c>
      <c r="CW109" s="258">
        <v>0</v>
      </c>
      <c r="DE109" s="258">
        <v>0</v>
      </c>
      <c r="DF109" s="298">
        <v>0</v>
      </c>
      <c r="DG109" s="258" t="s">
        <v>212</v>
      </c>
      <c r="DI109" s="258">
        <v>0</v>
      </c>
      <c r="DN109" s="258"/>
      <c r="DO109" s="258"/>
      <c r="DP109" s="258"/>
      <c r="DQ109" s="258"/>
      <c r="DR109" s="258"/>
      <c r="DS109" s="258"/>
      <c r="DT109" s="258"/>
      <c r="DU109" s="258"/>
      <c r="DZ109" s="259">
        <v>0</v>
      </c>
      <c r="EA109" s="259">
        <v>0</v>
      </c>
      <c r="EB109" s="259">
        <v>0</v>
      </c>
      <c r="EC109" s="259">
        <v>0</v>
      </c>
      <c r="ED109" s="259">
        <v>0</v>
      </c>
      <c r="EE109" s="259">
        <v>0</v>
      </c>
    </row>
    <row r="110" spans="1:158">
      <c r="A110" s="295">
        <v>4212</v>
      </c>
      <c r="B110" s="258" t="s">
        <v>611</v>
      </c>
      <c r="C110" s="258">
        <v>109</v>
      </c>
      <c r="D110" s="258">
        <v>329</v>
      </c>
      <c r="E110" s="296">
        <v>0</v>
      </c>
      <c r="F110" s="258">
        <v>0</v>
      </c>
      <c r="G110" s="258">
        <v>158.16749820890209</v>
      </c>
      <c r="H110" s="258">
        <v>215.06645502645407</v>
      </c>
      <c r="I110" s="258">
        <v>0</v>
      </c>
      <c r="J110" s="258">
        <v>0</v>
      </c>
      <c r="K110" s="258">
        <v>579.16607015032207</v>
      </c>
      <c r="L110" s="258">
        <v>0</v>
      </c>
      <c r="M110" s="257">
        <v>0</v>
      </c>
      <c r="N110" s="257">
        <v>0</v>
      </c>
      <c r="O110" s="257">
        <v>0</v>
      </c>
      <c r="P110" s="257">
        <v>0</v>
      </c>
      <c r="Q110" s="257">
        <v>0</v>
      </c>
      <c r="R110" s="257">
        <v>0</v>
      </c>
      <c r="S110" s="257">
        <v>210</v>
      </c>
      <c r="T110" s="257">
        <v>209</v>
      </c>
      <c r="U110" s="257">
        <v>209</v>
      </c>
      <c r="V110" s="257">
        <v>210</v>
      </c>
      <c r="W110" s="257">
        <v>208</v>
      </c>
      <c r="X110" s="257">
        <v>0</v>
      </c>
      <c r="Z110" s="257">
        <v>0</v>
      </c>
      <c r="AA110" s="257">
        <v>0</v>
      </c>
      <c r="AC110" s="258">
        <v>0</v>
      </c>
      <c r="AE110" s="258">
        <v>0</v>
      </c>
      <c r="AJ110" s="258">
        <v>109</v>
      </c>
      <c r="AQ110" s="258">
        <v>243</v>
      </c>
      <c r="AR110" s="258">
        <v>3</v>
      </c>
      <c r="AS110" s="258">
        <v>0</v>
      </c>
      <c r="AT110" s="258">
        <v>1</v>
      </c>
      <c r="AV110" s="258">
        <v>4</v>
      </c>
      <c r="AW110" s="296"/>
      <c r="AX110" s="258">
        <v>0</v>
      </c>
      <c r="AZ110" s="258">
        <v>0</v>
      </c>
      <c r="BB110" s="258">
        <v>0</v>
      </c>
      <c r="BC110" s="258">
        <v>0</v>
      </c>
      <c r="BD110" s="297" t="s">
        <v>604</v>
      </c>
      <c r="BF110" s="258">
        <v>0</v>
      </c>
      <c r="BG110" s="258">
        <v>175</v>
      </c>
      <c r="BO110" s="258">
        <v>0</v>
      </c>
      <c r="BP110" s="258">
        <v>0</v>
      </c>
      <c r="BW110" s="258">
        <v>0</v>
      </c>
      <c r="BX110" s="258">
        <v>1739.25</v>
      </c>
      <c r="BY110" s="258">
        <v>61930</v>
      </c>
      <c r="CA110" s="258">
        <v>0</v>
      </c>
      <c r="CC110" s="325">
        <v>12518</v>
      </c>
      <c r="CD110" s="258">
        <v>0</v>
      </c>
      <c r="CG110" s="258">
        <v>0</v>
      </c>
      <c r="CJ110" s="258">
        <v>0</v>
      </c>
      <c r="CK110" s="258">
        <v>0</v>
      </c>
      <c r="CQ110" s="325">
        <v>1323</v>
      </c>
      <c r="CR110" s="258">
        <v>132</v>
      </c>
      <c r="CS110" s="258">
        <v>75.239999999999995</v>
      </c>
      <c r="CT110" s="258">
        <v>329</v>
      </c>
      <c r="CU110" s="258">
        <v>136</v>
      </c>
      <c r="CV110" s="258">
        <v>132</v>
      </c>
      <c r="CW110" s="258">
        <v>9</v>
      </c>
      <c r="DE110" s="258">
        <v>1046</v>
      </c>
      <c r="DF110" s="298">
        <v>0.20937263794406652</v>
      </c>
      <c r="DG110" s="258" t="s">
        <v>212</v>
      </c>
      <c r="DH110" s="258">
        <v>1</v>
      </c>
      <c r="DI110" s="258">
        <v>10.420650095602294</v>
      </c>
      <c r="DN110" s="258"/>
      <c r="DO110" s="258"/>
      <c r="DP110" s="258"/>
      <c r="DQ110" s="258"/>
      <c r="DR110" s="258"/>
      <c r="DS110" s="258"/>
      <c r="DT110" s="258"/>
      <c r="DU110" s="258"/>
      <c r="DY110" s="259">
        <v>1</v>
      </c>
      <c r="DZ110" s="259">
        <v>48</v>
      </c>
      <c r="EA110" s="259">
        <v>1046</v>
      </c>
      <c r="EB110" s="259">
        <v>24</v>
      </c>
      <c r="EC110" s="259">
        <v>61</v>
      </c>
      <c r="ED110" s="259">
        <v>7</v>
      </c>
      <c r="EE110" s="259">
        <v>21</v>
      </c>
      <c r="EF110" s="262">
        <v>1</v>
      </c>
      <c r="EG110" s="262">
        <v>31</v>
      </c>
      <c r="EH110" s="262">
        <v>66</v>
      </c>
    </row>
    <row r="111" spans="1:158">
      <c r="A111" s="295">
        <v>5405</v>
      </c>
      <c r="B111" s="258" t="s">
        <v>119</v>
      </c>
      <c r="C111" s="258">
        <v>63</v>
      </c>
      <c r="D111" s="258">
        <v>22</v>
      </c>
      <c r="E111" s="296">
        <v>0</v>
      </c>
      <c r="F111" s="258">
        <v>0</v>
      </c>
      <c r="G111" s="258">
        <v>93.566696812079996</v>
      </c>
      <c r="H111" s="258">
        <v>179.00724381625392</v>
      </c>
      <c r="I111" s="258">
        <v>0</v>
      </c>
      <c r="J111" s="258">
        <v>0</v>
      </c>
      <c r="K111" s="258">
        <v>480</v>
      </c>
      <c r="L111" s="258">
        <v>0</v>
      </c>
      <c r="M111" s="257">
        <v>0</v>
      </c>
      <c r="N111" s="257">
        <v>0</v>
      </c>
      <c r="O111" s="257">
        <v>0</v>
      </c>
      <c r="P111" s="257">
        <v>0</v>
      </c>
      <c r="Q111" s="257">
        <v>0</v>
      </c>
      <c r="R111" s="257">
        <v>0</v>
      </c>
      <c r="S111" s="257">
        <v>180</v>
      </c>
      <c r="T111" s="257">
        <v>159</v>
      </c>
      <c r="U111" s="257">
        <v>161</v>
      </c>
      <c r="V111" s="257">
        <v>178</v>
      </c>
      <c r="W111" s="257">
        <v>152</v>
      </c>
      <c r="X111" s="257">
        <v>0</v>
      </c>
      <c r="Z111" s="257">
        <v>0</v>
      </c>
      <c r="AA111" s="257">
        <v>0</v>
      </c>
      <c r="AC111" s="258">
        <v>0</v>
      </c>
      <c r="AE111" s="258">
        <v>0</v>
      </c>
      <c r="AJ111" s="258">
        <v>63</v>
      </c>
      <c r="AQ111" s="258">
        <v>130</v>
      </c>
      <c r="AR111" s="258">
        <v>0</v>
      </c>
      <c r="AS111" s="258">
        <v>0</v>
      </c>
      <c r="AT111" s="258">
        <v>1</v>
      </c>
      <c r="AV111" s="258">
        <v>3</v>
      </c>
      <c r="AW111" s="296"/>
      <c r="AX111" s="258">
        <v>0</v>
      </c>
      <c r="AZ111" s="258">
        <v>0</v>
      </c>
      <c r="BB111" s="258">
        <v>0</v>
      </c>
      <c r="BC111" s="258">
        <v>0</v>
      </c>
      <c r="BD111" s="297" t="s">
        <v>597</v>
      </c>
      <c r="BF111" s="258">
        <v>0</v>
      </c>
      <c r="BG111" s="258">
        <v>210</v>
      </c>
      <c r="BO111" s="258">
        <v>2</v>
      </c>
      <c r="BP111" s="258">
        <v>0</v>
      </c>
      <c r="BW111" s="258">
        <v>0</v>
      </c>
      <c r="BX111" s="258">
        <v>2055.48</v>
      </c>
      <c r="BY111" s="258">
        <v>53744</v>
      </c>
      <c r="BZ111" s="258">
        <v>12382</v>
      </c>
      <c r="CA111" s="258">
        <v>0</v>
      </c>
      <c r="CC111" s="325">
        <v>8927</v>
      </c>
      <c r="CD111" s="258">
        <v>0</v>
      </c>
      <c r="CG111" s="258">
        <v>1589728</v>
      </c>
      <c r="CJ111" s="258">
        <v>0</v>
      </c>
      <c r="CK111" s="258">
        <v>0</v>
      </c>
      <c r="CQ111" s="325">
        <v>1132</v>
      </c>
      <c r="CR111" s="258">
        <v>70</v>
      </c>
      <c r="CS111" s="258">
        <v>31.62</v>
      </c>
      <c r="CT111" s="258">
        <v>22</v>
      </c>
      <c r="CU111" s="258">
        <v>181</v>
      </c>
      <c r="CV111" s="258">
        <v>121</v>
      </c>
      <c r="CW111" s="258">
        <v>0</v>
      </c>
      <c r="DE111" s="258">
        <v>830</v>
      </c>
      <c r="DF111" s="298">
        <v>0.2667844522968198</v>
      </c>
      <c r="DG111" s="258" t="s">
        <v>212</v>
      </c>
      <c r="DH111" s="258">
        <v>1</v>
      </c>
      <c r="DI111" s="258">
        <v>7.5903614457831319</v>
      </c>
      <c r="DN111" s="258"/>
      <c r="DO111" s="258"/>
      <c r="DP111" s="258"/>
      <c r="DQ111" s="258"/>
      <c r="DR111" s="258"/>
      <c r="DS111" s="258"/>
      <c r="DT111" s="258"/>
      <c r="DU111" s="258"/>
      <c r="DZ111" s="259">
        <v>7</v>
      </c>
      <c r="EA111" s="259">
        <v>830</v>
      </c>
      <c r="EB111" s="259">
        <v>25</v>
      </c>
      <c r="EC111" s="259">
        <v>87</v>
      </c>
      <c r="ED111" s="259">
        <v>5</v>
      </c>
      <c r="EE111" s="259">
        <v>33</v>
      </c>
      <c r="EF111" s="262">
        <v>0</v>
      </c>
      <c r="EG111" s="262">
        <v>1</v>
      </c>
      <c r="EH111" s="262">
        <v>6</v>
      </c>
    </row>
    <row r="112" spans="1:158">
      <c r="A112" s="295">
        <v>4003</v>
      </c>
      <c r="B112" s="258" t="s">
        <v>120</v>
      </c>
      <c r="C112" s="258">
        <v>227</v>
      </c>
      <c r="D112" s="258">
        <v>391</v>
      </c>
      <c r="E112" s="296">
        <v>0</v>
      </c>
      <c r="F112" s="258">
        <v>0</v>
      </c>
      <c r="G112" s="258">
        <v>247.79350793016079</v>
      </c>
      <c r="H112" s="258">
        <v>234.03</v>
      </c>
      <c r="I112" s="258">
        <v>0</v>
      </c>
      <c r="J112" s="258">
        <v>0</v>
      </c>
      <c r="K112" s="258">
        <v>605</v>
      </c>
      <c r="L112" s="258">
        <v>0</v>
      </c>
      <c r="M112" s="257">
        <v>0</v>
      </c>
      <c r="N112" s="257">
        <v>0</v>
      </c>
      <c r="O112" s="257">
        <v>0</v>
      </c>
      <c r="P112" s="257">
        <v>0</v>
      </c>
      <c r="Q112" s="257">
        <v>0</v>
      </c>
      <c r="R112" s="257">
        <v>0</v>
      </c>
      <c r="S112" s="257">
        <v>160</v>
      </c>
      <c r="T112" s="257">
        <v>160</v>
      </c>
      <c r="U112" s="257">
        <v>161</v>
      </c>
      <c r="V112" s="257">
        <v>159</v>
      </c>
      <c r="W112" s="257">
        <v>161</v>
      </c>
      <c r="X112" s="257">
        <v>0</v>
      </c>
      <c r="Z112" s="257">
        <v>0</v>
      </c>
      <c r="AA112" s="257">
        <v>0</v>
      </c>
      <c r="AC112" s="258">
        <v>0</v>
      </c>
      <c r="AE112" s="258">
        <v>0</v>
      </c>
      <c r="AJ112" s="258">
        <v>227</v>
      </c>
      <c r="AQ112" s="258">
        <v>399</v>
      </c>
      <c r="AR112" s="258">
        <v>1</v>
      </c>
      <c r="AS112" s="258">
        <v>4</v>
      </c>
      <c r="AT112" s="258">
        <v>1.2</v>
      </c>
      <c r="AV112" s="258">
        <v>2</v>
      </c>
      <c r="AW112" s="296"/>
      <c r="AX112" s="258">
        <v>0</v>
      </c>
      <c r="AZ112" s="258">
        <v>0</v>
      </c>
      <c r="BB112" s="258">
        <v>0</v>
      </c>
      <c r="BC112" s="258">
        <v>0</v>
      </c>
      <c r="BD112" s="297" t="s">
        <v>214</v>
      </c>
      <c r="BF112" s="258">
        <v>801</v>
      </c>
      <c r="BG112" s="258">
        <v>302</v>
      </c>
      <c r="BO112" s="258">
        <v>0</v>
      </c>
      <c r="BP112" s="258">
        <v>0</v>
      </c>
      <c r="BW112" s="258">
        <v>0</v>
      </c>
      <c r="BX112" s="258">
        <v>1423.02</v>
      </c>
      <c r="BY112" s="258">
        <v>18400</v>
      </c>
      <c r="BZ112" s="258">
        <v>12659</v>
      </c>
      <c r="CA112" s="258">
        <v>53058</v>
      </c>
      <c r="CC112" s="325">
        <v>6409</v>
      </c>
      <c r="CD112" s="258">
        <v>0</v>
      </c>
      <c r="CJ112" s="258">
        <v>0</v>
      </c>
      <c r="CK112" s="258">
        <v>0</v>
      </c>
      <c r="CQ112" s="325">
        <v>801</v>
      </c>
      <c r="CR112" s="258">
        <v>227</v>
      </c>
      <c r="CS112" s="258">
        <v>72.680000000000007</v>
      </c>
      <c r="CT112" s="258">
        <v>391</v>
      </c>
      <c r="CU112" s="258">
        <v>0</v>
      </c>
      <c r="CV112" s="258">
        <v>0</v>
      </c>
      <c r="CW112" s="258">
        <v>0</v>
      </c>
      <c r="CZ112" s="258">
        <v>1</v>
      </c>
      <c r="DE112" s="258">
        <v>801</v>
      </c>
      <c r="DF112" s="298">
        <v>0</v>
      </c>
      <c r="DG112" s="258" t="s">
        <v>212</v>
      </c>
      <c r="DH112" s="258">
        <v>1</v>
      </c>
      <c r="DI112" s="258">
        <v>28.339575530586771</v>
      </c>
      <c r="DN112" s="258"/>
      <c r="DO112" s="258"/>
      <c r="DP112" s="258"/>
      <c r="DQ112" s="258"/>
      <c r="DR112" s="258"/>
      <c r="DS112" s="258"/>
      <c r="DT112" s="258"/>
      <c r="DU112" s="258"/>
      <c r="DZ112" s="259">
        <v>84</v>
      </c>
      <c r="EA112" s="259">
        <v>801</v>
      </c>
      <c r="EB112" s="259">
        <v>57</v>
      </c>
      <c r="EC112" s="259">
        <v>58</v>
      </c>
      <c r="ED112" s="259">
        <v>16</v>
      </c>
      <c r="EE112" s="259">
        <v>25</v>
      </c>
      <c r="EF112" s="262">
        <v>4</v>
      </c>
      <c r="EG112" s="262">
        <v>12</v>
      </c>
      <c r="EH112" s="262">
        <v>105</v>
      </c>
    </row>
    <row r="113" spans="1:138">
      <c r="A113" s="295">
        <v>5409</v>
      </c>
      <c r="B113" s="258" t="s">
        <v>121</v>
      </c>
      <c r="C113" s="258">
        <v>66</v>
      </c>
      <c r="D113" s="258">
        <v>53</v>
      </c>
      <c r="E113" s="296">
        <v>0</v>
      </c>
      <c r="F113" s="258">
        <v>0</v>
      </c>
      <c r="G113" s="258">
        <v>61.486822336276212</v>
      </c>
      <c r="H113" s="258">
        <v>100.20035190615837</v>
      </c>
      <c r="I113" s="258">
        <v>0</v>
      </c>
      <c r="J113" s="258">
        <v>0</v>
      </c>
      <c r="K113" s="258">
        <v>372.13</v>
      </c>
      <c r="L113" s="258">
        <v>0</v>
      </c>
      <c r="M113" s="257">
        <v>0</v>
      </c>
      <c r="N113" s="257">
        <v>0</v>
      </c>
      <c r="O113" s="257">
        <v>0</v>
      </c>
      <c r="P113" s="257">
        <v>0</v>
      </c>
      <c r="Q113" s="257">
        <v>0</v>
      </c>
      <c r="R113" s="257">
        <v>0</v>
      </c>
      <c r="S113" s="257">
        <v>155</v>
      </c>
      <c r="T113" s="257">
        <v>163</v>
      </c>
      <c r="U113" s="257">
        <v>160</v>
      </c>
      <c r="V113" s="257">
        <v>152</v>
      </c>
      <c r="W113" s="257">
        <v>138</v>
      </c>
      <c r="X113" s="257">
        <v>0</v>
      </c>
      <c r="Z113" s="257">
        <v>0</v>
      </c>
      <c r="AA113" s="257">
        <v>0</v>
      </c>
      <c r="AC113" s="258">
        <v>0</v>
      </c>
      <c r="AE113" s="258">
        <v>0</v>
      </c>
      <c r="AJ113" s="258">
        <v>66</v>
      </c>
      <c r="AQ113" s="258">
        <v>81</v>
      </c>
      <c r="AR113" s="258">
        <v>0</v>
      </c>
      <c r="AS113" s="258">
        <v>0</v>
      </c>
      <c r="AT113" s="258">
        <v>1</v>
      </c>
      <c r="AV113" s="258">
        <v>10</v>
      </c>
      <c r="AW113" s="296"/>
      <c r="AX113" s="258">
        <v>0</v>
      </c>
      <c r="AZ113" s="258">
        <v>0</v>
      </c>
      <c r="BB113" s="258">
        <v>1</v>
      </c>
      <c r="BC113" s="258">
        <v>1.4</v>
      </c>
      <c r="BD113" s="297" t="s">
        <v>604</v>
      </c>
      <c r="BF113" s="258">
        <v>0</v>
      </c>
      <c r="BG113" s="258">
        <v>0</v>
      </c>
      <c r="BO113" s="258">
        <v>0</v>
      </c>
      <c r="BP113" s="258">
        <v>0</v>
      </c>
      <c r="BW113" s="258">
        <v>0</v>
      </c>
      <c r="BX113" s="258">
        <v>0</v>
      </c>
      <c r="BY113" s="258">
        <v>33545</v>
      </c>
      <c r="CA113" s="258">
        <v>0</v>
      </c>
      <c r="CC113" s="325">
        <v>12768.79</v>
      </c>
      <c r="CD113" s="258">
        <v>0</v>
      </c>
      <c r="CJ113" s="258">
        <v>0</v>
      </c>
      <c r="CK113" s="258">
        <v>0</v>
      </c>
      <c r="CQ113" s="325">
        <v>1023</v>
      </c>
      <c r="CR113" s="258">
        <v>79</v>
      </c>
      <c r="CS113" s="258">
        <v>24.64</v>
      </c>
      <c r="CT113" s="258">
        <v>0</v>
      </c>
      <c r="CU113" s="258">
        <v>129</v>
      </c>
      <c r="CV113" s="258">
        <v>126</v>
      </c>
      <c r="CW113" s="258">
        <v>0</v>
      </c>
      <c r="DE113" s="258">
        <v>768</v>
      </c>
      <c r="DF113" s="298">
        <v>0.24926686217008798</v>
      </c>
      <c r="DG113" s="258" t="s">
        <v>212</v>
      </c>
      <c r="DH113" s="258">
        <v>1</v>
      </c>
      <c r="DI113" s="258">
        <v>8.59375</v>
      </c>
      <c r="DN113" s="258"/>
      <c r="DO113" s="258"/>
      <c r="DP113" s="258"/>
      <c r="DQ113" s="258"/>
      <c r="DR113" s="258"/>
      <c r="DS113" s="258"/>
      <c r="DT113" s="258"/>
      <c r="DU113" s="258"/>
      <c r="DY113" s="259">
        <v>1</v>
      </c>
      <c r="DZ113" s="259">
        <v>30</v>
      </c>
      <c r="EA113" s="259">
        <v>768</v>
      </c>
      <c r="EB113" s="259">
        <v>0</v>
      </c>
      <c r="EC113" s="259">
        <v>0</v>
      </c>
      <c r="ED113" s="259">
        <v>0</v>
      </c>
      <c r="EE113" s="259">
        <v>0</v>
      </c>
      <c r="EF113" s="262">
        <v>3</v>
      </c>
      <c r="EG113" s="262">
        <v>5</v>
      </c>
      <c r="EH113" s="262">
        <v>4</v>
      </c>
    </row>
    <row r="114" spans="1:138">
      <c r="A114" s="295" t="s">
        <v>449</v>
      </c>
      <c r="B114" s="258" t="s">
        <v>612</v>
      </c>
      <c r="C114" s="258">
        <v>0</v>
      </c>
      <c r="D114" s="258">
        <v>0</v>
      </c>
      <c r="E114" s="296">
        <v>0</v>
      </c>
      <c r="F114" s="258">
        <v>0</v>
      </c>
      <c r="G114" s="258">
        <v>0</v>
      </c>
      <c r="H114" s="258">
        <v>0</v>
      </c>
      <c r="I114" s="258">
        <v>0</v>
      </c>
      <c r="J114" s="258">
        <v>0</v>
      </c>
      <c r="K114" s="258">
        <v>0</v>
      </c>
      <c r="L114" s="258">
        <v>0</v>
      </c>
      <c r="M114" s="257">
        <v>0</v>
      </c>
      <c r="N114" s="257">
        <v>0</v>
      </c>
      <c r="O114" s="257">
        <v>0</v>
      </c>
      <c r="P114" s="257">
        <v>0</v>
      </c>
      <c r="Q114" s="257">
        <v>0</v>
      </c>
      <c r="R114" s="257">
        <v>0</v>
      </c>
      <c r="S114" s="257">
        <v>0</v>
      </c>
      <c r="T114" s="257">
        <v>0</v>
      </c>
      <c r="U114" s="257">
        <v>0</v>
      </c>
      <c r="V114" s="257">
        <v>0</v>
      </c>
      <c r="W114" s="257">
        <v>0</v>
      </c>
      <c r="X114" s="257">
        <v>0</v>
      </c>
      <c r="Z114" s="257">
        <v>0</v>
      </c>
      <c r="AA114" s="257">
        <v>0</v>
      </c>
      <c r="AC114" s="258">
        <v>0</v>
      </c>
      <c r="AE114" s="258">
        <v>0</v>
      </c>
      <c r="AJ114" s="258">
        <v>0</v>
      </c>
      <c r="AQ114" s="258">
        <v>0</v>
      </c>
      <c r="AR114" s="258">
        <v>0</v>
      </c>
      <c r="AS114" s="258">
        <v>0</v>
      </c>
      <c r="AT114" s="258">
        <v>1</v>
      </c>
      <c r="AV114" s="258">
        <v>0</v>
      </c>
      <c r="AW114" s="296"/>
      <c r="AX114" s="258">
        <v>0</v>
      </c>
      <c r="AZ114" s="258">
        <v>0</v>
      </c>
      <c r="BB114" s="258">
        <v>0</v>
      </c>
      <c r="BC114" s="258">
        <v>0</v>
      </c>
      <c r="BD114" s="297" t="s">
        <v>604</v>
      </c>
      <c r="BF114" s="258">
        <v>0</v>
      </c>
      <c r="BG114" s="258">
        <v>0</v>
      </c>
      <c r="BO114" s="258">
        <v>0</v>
      </c>
      <c r="BP114" s="258">
        <v>0</v>
      </c>
      <c r="BW114" s="258">
        <v>0</v>
      </c>
      <c r="BX114" s="258">
        <v>0</v>
      </c>
      <c r="BZ114" s="258">
        <v>0</v>
      </c>
      <c r="CA114" s="258">
        <v>0</v>
      </c>
      <c r="CC114" s="325">
        <v>0</v>
      </c>
      <c r="CD114" s="258">
        <v>0</v>
      </c>
      <c r="CG114" s="258">
        <v>0</v>
      </c>
      <c r="CJ114" s="258">
        <v>0</v>
      </c>
      <c r="CK114" s="258">
        <v>0</v>
      </c>
      <c r="CQ114" s="325">
        <v>0</v>
      </c>
      <c r="CR114" s="258">
        <v>0</v>
      </c>
      <c r="CS114" s="258">
        <v>0</v>
      </c>
      <c r="CT114" s="258">
        <v>0</v>
      </c>
      <c r="CU114" s="258">
        <v>0</v>
      </c>
      <c r="CV114" s="258">
        <v>0</v>
      </c>
      <c r="CW114" s="258">
        <v>0</v>
      </c>
      <c r="DE114" s="258">
        <v>0</v>
      </c>
      <c r="DF114" s="298">
        <v>0</v>
      </c>
      <c r="DG114" s="258" t="s">
        <v>212</v>
      </c>
      <c r="DI114" s="258">
        <v>0</v>
      </c>
      <c r="DN114" s="258"/>
      <c r="DO114" s="258"/>
      <c r="DP114" s="258"/>
      <c r="DQ114" s="258"/>
      <c r="DR114" s="258"/>
      <c r="DS114" s="258"/>
      <c r="DT114" s="258"/>
      <c r="DU114" s="258"/>
      <c r="DZ114" s="259">
        <v>0</v>
      </c>
      <c r="EA114" s="259">
        <v>0</v>
      </c>
      <c r="EB114" s="259">
        <v>0</v>
      </c>
      <c r="EC114" s="259">
        <v>0</v>
      </c>
      <c r="ED114" s="259">
        <v>0</v>
      </c>
      <c r="EE114" s="259">
        <v>0</v>
      </c>
    </row>
    <row r="115" spans="1:138">
      <c r="A115" s="295">
        <v>5400</v>
      </c>
      <c r="B115" s="258" t="s">
        <v>122</v>
      </c>
      <c r="C115" s="258">
        <v>302</v>
      </c>
      <c r="D115" s="258">
        <v>859</v>
      </c>
      <c r="E115" s="296">
        <v>0</v>
      </c>
      <c r="F115" s="258">
        <v>0</v>
      </c>
      <c r="G115" s="258">
        <v>221.16048585138068</v>
      </c>
      <c r="H115" s="258">
        <v>298.80941080196368</v>
      </c>
      <c r="I115" s="258">
        <v>755745.6700444445</v>
      </c>
      <c r="J115" s="258">
        <v>0</v>
      </c>
      <c r="K115" s="258">
        <v>528.87258410880452</v>
      </c>
      <c r="L115" s="258">
        <v>0</v>
      </c>
      <c r="M115" s="257">
        <v>0</v>
      </c>
      <c r="N115" s="257">
        <v>0</v>
      </c>
      <c r="O115" s="257">
        <v>0</v>
      </c>
      <c r="P115" s="257">
        <v>0</v>
      </c>
      <c r="Q115" s="257">
        <v>0</v>
      </c>
      <c r="R115" s="257">
        <v>0</v>
      </c>
      <c r="S115" s="257">
        <v>199</v>
      </c>
      <c r="T115" s="257">
        <v>197</v>
      </c>
      <c r="U115" s="257">
        <v>200</v>
      </c>
      <c r="V115" s="257">
        <v>201</v>
      </c>
      <c r="W115" s="257">
        <v>198</v>
      </c>
      <c r="X115" s="257">
        <v>0</v>
      </c>
      <c r="Z115" s="257">
        <v>0</v>
      </c>
      <c r="AA115" s="257">
        <v>0</v>
      </c>
      <c r="AC115" s="258">
        <v>0</v>
      </c>
      <c r="AE115" s="258">
        <v>0</v>
      </c>
      <c r="AJ115" s="258">
        <v>302</v>
      </c>
      <c r="AQ115" s="258">
        <v>453</v>
      </c>
      <c r="AR115" s="258">
        <v>0</v>
      </c>
      <c r="AS115" s="258">
        <v>0</v>
      </c>
      <c r="AT115" s="258">
        <v>1</v>
      </c>
      <c r="AV115" s="258">
        <v>11</v>
      </c>
      <c r="AW115" s="296"/>
      <c r="AX115" s="258">
        <v>0</v>
      </c>
      <c r="AZ115" s="258">
        <v>0</v>
      </c>
      <c r="BB115" s="258">
        <v>0</v>
      </c>
      <c r="BC115" s="258">
        <v>0</v>
      </c>
      <c r="BD115" s="297" t="s">
        <v>604</v>
      </c>
      <c r="BF115" s="258">
        <v>0</v>
      </c>
      <c r="BG115" s="258">
        <v>566</v>
      </c>
      <c r="BO115" s="258">
        <v>3</v>
      </c>
      <c r="BP115" s="258">
        <v>0</v>
      </c>
      <c r="BW115" s="258">
        <v>0</v>
      </c>
      <c r="BX115" s="258">
        <v>0</v>
      </c>
      <c r="BY115" s="258">
        <v>24282</v>
      </c>
      <c r="CA115" s="258">
        <v>0</v>
      </c>
      <c r="CC115" s="325">
        <v>9949</v>
      </c>
      <c r="CD115" s="258">
        <v>0</v>
      </c>
      <c r="CJ115" s="258">
        <v>0</v>
      </c>
      <c r="CK115" s="258">
        <v>0</v>
      </c>
      <c r="CQ115" s="325">
        <v>1222</v>
      </c>
      <c r="CR115" s="258">
        <v>341</v>
      </c>
      <c r="CS115" s="258">
        <v>64.680000000000007</v>
      </c>
      <c r="CT115" s="258">
        <v>859</v>
      </c>
      <c r="CU115" s="258">
        <v>136</v>
      </c>
      <c r="CV115" s="258">
        <v>91</v>
      </c>
      <c r="CW115" s="258">
        <v>0</v>
      </c>
      <c r="CZ115" s="258">
        <v>1</v>
      </c>
      <c r="DE115" s="258">
        <v>995</v>
      </c>
      <c r="DF115" s="298">
        <v>0.18576104746317512</v>
      </c>
      <c r="DG115" s="258" t="s">
        <v>212</v>
      </c>
      <c r="DH115" s="258">
        <v>1</v>
      </c>
      <c r="DI115" s="258">
        <v>30.35175879396985</v>
      </c>
      <c r="DN115" s="258"/>
      <c r="DO115" s="258"/>
      <c r="DP115" s="258"/>
      <c r="DQ115" s="258"/>
      <c r="DR115" s="258"/>
      <c r="DS115" s="258"/>
      <c r="DT115" s="258"/>
      <c r="DU115" s="258"/>
      <c r="DZ115" s="259">
        <v>27</v>
      </c>
      <c r="EA115" s="259">
        <v>995</v>
      </c>
      <c r="EB115" s="259">
        <v>114</v>
      </c>
      <c r="EC115" s="259">
        <v>133</v>
      </c>
      <c r="ED115" s="259">
        <v>22</v>
      </c>
      <c r="EE115" s="259">
        <v>25</v>
      </c>
      <c r="EF115" s="262">
        <v>6</v>
      </c>
      <c r="EG115" s="262">
        <v>25</v>
      </c>
      <c r="EH115" s="262">
        <v>239</v>
      </c>
    </row>
    <row r="116" spans="1:138">
      <c r="A116" s="295" t="s">
        <v>444</v>
      </c>
      <c r="B116" s="258" t="s">
        <v>445</v>
      </c>
      <c r="C116" s="258">
        <v>0</v>
      </c>
      <c r="D116" s="258">
        <v>0</v>
      </c>
      <c r="E116" s="296">
        <v>0</v>
      </c>
      <c r="F116" s="258">
        <v>0</v>
      </c>
      <c r="G116" s="258">
        <v>0</v>
      </c>
      <c r="H116" s="258">
        <v>0</v>
      </c>
      <c r="I116" s="258">
        <v>0</v>
      </c>
      <c r="J116" s="258">
        <v>0</v>
      </c>
      <c r="K116" s="258">
        <v>0</v>
      </c>
      <c r="L116" s="258">
        <v>0</v>
      </c>
      <c r="M116" s="257">
        <v>0</v>
      </c>
      <c r="N116" s="257">
        <v>0</v>
      </c>
      <c r="O116" s="257">
        <v>0</v>
      </c>
      <c r="P116" s="257">
        <v>0</v>
      </c>
      <c r="Q116" s="257">
        <v>0</v>
      </c>
      <c r="R116" s="257">
        <v>0</v>
      </c>
      <c r="S116" s="257">
        <v>0</v>
      </c>
      <c r="T116" s="257">
        <v>0</v>
      </c>
      <c r="U116" s="257">
        <v>0</v>
      </c>
      <c r="V116" s="257">
        <v>0</v>
      </c>
      <c r="W116" s="257">
        <v>0</v>
      </c>
      <c r="X116" s="257">
        <v>0</v>
      </c>
      <c r="Z116" s="257">
        <v>0</v>
      </c>
      <c r="AA116" s="257">
        <v>0</v>
      </c>
      <c r="AC116" s="258">
        <v>0</v>
      </c>
      <c r="AE116" s="258">
        <v>0</v>
      </c>
      <c r="AJ116" s="258">
        <v>0</v>
      </c>
      <c r="AQ116" s="258">
        <v>0</v>
      </c>
      <c r="AR116" s="258">
        <v>0</v>
      </c>
      <c r="AS116" s="258">
        <v>0</v>
      </c>
      <c r="AT116" s="258">
        <v>1</v>
      </c>
      <c r="AV116" s="258">
        <v>0</v>
      </c>
      <c r="AW116" s="296"/>
      <c r="AX116" s="258">
        <v>0</v>
      </c>
      <c r="AZ116" s="258">
        <v>0</v>
      </c>
      <c r="BB116" s="258">
        <v>0</v>
      </c>
      <c r="BC116" s="258">
        <v>0</v>
      </c>
      <c r="BD116" s="297" t="s">
        <v>604</v>
      </c>
      <c r="BF116" s="258">
        <v>0</v>
      </c>
      <c r="BG116" s="258">
        <v>0</v>
      </c>
      <c r="BO116" s="258">
        <v>0</v>
      </c>
      <c r="BP116" s="258">
        <v>0</v>
      </c>
      <c r="BW116" s="258">
        <v>0</v>
      </c>
      <c r="BX116" s="258">
        <v>0</v>
      </c>
      <c r="BZ116" s="258">
        <v>0</v>
      </c>
      <c r="CA116" s="258">
        <v>0</v>
      </c>
      <c r="CC116" s="325">
        <v>0</v>
      </c>
      <c r="CD116" s="258">
        <v>0</v>
      </c>
      <c r="CG116" s="258">
        <v>0</v>
      </c>
      <c r="CJ116" s="258">
        <v>0</v>
      </c>
      <c r="CK116" s="258">
        <v>0</v>
      </c>
      <c r="CQ116" s="325">
        <v>0</v>
      </c>
      <c r="CR116" s="258">
        <v>0</v>
      </c>
      <c r="CS116" s="258">
        <v>0</v>
      </c>
      <c r="CT116" s="258">
        <v>0</v>
      </c>
      <c r="CU116" s="258">
        <v>0</v>
      </c>
      <c r="CV116" s="258">
        <v>0</v>
      </c>
      <c r="CW116" s="258">
        <v>0</v>
      </c>
      <c r="DE116" s="258">
        <v>0</v>
      </c>
      <c r="DF116" s="298">
        <v>0</v>
      </c>
      <c r="DG116" s="258" t="s">
        <v>212</v>
      </c>
      <c r="DI116" s="258">
        <v>0</v>
      </c>
      <c r="DN116" s="258"/>
      <c r="DO116" s="258"/>
      <c r="DP116" s="258"/>
      <c r="DQ116" s="258"/>
      <c r="DR116" s="258"/>
      <c r="DS116" s="258"/>
      <c r="DT116" s="258"/>
      <c r="DU116" s="258"/>
      <c r="DZ116" s="259">
        <v>0</v>
      </c>
      <c r="EA116" s="259">
        <v>0</v>
      </c>
      <c r="EB116" s="259">
        <v>0</v>
      </c>
      <c r="EC116" s="259">
        <v>0</v>
      </c>
      <c r="ED116" s="259">
        <v>0</v>
      </c>
      <c r="EE116" s="259">
        <v>0</v>
      </c>
    </row>
    <row r="117" spans="1:138">
      <c r="A117" s="295">
        <v>5427</v>
      </c>
      <c r="B117" s="258" t="s">
        <v>134</v>
      </c>
      <c r="C117" s="258">
        <v>30</v>
      </c>
      <c r="D117" s="258">
        <v>116</v>
      </c>
      <c r="E117" s="296">
        <v>0</v>
      </c>
      <c r="F117" s="258">
        <v>0</v>
      </c>
      <c r="G117" s="258">
        <v>102.72739276913435</v>
      </c>
      <c r="H117" s="258">
        <v>47.643874643874696</v>
      </c>
      <c r="I117" s="258">
        <v>450830.81198888889</v>
      </c>
      <c r="J117" s="258">
        <v>0</v>
      </c>
      <c r="K117" s="258">
        <v>80</v>
      </c>
      <c r="L117" s="258">
        <v>0</v>
      </c>
      <c r="M117" s="257">
        <v>0</v>
      </c>
      <c r="N117" s="257">
        <v>0</v>
      </c>
      <c r="O117" s="257">
        <v>0</v>
      </c>
      <c r="P117" s="257">
        <v>0</v>
      </c>
      <c r="Q117" s="257">
        <v>0</v>
      </c>
      <c r="R117" s="257">
        <v>0</v>
      </c>
      <c r="S117" s="257">
        <v>191</v>
      </c>
      <c r="T117" s="257">
        <v>159</v>
      </c>
      <c r="U117" s="257">
        <v>0</v>
      </c>
      <c r="V117" s="257">
        <v>0</v>
      </c>
      <c r="W117" s="257">
        <v>0</v>
      </c>
      <c r="X117" s="257">
        <v>0</v>
      </c>
      <c r="Z117" s="257">
        <v>0</v>
      </c>
      <c r="AA117" s="257">
        <v>0</v>
      </c>
      <c r="AC117" s="258">
        <v>0</v>
      </c>
      <c r="AE117" s="258">
        <v>0</v>
      </c>
      <c r="AJ117" s="258">
        <v>30</v>
      </c>
      <c r="AQ117" s="258">
        <v>38</v>
      </c>
      <c r="AR117" s="258">
        <v>0</v>
      </c>
      <c r="AS117" s="258">
        <v>0</v>
      </c>
      <c r="AT117" s="258">
        <v>1.2</v>
      </c>
      <c r="AV117" s="258">
        <v>5</v>
      </c>
      <c r="AW117" s="296"/>
      <c r="AX117" s="258">
        <v>0</v>
      </c>
      <c r="AZ117" s="258">
        <v>0</v>
      </c>
      <c r="BB117" s="258">
        <v>0</v>
      </c>
      <c r="BC117" s="258">
        <v>0</v>
      </c>
      <c r="BD117" s="297" t="s">
        <v>597</v>
      </c>
      <c r="BF117" s="258">
        <v>0</v>
      </c>
      <c r="BG117" s="258">
        <v>5</v>
      </c>
      <c r="BO117" s="258">
        <v>0</v>
      </c>
      <c r="BP117" s="258">
        <v>0</v>
      </c>
      <c r="BW117" s="258">
        <v>0</v>
      </c>
      <c r="BX117" s="258">
        <v>1635.72</v>
      </c>
      <c r="BY117" s="258">
        <v>52637</v>
      </c>
      <c r="BZ117" s="258">
        <v>36774</v>
      </c>
      <c r="CA117" s="258">
        <v>0</v>
      </c>
      <c r="CC117" s="325">
        <v>14652</v>
      </c>
      <c r="CD117" s="258">
        <v>0</v>
      </c>
      <c r="CJ117" s="258">
        <v>0</v>
      </c>
      <c r="CK117" s="258">
        <v>0</v>
      </c>
      <c r="CQ117" s="325">
        <v>350</v>
      </c>
      <c r="CR117" s="258">
        <v>30</v>
      </c>
      <c r="CS117" s="258">
        <v>16.426666666666669</v>
      </c>
      <c r="CT117" s="258">
        <v>116</v>
      </c>
      <c r="CU117" s="258">
        <v>0</v>
      </c>
      <c r="CV117" s="258">
        <v>0</v>
      </c>
      <c r="CW117" s="258">
        <v>0</v>
      </c>
      <c r="CX117" s="258">
        <v>935</v>
      </c>
      <c r="DE117" s="258">
        <v>350</v>
      </c>
      <c r="DF117" s="298">
        <v>0</v>
      </c>
      <c r="DG117" s="258" t="s">
        <v>212</v>
      </c>
      <c r="DH117" s="258">
        <v>1</v>
      </c>
      <c r="DI117" s="258">
        <v>8.5714285714285712</v>
      </c>
      <c r="DN117" s="258"/>
      <c r="DO117" s="258"/>
      <c r="DP117" s="258"/>
      <c r="DQ117" s="258"/>
      <c r="DR117" s="258"/>
      <c r="DS117" s="258"/>
      <c r="DT117" s="258"/>
      <c r="DU117" s="258"/>
      <c r="DZ117" s="259">
        <v>15</v>
      </c>
      <c r="EA117" s="259">
        <v>350</v>
      </c>
      <c r="EB117" s="259">
        <v>0</v>
      </c>
      <c r="EC117" s="259">
        <v>0</v>
      </c>
      <c r="ED117" s="259">
        <v>1</v>
      </c>
      <c r="EE117" s="259">
        <v>2</v>
      </c>
      <c r="EF117" s="262">
        <v>3</v>
      </c>
      <c r="EG117" s="262">
        <v>20</v>
      </c>
      <c r="EH117" s="262">
        <v>5</v>
      </c>
    </row>
    <row r="118" spans="1:138">
      <c r="A118" s="295">
        <v>5402</v>
      </c>
      <c r="B118" s="258" t="s">
        <v>408</v>
      </c>
      <c r="C118" s="258">
        <v>172</v>
      </c>
      <c r="D118" s="258">
        <v>267</v>
      </c>
      <c r="E118" s="296">
        <v>0</v>
      </c>
      <c r="F118" s="258">
        <v>0</v>
      </c>
      <c r="G118" s="258">
        <v>169.56820939717434</v>
      </c>
      <c r="H118" s="258">
        <v>278.319930675911</v>
      </c>
      <c r="I118" s="258">
        <v>505437.62</v>
      </c>
      <c r="J118" s="258">
        <v>0</v>
      </c>
      <c r="K118" s="258">
        <v>1045</v>
      </c>
      <c r="L118" s="258">
        <v>0</v>
      </c>
      <c r="M118" s="257">
        <v>0</v>
      </c>
      <c r="N118" s="257">
        <v>0</v>
      </c>
      <c r="O118" s="257">
        <v>0</v>
      </c>
      <c r="P118" s="257">
        <v>0</v>
      </c>
      <c r="Q118" s="257">
        <v>0</v>
      </c>
      <c r="R118" s="257">
        <v>0</v>
      </c>
      <c r="S118" s="257">
        <v>264</v>
      </c>
      <c r="T118" s="257">
        <v>245</v>
      </c>
      <c r="U118" s="257">
        <v>246</v>
      </c>
      <c r="V118" s="257">
        <v>244</v>
      </c>
      <c r="W118" s="257">
        <v>243</v>
      </c>
      <c r="X118" s="257">
        <v>0</v>
      </c>
      <c r="Z118" s="257">
        <v>0</v>
      </c>
      <c r="AA118" s="257">
        <v>0</v>
      </c>
      <c r="AC118" s="258">
        <v>0</v>
      </c>
      <c r="AE118" s="258">
        <v>0</v>
      </c>
      <c r="AJ118" s="258">
        <v>172</v>
      </c>
      <c r="AQ118" s="258">
        <v>288</v>
      </c>
      <c r="AR118" s="258">
        <v>5</v>
      </c>
      <c r="AS118" s="258">
        <v>0</v>
      </c>
      <c r="AT118" s="258">
        <v>1</v>
      </c>
      <c r="AV118" s="258">
        <v>9</v>
      </c>
      <c r="AW118" s="296"/>
      <c r="AX118" s="258">
        <v>0</v>
      </c>
      <c r="AZ118" s="258">
        <v>0</v>
      </c>
      <c r="BB118" s="258">
        <v>1</v>
      </c>
      <c r="BC118" s="258">
        <v>1</v>
      </c>
      <c r="BD118" s="297" t="s">
        <v>604</v>
      </c>
      <c r="BF118" s="258">
        <v>0</v>
      </c>
      <c r="BG118" s="258">
        <v>434</v>
      </c>
      <c r="BO118" s="258">
        <v>1</v>
      </c>
      <c r="BP118" s="258">
        <v>0</v>
      </c>
      <c r="BW118" s="258">
        <v>0</v>
      </c>
      <c r="BX118" s="258">
        <v>1739.25</v>
      </c>
      <c r="BY118" s="258">
        <v>91186</v>
      </c>
      <c r="CA118" s="258">
        <v>0</v>
      </c>
      <c r="CC118" s="325">
        <v>12421</v>
      </c>
      <c r="CD118" s="258">
        <v>0</v>
      </c>
      <c r="CJ118" s="258">
        <v>0</v>
      </c>
      <c r="CK118" s="258">
        <v>0</v>
      </c>
      <c r="CQ118" s="325">
        <v>1731</v>
      </c>
      <c r="CR118" s="258">
        <v>203</v>
      </c>
      <c r="CS118" s="258">
        <v>63.7</v>
      </c>
      <c r="CT118" s="258">
        <v>267</v>
      </c>
      <c r="CU118" s="258">
        <v>276</v>
      </c>
      <c r="CV118" s="258">
        <v>213</v>
      </c>
      <c r="CW118" s="258">
        <v>0</v>
      </c>
      <c r="DE118" s="258">
        <v>1242</v>
      </c>
      <c r="DF118" s="298">
        <v>0.28249566724436742</v>
      </c>
      <c r="DG118" s="258" t="s">
        <v>212</v>
      </c>
      <c r="DH118" s="258">
        <v>1</v>
      </c>
      <c r="DI118" s="258">
        <v>13.848631239935589</v>
      </c>
      <c r="DN118" s="258"/>
      <c r="DO118" s="258"/>
      <c r="DP118" s="258"/>
      <c r="DQ118" s="258"/>
      <c r="DR118" s="258"/>
      <c r="DS118" s="258"/>
      <c r="DT118" s="258"/>
      <c r="DU118" s="258"/>
      <c r="DZ118" s="259">
        <v>40</v>
      </c>
      <c r="EA118" s="259">
        <v>1242</v>
      </c>
      <c r="EB118" s="259">
        <v>53</v>
      </c>
      <c r="EC118" s="259">
        <v>195</v>
      </c>
      <c r="ED118" s="259">
        <v>10</v>
      </c>
      <c r="EE118" s="259">
        <v>50</v>
      </c>
      <c r="EF118" s="262">
        <v>0</v>
      </c>
      <c r="EG118" s="262">
        <v>12</v>
      </c>
      <c r="EH118" s="262">
        <v>73</v>
      </c>
    </row>
    <row r="119" spans="1:138">
      <c r="A119" s="295" t="s">
        <v>446</v>
      </c>
      <c r="B119" s="258" t="s">
        <v>613</v>
      </c>
      <c r="C119" s="258">
        <v>0</v>
      </c>
      <c r="D119" s="258">
        <v>0</v>
      </c>
      <c r="E119" s="296">
        <v>0</v>
      </c>
      <c r="F119" s="258">
        <v>0</v>
      </c>
      <c r="G119" s="258">
        <v>0</v>
      </c>
      <c r="H119" s="258">
        <v>0</v>
      </c>
      <c r="I119" s="258">
        <v>0</v>
      </c>
      <c r="J119" s="258">
        <v>0</v>
      </c>
      <c r="K119" s="258">
        <v>0</v>
      </c>
      <c r="L119" s="258">
        <v>0</v>
      </c>
      <c r="M119" s="257">
        <v>0</v>
      </c>
      <c r="N119" s="257">
        <v>0</v>
      </c>
      <c r="O119" s="257">
        <v>0</v>
      </c>
      <c r="P119" s="257">
        <v>0</v>
      </c>
      <c r="Q119" s="257">
        <v>0</v>
      </c>
      <c r="R119" s="257">
        <v>0</v>
      </c>
      <c r="S119" s="257">
        <v>0</v>
      </c>
      <c r="T119" s="257">
        <v>0</v>
      </c>
      <c r="U119" s="257">
        <v>0</v>
      </c>
      <c r="V119" s="257">
        <v>0</v>
      </c>
      <c r="W119" s="257">
        <v>0</v>
      </c>
      <c r="X119" s="257">
        <v>0</v>
      </c>
      <c r="Z119" s="257">
        <v>0</v>
      </c>
      <c r="AA119" s="257">
        <v>0</v>
      </c>
      <c r="AC119" s="258">
        <v>0</v>
      </c>
      <c r="AE119" s="258">
        <v>0</v>
      </c>
      <c r="AJ119" s="258">
        <v>0</v>
      </c>
      <c r="AQ119" s="258">
        <v>0</v>
      </c>
      <c r="AR119" s="258">
        <v>0</v>
      </c>
      <c r="AS119" s="258">
        <v>0</v>
      </c>
      <c r="AT119" s="258">
        <v>1</v>
      </c>
      <c r="AV119" s="258">
        <v>0</v>
      </c>
      <c r="AW119" s="296"/>
      <c r="AX119" s="258">
        <v>0</v>
      </c>
      <c r="AZ119" s="258">
        <v>0</v>
      </c>
      <c r="BB119" s="258">
        <v>0</v>
      </c>
      <c r="BC119" s="258">
        <v>0</v>
      </c>
      <c r="BD119" s="297" t="s">
        <v>604</v>
      </c>
      <c r="BF119" s="258">
        <v>0</v>
      </c>
      <c r="BG119" s="258">
        <v>0</v>
      </c>
      <c r="BO119" s="258">
        <v>0</v>
      </c>
      <c r="BP119" s="258">
        <v>0</v>
      </c>
      <c r="BW119" s="258">
        <v>0</v>
      </c>
      <c r="BX119" s="258">
        <v>0</v>
      </c>
      <c r="BZ119" s="258">
        <v>0</v>
      </c>
      <c r="CA119" s="258">
        <v>0</v>
      </c>
      <c r="CC119" s="325">
        <v>0</v>
      </c>
      <c r="CD119" s="258">
        <v>0</v>
      </c>
      <c r="CG119" s="258">
        <v>0</v>
      </c>
      <c r="CJ119" s="258">
        <v>0</v>
      </c>
      <c r="CK119" s="258">
        <v>0</v>
      </c>
      <c r="CQ119" s="325">
        <v>0</v>
      </c>
      <c r="CR119" s="258">
        <v>0</v>
      </c>
      <c r="CS119" s="258">
        <v>0</v>
      </c>
      <c r="CT119" s="258">
        <v>0</v>
      </c>
      <c r="CU119" s="258">
        <v>0</v>
      </c>
      <c r="CV119" s="258">
        <v>0</v>
      </c>
      <c r="CW119" s="258">
        <v>0</v>
      </c>
      <c r="DE119" s="258">
        <v>0</v>
      </c>
      <c r="DF119" s="298">
        <v>0</v>
      </c>
      <c r="DG119" s="258" t="s">
        <v>212</v>
      </c>
      <c r="DI119" s="258">
        <v>0</v>
      </c>
      <c r="DN119" s="258"/>
      <c r="DO119" s="258"/>
      <c r="DP119" s="258"/>
      <c r="DQ119" s="258"/>
      <c r="DR119" s="258"/>
      <c r="DS119" s="258"/>
      <c r="DT119" s="258"/>
      <c r="DU119" s="258"/>
      <c r="DZ119" s="259">
        <v>0</v>
      </c>
      <c r="EA119" s="259">
        <v>0</v>
      </c>
      <c r="EB119" s="259">
        <v>0</v>
      </c>
      <c r="EC119" s="259">
        <v>0</v>
      </c>
      <c r="ED119" s="259">
        <v>0</v>
      </c>
      <c r="EE119" s="259">
        <v>0</v>
      </c>
    </row>
    <row r="120" spans="1:138">
      <c r="A120" s="295">
        <v>4208</v>
      </c>
      <c r="B120" s="258" t="s">
        <v>123</v>
      </c>
      <c r="C120" s="258">
        <v>114</v>
      </c>
      <c r="D120" s="258">
        <v>199</v>
      </c>
      <c r="E120" s="296">
        <v>0</v>
      </c>
      <c r="F120" s="258">
        <v>0</v>
      </c>
      <c r="G120" s="258">
        <v>112.69085937662662</v>
      </c>
      <c r="H120" s="258">
        <v>181.74592274678091</v>
      </c>
      <c r="I120" s="258">
        <v>0</v>
      </c>
      <c r="J120" s="258">
        <v>0</v>
      </c>
      <c r="K120" s="258">
        <v>330</v>
      </c>
      <c r="L120" s="258">
        <v>0</v>
      </c>
      <c r="M120" s="257">
        <v>0</v>
      </c>
      <c r="N120" s="257">
        <v>0</v>
      </c>
      <c r="O120" s="257">
        <v>0</v>
      </c>
      <c r="P120" s="257">
        <v>0</v>
      </c>
      <c r="Q120" s="257">
        <v>0</v>
      </c>
      <c r="R120" s="257">
        <v>0</v>
      </c>
      <c r="S120" s="257">
        <v>180</v>
      </c>
      <c r="T120" s="257">
        <v>180</v>
      </c>
      <c r="U120" s="257">
        <v>180</v>
      </c>
      <c r="V120" s="257">
        <v>181</v>
      </c>
      <c r="W120" s="257">
        <v>179</v>
      </c>
      <c r="X120" s="257">
        <v>0</v>
      </c>
      <c r="Z120" s="257">
        <v>0</v>
      </c>
      <c r="AA120" s="257">
        <v>0</v>
      </c>
      <c r="AC120" s="258">
        <v>0</v>
      </c>
      <c r="AE120" s="258">
        <v>0</v>
      </c>
      <c r="AJ120" s="258">
        <v>114</v>
      </c>
      <c r="AQ120" s="258">
        <v>198</v>
      </c>
      <c r="AR120" s="258">
        <v>1</v>
      </c>
      <c r="AS120" s="258">
        <v>2</v>
      </c>
      <c r="AT120" s="258">
        <v>1</v>
      </c>
      <c r="AV120" s="258">
        <v>9</v>
      </c>
      <c r="AW120" s="296"/>
      <c r="AX120" s="258">
        <v>0</v>
      </c>
      <c r="AZ120" s="258">
        <v>0</v>
      </c>
      <c r="BB120" s="258">
        <v>0</v>
      </c>
      <c r="BC120" s="258">
        <v>0</v>
      </c>
      <c r="BD120" s="297" t="s">
        <v>604</v>
      </c>
      <c r="BF120" s="258">
        <v>0</v>
      </c>
      <c r="BG120" s="258">
        <v>229</v>
      </c>
      <c r="BO120" s="258">
        <v>1</v>
      </c>
      <c r="BP120" s="258">
        <v>0</v>
      </c>
      <c r="BW120" s="258">
        <v>0</v>
      </c>
      <c r="BX120" s="258">
        <v>1423.02</v>
      </c>
      <c r="BY120" s="258">
        <v>46200</v>
      </c>
      <c r="CA120" s="258">
        <v>0</v>
      </c>
      <c r="CC120" s="325">
        <v>10881</v>
      </c>
      <c r="CD120" s="258">
        <v>1</v>
      </c>
      <c r="CJ120" s="258">
        <v>0</v>
      </c>
      <c r="CK120" s="258">
        <v>0</v>
      </c>
      <c r="CQ120" s="325">
        <v>1165</v>
      </c>
      <c r="CR120" s="258">
        <v>135</v>
      </c>
      <c r="CS120" s="258">
        <v>50.4</v>
      </c>
      <c r="CT120" s="258">
        <v>199</v>
      </c>
      <c r="CU120" s="258">
        <v>162</v>
      </c>
      <c r="CV120" s="258">
        <v>103</v>
      </c>
      <c r="CW120" s="258">
        <v>0</v>
      </c>
      <c r="DE120" s="258">
        <v>900</v>
      </c>
      <c r="DF120" s="298">
        <v>0.22746781115879827</v>
      </c>
      <c r="DG120" s="258" t="s">
        <v>212</v>
      </c>
      <c r="DH120" s="258">
        <v>1</v>
      </c>
      <c r="DI120" s="258">
        <v>12.666666666666668</v>
      </c>
      <c r="DN120" s="258"/>
      <c r="DO120" s="258"/>
      <c r="DP120" s="258"/>
      <c r="DQ120" s="258"/>
      <c r="DR120" s="258"/>
      <c r="DS120" s="258"/>
      <c r="DT120" s="258"/>
      <c r="DU120" s="258"/>
      <c r="DY120" s="259">
        <v>1</v>
      </c>
      <c r="DZ120" s="259">
        <v>42</v>
      </c>
      <c r="EA120" s="259">
        <v>900</v>
      </c>
      <c r="EB120" s="259">
        <v>33</v>
      </c>
      <c r="EC120" s="259">
        <v>84</v>
      </c>
      <c r="ED120" s="259">
        <v>9</v>
      </c>
      <c r="EE120" s="259">
        <v>19</v>
      </c>
      <c r="EF120" s="262">
        <v>3</v>
      </c>
      <c r="EG120" s="262">
        <v>1</v>
      </c>
      <c r="EH120" s="262">
        <v>58</v>
      </c>
    </row>
    <row r="121" spans="1:138">
      <c r="A121" s="295" t="s">
        <v>438</v>
      </c>
      <c r="B121" s="258" t="s">
        <v>614</v>
      </c>
      <c r="C121" s="258">
        <v>0</v>
      </c>
      <c r="D121" s="258">
        <v>0</v>
      </c>
      <c r="E121" s="296">
        <v>0</v>
      </c>
      <c r="F121" s="258">
        <v>0</v>
      </c>
      <c r="G121" s="258">
        <v>0</v>
      </c>
      <c r="H121" s="258">
        <v>0</v>
      </c>
      <c r="I121" s="258">
        <v>0</v>
      </c>
      <c r="J121" s="258">
        <v>0</v>
      </c>
      <c r="K121" s="258">
        <v>0</v>
      </c>
      <c r="L121" s="258">
        <v>0</v>
      </c>
      <c r="M121" s="257">
        <v>0</v>
      </c>
      <c r="N121" s="257">
        <v>0</v>
      </c>
      <c r="O121" s="257">
        <v>0</v>
      </c>
      <c r="P121" s="257">
        <v>0</v>
      </c>
      <c r="Q121" s="257">
        <v>0</v>
      </c>
      <c r="R121" s="257">
        <v>0</v>
      </c>
      <c r="S121" s="257">
        <v>0</v>
      </c>
      <c r="T121" s="257">
        <v>0</v>
      </c>
      <c r="U121" s="257">
        <v>0</v>
      </c>
      <c r="V121" s="257">
        <v>0</v>
      </c>
      <c r="W121" s="257">
        <v>0</v>
      </c>
      <c r="X121" s="257">
        <v>0</v>
      </c>
      <c r="Z121" s="257">
        <v>0</v>
      </c>
      <c r="AA121" s="257">
        <v>0</v>
      </c>
      <c r="AC121" s="258">
        <v>0</v>
      </c>
      <c r="AE121" s="258">
        <v>0</v>
      </c>
      <c r="AJ121" s="258">
        <v>0</v>
      </c>
      <c r="AQ121" s="258">
        <v>0</v>
      </c>
      <c r="AR121" s="258">
        <v>0</v>
      </c>
      <c r="AS121" s="258">
        <v>0</v>
      </c>
      <c r="AT121" s="258">
        <v>1</v>
      </c>
      <c r="AV121" s="258">
        <v>0</v>
      </c>
      <c r="AW121" s="296"/>
      <c r="AX121" s="258">
        <v>0</v>
      </c>
      <c r="AZ121" s="258">
        <v>0</v>
      </c>
      <c r="BB121" s="258">
        <v>0</v>
      </c>
      <c r="BC121" s="258">
        <v>0</v>
      </c>
      <c r="BD121" s="297" t="s">
        <v>604</v>
      </c>
      <c r="BF121" s="258">
        <v>0</v>
      </c>
      <c r="BG121" s="258">
        <v>0</v>
      </c>
      <c r="BO121" s="258">
        <v>0</v>
      </c>
      <c r="BP121" s="258">
        <v>0</v>
      </c>
      <c r="BW121" s="258">
        <v>0</v>
      </c>
      <c r="BX121" s="258">
        <v>0</v>
      </c>
      <c r="BZ121" s="258">
        <v>0</v>
      </c>
      <c r="CA121" s="258">
        <v>0</v>
      </c>
      <c r="CC121" s="325">
        <v>0</v>
      </c>
      <c r="CD121" s="258">
        <v>0</v>
      </c>
      <c r="CG121" s="258">
        <v>0</v>
      </c>
      <c r="CJ121" s="258">
        <v>0</v>
      </c>
      <c r="CK121" s="258">
        <v>0</v>
      </c>
      <c r="CQ121" s="325">
        <v>0</v>
      </c>
      <c r="CR121" s="258">
        <v>0</v>
      </c>
      <c r="CS121" s="258">
        <v>0</v>
      </c>
      <c r="CT121" s="258">
        <v>0</v>
      </c>
      <c r="CU121" s="258">
        <v>0</v>
      </c>
      <c r="CV121" s="258">
        <v>0</v>
      </c>
      <c r="CW121" s="258">
        <v>0</v>
      </c>
      <c r="DE121" s="258">
        <v>0</v>
      </c>
      <c r="DF121" s="298">
        <v>0</v>
      </c>
      <c r="DG121" s="258" t="s">
        <v>212</v>
      </c>
      <c r="DI121" s="258">
        <v>0</v>
      </c>
      <c r="DN121" s="258"/>
      <c r="DO121" s="258"/>
      <c r="DP121" s="258"/>
      <c r="DQ121" s="258"/>
      <c r="DR121" s="258"/>
      <c r="DS121" s="258"/>
      <c r="DT121" s="258"/>
      <c r="DU121" s="258"/>
      <c r="DZ121" s="259">
        <v>0</v>
      </c>
      <c r="EA121" s="259">
        <v>0</v>
      </c>
      <c r="EB121" s="259">
        <v>0</v>
      </c>
      <c r="EC121" s="259">
        <v>0</v>
      </c>
      <c r="ED121" s="259">
        <v>0</v>
      </c>
      <c r="EE121" s="259">
        <v>0</v>
      </c>
    </row>
    <row r="122" spans="1:138">
      <c r="A122" s="295">
        <v>5401</v>
      </c>
      <c r="B122" s="258" t="s">
        <v>124</v>
      </c>
      <c r="C122" s="258">
        <v>16</v>
      </c>
      <c r="D122" s="258">
        <v>87</v>
      </c>
      <c r="E122" s="296">
        <v>0</v>
      </c>
      <c r="F122" s="258">
        <v>0</v>
      </c>
      <c r="G122" s="258">
        <v>0</v>
      </c>
      <c r="H122" s="258">
        <v>163.54541772151899</v>
      </c>
      <c r="I122" s="258">
        <v>0</v>
      </c>
      <c r="J122" s="258">
        <v>0</v>
      </c>
      <c r="K122" s="258">
        <v>0</v>
      </c>
      <c r="L122" s="258">
        <v>0</v>
      </c>
      <c r="M122" s="257">
        <v>0</v>
      </c>
      <c r="N122" s="257">
        <v>0</v>
      </c>
      <c r="O122" s="257">
        <v>0</v>
      </c>
      <c r="P122" s="257">
        <v>0</v>
      </c>
      <c r="Q122" s="257">
        <v>0</v>
      </c>
      <c r="R122" s="257">
        <v>0</v>
      </c>
      <c r="S122" s="257">
        <v>180</v>
      </c>
      <c r="T122" s="257">
        <v>180</v>
      </c>
      <c r="U122" s="257">
        <v>178</v>
      </c>
      <c r="V122" s="257">
        <v>179</v>
      </c>
      <c r="W122" s="257">
        <v>177</v>
      </c>
      <c r="X122" s="257">
        <v>0</v>
      </c>
      <c r="Z122" s="257">
        <v>0</v>
      </c>
      <c r="AA122" s="257">
        <v>0</v>
      </c>
      <c r="AC122" s="258">
        <v>0</v>
      </c>
      <c r="AE122" s="258">
        <v>0</v>
      </c>
      <c r="AJ122" s="258">
        <v>16</v>
      </c>
      <c r="AQ122" s="258">
        <v>48</v>
      </c>
      <c r="AR122" s="258">
        <v>0</v>
      </c>
      <c r="AS122" s="258">
        <v>0</v>
      </c>
      <c r="AT122" s="258">
        <v>1</v>
      </c>
      <c r="AV122" s="258">
        <v>3</v>
      </c>
      <c r="AW122" s="296"/>
      <c r="AX122" s="258">
        <v>0</v>
      </c>
      <c r="AZ122" s="258">
        <v>0</v>
      </c>
      <c r="BB122" s="258">
        <v>0</v>
      </c>
      <c r="BC122" s="258">
        <v>0</v>
      </c>
      <c r="BD122" s="297" t="s">
        <v>604</v>
      </c>
      <c r="BF122" s="258">
        <v>0</v>
      </c>
      <c r="BG122" s="258">
        <v>0</v>
      </c>
      <c r="BO122" s="258">
        <v>0</v>
      </c>
      <c r="BP122" s="258">
        <v>0</v>
      </c>
      <c r="BW122" s="258">
        <v>0</v>
      </c>
      <c r="BX122" s="258">
        <v>1423.02</v>
      </c>
      <c r="BY122" s="258">
        <v>78917</v>
      </c>
      <c r="CA122" s="258">
        <v>0</v>
      </c>
      <c r="CC122" s="325">
        <v>12433</v>
      </c>
      <c r="CD122" s="258">
        <v>1</v>
      </c>
      <c r="CG122" s="258">
        <v>0</v>
      </c>
      <c r="CJ122" s="258">
        <v>0</v>
      </c>
      <c r="CK122" s="258">
        <v>0</v>
      </c>
      <c r="CQ122" s="325">
        <v>1185</v>
      </c>
      <c r="CR122" s="258">
        <v>19</v>
      </c>
      <c r="CS122" s="258">
        <v>0</v>
      </c>
      <c r="CT122" s="258">
        <v>0</v>
      </c>
      <c r="CU122" s="258">
        <v>146</v>
      </c>
      <c r="CV122" s="258">
        <v>145</v>
      </c>
      <c r="CW122" s="258">
        <v>0</v>
      </c>
      <c r="DE122" s="258">
        <v>894</v>
      </c>
      <c r="DF122" s="298">
        <v>0.24556962025316456</v>
      </c>
      <c r="DG122" s="258" t="s">
        <v>212</v>
      </c>
      <c r="DH122" s="258">
        <v>1</v>
      </c>
      <c r="DI122" s="258">
        <v>1.7897091722595078</v>
      </c>
      <c r="DN122" s="258"/>
      <c r="DO122" s="258"/>
      <c r="DP122" s="258"/>
      <c r="DQ122" s="258"/>
      <c r="DR122" s="258"/>
      <c r="DS122" s="258"/>
      <c r="DT122" s="258"/>
      <c r="DU122" s="258"/>
      <c r="DZ122" s="259">
        <v>6</v>
      </c>
      <c r="EA122" s="259">
        <v>894</v>
      </c>
      <c r="EB122" s="259">
        <v>1</v>
      </c>
      <c r="EC122" s="259">
        <v>40</v>
      </c>
      <c r="ED122" s="259">
        <v>0</v>
      </c>
      <c r="EE122" s="259">
        <v>7</v>
      </c>
      <c r="EF122" s="262">
        <v>0</v>
      </c>
      <c r="EG122" s="262">
        <v>15</v>
      </c>
      <c r="EH122" s="262">
        <v>9</v>
      </c>
    </row>
    <row r="123" spans="1:138">
      <c r="A123" s="295">
        <v>5407</v>
      </c>
      <c r="B123" s="258" t="s">
        <v>382</v>
      </c>
      <c r="C123" s="258">
        <v>115</v>
      </c>
      <c r="D123" s="258">
        <v>188</v>
      </c>
      <c r="E123" s="296">
        <v>0</v>
      </c>
      <c r="F123" s="258">
        <v>0</v>
      </c>
      <c r="G123" s="258">
        <v>105.37819113202734</v>
      </c>
      <c r="H123" s="258">
        <v>352.04074074074094</v>
      </c>
      <c r="I123" s="258">
        <v>0</v>
      </c>
      <c r="J123" s="258">
        <v>0</v>
      </c>
      <c r="K123" s="258">
        <v>490</v>
      </c>
      <c r="L123" s="258">
        <v>0</v>
      </c>
      <c r="M123" s="257">
        <v>0</v>
      </c>
      <c r="N123" s="257">
        <v>0</v>
      </c>
      <c r="O123" s="257">
        <v>0</v>
      </c>
      <c r="P123" s="257">
        <v>0</v>
      </c>
      <c r="Q123" s="257">
        <v>0</v>
      </c>
      <c r="R123" s="257">
        <v>0</v>
      </c>
      <c r="S123" s="257">
        <v>180</v>
      </c>
      <c r="T123" s="257">
        <v>184</v>
      </c>
      <c r="U123" s="257">
        <v>181</v>
      </c>
      <c r="V123" s="257">
        <v>180</v>
      </c>
      <c r="W123" s="257">
        <v>177</v>
      </c>
      <c r="X123" s="257">
        <v>0</v>
      </c>
      <c r="Z123" s="257">
        <v>0</v>
      </c>
      <c r="AA123" s="257">
        <v>0</v>
      </c>
      <c r="AC123" s="258">
        <v>0</v>
      </c>
      <c r="AE123" s="258">
        <v>0</v>
      </c>
      <c r="AJ123" s="258">
        <v>115</v>
      </c>
      <c r="AQ123" s="258">
        <v>234</v>
      </c>
      <c r="AR123" s="258">
        <v>0</v>
      </c>
      <c r="AS123" s="258">
        <v>0</v>
      </c>
      <c r="AT123" s="258">
        <v>1</v>
      </c>
      <c r="AV123" s="258">
        <v>5</v>
      </c>
      <c r="AW123" s="296"/>
      <c r="AX123" s="258">
        <v>0</v>
      </c>
      <c r="AZ123" s="258">
        <v>0</v>
      </c>
      <c r="BB123" s="258">
        <v>0</v>
      </c>
      <c r="BC123" s="258">
        <v>0</v>
      </c>
      <c r="BD123" s="297" t="s">
        <v>597</v>
      </c>
      <c r="BF123" s="258">
        <v>0</v>
      </c>
      <c r="BG123" s="258">
        <v>309</v>
      </c>
      <c r="BO123" s="258">
        <v>0</v>
      </c>
      <c r="BP123" s="258">
        <v>0</v>
      </c>
      <c r="BW123" s="258">
        <v>0</v>
      </c>
      <c r="BX123" s="258">
        <v>1038.6500000000001</v>
      </c>
      <c r="BY123" s="258">
        <v>70406</v>
      </c>
      <c r="BZ123" s="258">
        <v>16180</v>
      </c>
      <c r="CA123" s="258">
        <v>0</v>
      </c>
      <c r="CC123" s="325">
        <v>9389</v>
      </c>
      <c r="CD123" s="258">
        <v>0</v>
      </c>
      <c r="CG123" s="258">
        <v>1122464.6666666667</v>
      </c>
      <c r="CJ123" s="258">
        <v>0</v>
      </c>
      <c r="CK123" s="258">
        <v>0</v>
      </c>
      <c r="CQ123" s="325">
        <v>1107</v>
      </c>
      <c r="CR123" s="258">
        <v>129</v>
      </c>
      <c r="CS123" s="258">
        <v>53.4</v>
      </c>
      <c r="CT123" s="258">
        <v>188</v>
      </c>
      <c r="CU123" s="258">
        <v>126</v>
      </c>
      <c r="CV123" s="258">
        <v>79</v>
      </c>
      <c r="CW123" s="258">
        <v>0</v>
      </c>
      <c r="DE123" s="258">
        <v>902</v>
      </c>
      <c r="DF123" s="298">
        <v>0.18518518518518517</v>
      </c>
      <c r="DG123" s="258" t="s">
        <v>212</v>
      </c>
      <c r="DH123" s="258">
        <v>1</v>
      </c>
      <c r="DI123" s="258">
        <v>12.749445676274945</v>
      </c>
      <c r="DN123" s="258"/>
      <c r="DO123" s="258"/>
      <c r="DP123" s="258"/>
      <c r="DQ123" s="258"/>
      <c r="DR123" s="258"/>
      <c r="DS123" s="258"/>
      <c r="DT123" s="258"/>
      <c r="DU123" s="258"/>
      <c r="DZ123" s="259">
        <v>2</v>
      </c>
      <c r="EA123" s="259">
        <v>902</v>
      </c>
      <c r="EB123" s="259">
        <v>40</v>
      </c>
      <c r="EC123" s="259">
        <v>123</v>
      </c>
      <c r="ED123" s="259">
        <v>9</v>
      </c>
      <c r="EE123" s="259">
        <v>39</v>
      </c>
      <c r="EF123" s="262">
        <v>1</v>
      </c>
      <c r="EG123" s="262">
        <v>1</v>
      </c>
      <c r="EH123" s="262">
        <v>59</v>
      </c>
    </row>
    <row r="124" spans="1:138">
      <c r="A124" s="295">
        <v>5403</v>
      </c>
      <c r="B124" s="258" t="s">
        <v>383</v>
      </c>
      <c r="C124" s="258">
        <v>136</v>
      </c>
      <c r="D124" s="258">
        <v>262</v>
      </c>
      <c r="E124" s="296">
        <v>0</v>
      </c>
      <c r="F124" s="258">
        <v>132</v>
      </c>
      <c r="G124" s="258">
        <v>210.69405436299374</v>
      </c>
      <c r="H124" s="258">
        <v>198.16619799139193</v>
      </c>
      <c r="I124" s="258">
        <v>0</v>
      </c>
      <c r="J124" s="258">
        <v>0</v>
      </c>
      <c r="K124" s="258">
        <v>231.66666666666666</v>
      </c>
      <c r="L124" s="258">
        <v>0</v>
      </c>
      <c r="M124" s="257">
        <v>0</v>
      </c>
      <c r="N124" s="257">
        <v>0</v>
      </c>
      <c r="O124" s="257">
        <v>0</v>
      </c>
      <c r="P124" s="257">
        <v>0</v>
      </c>
      <c r="Q124" s="257">
        <v>0</v>
      </c>
      <c r="R124" s="257">
        <v>0</v>
      </c>
      <c r="S124" s="257">
        <v>74</v>
      </c>
      <c r="T124" s="257">
        <v>93</v>
      </c>
      <c r="U124" s="257">
        <v>119</v>
      </c>
      <c r="V124" s="257">
        <v>137</v>
      </c>
      <c r="W124" s="257">
        <v>161</v>
      </c>
      <c r="X124" s="257">
        <v>0</v>
      </c>
      <c r="Z124" s="257">
        <v>0</v>
      </c>
      <c r="AA124" s="257">
        <v>0</v>
      </c>
      <c r="AC124" s="258">
        <v>0</v>
      </c>
      <c r="AE124" s="258">
        <v>0</v>
      </c>
      <c r="AJ124" s="258">
        <v>136</v>
      </c>
      <c r="AQ124" s="258">
        <v>242</v>
      </c>
      <c r="AR124" s="258">
        <v>0</v>
      </c>
      <c r="AS124" s="258">
        <v>0</v>
      </c>
      <c r="AT124" s="258">
        <v>1</v>
      </c>
      <c r="AV124" s="258">
        <v>5</v>
      </c>
      <c r="AW124" s="296"/>
      <c r="AX124" s="258">
        <v>0</v>
      </c>
      <c r="AZ124" s="258">
        <v>0</v>
      </c>
      <c r="BB124" s="258">
        <v>1</v>
      </c>
      <c r="BC124" s="258">
        <v>0.2</v>
      </c>
      <c r="BD124" s="297" t="s">
        <v>597</v>
      </c>
      <c r="BF124" s="258">
        <v>0</v>
      </c>
      <c r="BG124" s="258">
        <v>394</v>
      </c>
      <c r="BO124" s="258">
        <v>2</v>
      </c>
      <c r="BP124" s="258">
        <v>0</v>
      </c>
      <c r="BW124" s="258">
        <v>0</v>
      </c>
      <c r="BX124" s="258">
        <v>1739.25</v>
      </c>
      <c r="BY124" s="258">
        <v>20300</v>
      </c>
      <c r="BZ124" s="258">
        <v>16414</v>
      </c>
      <c r="CA124" s="258">
        <v>0</v>
      </c>
      <c r="CC124" s="325">
        <v>8083</v>
      </c>
      <c r="CD124" s="258">
        <v>0</v>
      </c>
      <c r="CG124" s="258">
        <v>706453.66666666663</v>
      </c>
      <c r="CJ124" s="258">
        <v>0</v>
      </c>
      <c r="CK124" s="258">
        <v>0</v>
      </c>
      <c r="CQ124" s="325">
        <v>696</v>
      </c>
      <c r="CR124" s="258">
        <v>150</v>
      </c>
      <c r="CS124" s="258">
        <v>64.86</v>
      </c>
      <c r="CT124" s="258">
        <v>262</v>
      </c>
      <c r="CU124" s="258">
        <v>69</v>
      </c>
      <c r="CV124" s="258">
        <v>43</v>
      </c>
      <c r="CW124" s="258">
        <v>0</v>
      </c>
      <c r="CZ124" s="258">
        <v>1</v>
      </c>
      <c r="DE124" s="258">
        <v>584</v>
      </c>
      <c r="DF124" s="298">
        <v>0.16091954022988506</v>
      </c>
      <c r="DG124" s="258" t="s">
        <v>212</v>
      </c>
      <c r="DH124" s="258">
        <v>1</v>
      </c>
      <c r="DI124" s="258">
        <v>23.287671232876711</v>
      </c>
      <c r="DN124" s="258"/>
      <c r="DO124" s="258"/>
      <c r="DP124" s="258"/>
      <c r="DQ124" s="258"/>
      <c r="DR124" s="258"/>
      <c r="DS124" s="258"/>
      <c r="DT124" s="258"/>
      <c r="DU124" s="258"/>
      <c r="DZ124" s="259">
        <v>132</v>
      </c>
      <c r="EA124" s="259">
        <v>585</v>
      </c>
      <c r="EB124" s="259">
        <v>58</v>
      </c>
      <c r="EC124" s="259">
        <v>177</v>
      </c>
      <c r="ED124" s="259">
        <v>9</v>
      </c>
      <c r="EE124" s="259">
        <v>16</v>
      </c>
      <c r="EF124" s="262">
        <v>0</v>
      </c>
      <c r="EG124" s="262">
        <v>1</v>
      </c>
      <c r="EH124" s="262">
        <v>86</v>
      </c>
    </row>
    <row r="125" spans="1:138">
      <c r="A125" s="295">
        <v>5404</v>
      </c>
      <c r="B125" s="258" t="s">
        <v>384</v>
      </c>
      <c r="C125" s="258">
        <v>19</v>
      </c>
      <c r="D125" s="258">
        <v>44</v>
      </c>
      <c r="E125" s="296">
        <v>0</v>
      </c>
      <c r="F125" s="258">
        <v>0</v>
      </c>
      <c r="G125" s="258">
        <v>0</v>
      </c>
      <c r="H125" s="258">
        <v>105.21524310118264</v>
      </c>
      <c r="I125" s="258">
        <v>0</v>
      </c>
      <c r="J125" s="258">
        <v>0</v>
      </c>
      <c r="K125" s="258">
        <v>0</v>
      </c>
      <c r="L125" s="258">
        <v>0</v>
      </c>
      <c r="M125" s="257">
        <v>0</v>
      </c>
      <c r="N125" s="257">
        <v>0</v>
      </c>
      <c r="O125" s="257">
        <v>0</v>
      </c>
      <c r="P125" s="257">
        <v>0</v>
      </c>
      <c r="Q125" s="257">
        <v>0</v>
      </c>
      <c r="R125" s="257">
        <v>0</v>
      </c>
      <c r="S125" s="257">
        <v>96</v>
      </c>
      <c r="T125" s="257">
        <v>96</v>
      </c>
      <c r="U125" s="257">
        <v>97</v>
      </c>
      <c r="V125" s="257">
        <v>96</v>
      </c>
      <c r="W125" s="257">
        <v>95</v>
      </c>
      <c r="X125" s="257">
        <v>0</v>
      </c>
      <c r="Z125" s="257">
        <v>0</v>
      </c>
      <c r="AA125" s="257">
        <v>0</v>
      </c>
      <c r="AC125" s="258">
        <v>0</v>
      </c>
      <c r="AE125" s="258">
        <v>0</v>
      </c>
      <c r="AJ125" s="258">
        <v>19</v>
      </c>
      <c r="AQ125" s="258">
        <v>40</v>
      </c>
      <c r="AR125" s="258">
        <v>0</v>
      </c>
      <c r="AS125" s="258">
        <v>0</v>
      </c>
      <c r="AT125" s="258">
        <v>1</v>
      </c>
      <c r="AV125" s="258">
        <v>3</v>
      </c>
      <c r="AW125" s="296"/>
      <c r="AX125" s="258">
        <v>0</v>
      </c>
      <c r="AZ125" s="258">
        <v>0</v>
      </c>
      <c r="BB125" s="258">
        <v>0</v>
      </c>
      <c r="BC125" s="258">
        <v>0</v>
      </c>
      <c r="BD125" s="297" t="s">
        <v>597</v>
      </c>
      <c r="BF125" s="258">
        <v>0</v>
      </c>
      <c r="BG125" s="258">
        <v>133</v>
      </c>
      <c r="BO125" s="258">
        <v>2</v>
      </c>
      <c r="BP125" s="258">
        <v>0</v>
      </c>
      <c r="BW125" s="258">
        <v>0</v>
      </c>
      <c r="BX125" s="258">
        <v>1739.25</v>
      </c>
      <c r="BY125" s="258">
        <v>9972</v>
      </c>
      <c r="BZ125" s="258">
        <v>13076</v>
      </c>
      <c r="CA125" s="258">
        <v>0</v>
      </c>
      <c r="CC125" s="325">
        <v>6864</v>
      </c>
      <c r="CD125" s="258">
        <v>0</v>
      </c>
      <c r="CG125" s="258">
        <v>1548193.3333333333</v>
      </c>
      <c r="CJ125" s="258">
        <v>0</v>
      </c>
      <c r="CK125" s="258">
        <v>0</v>
      </c>
      <c r="CQ125" s="325">
        <v>761</v>
      </c>
      <c r="CR125" s="258">
        <v>22</v>
      </c>
      <c r="CS125" s="258">
        <v>0</v>
      </c>
      <c r="CT125" s="258">
        <v>44</v>
      </c>
      <c r="CU125" s="258">
        <v>154</v>
      </c>
      <c r="CV125" s="258">
        <v>127</v>
      </c>
      <c r="CW125" s="258">
        <v>0</v>
      </c>
      <c r="DE125" s="258">
        <v>480</v>
      </c>
      <c r="DF125" s="298">
        <v>0.36925098554533509</v>
      </c>
      <c r="DG125" s="258" t="s">
        <v>212</v>
      </c>
      <c r="DH125" s="258">
        <v>1</v>
      </c>
      <c r="DI125" s="258">
        <v>3.958333333333333</v>
      </c>
      <c r="DN125" s="258"/>
      <c r="DO125" s="258"/>
      <c r="DP125" s="258"/>
      <c r="DQ125" s="258"/>
      <c r="DR125" s="258"/>
      <c r="DS125" s="258"/>
      <c r="DT125" s="258"/>
      <c r="DU125" s="258"/>
      <c r="DZ125" s="259">
        <v>4</v>
      </c>
      <c r="EA125" s="259">
        <v>480</v>
      </c>
      <c r="EB125" s="259">
        <v>4</v>
      </c>
      <c r="EC125" s="259">
        <v>82</v>
      </c>
      <c r="ED125" s="259">
        <v>4</v>
      </c>
      <c r="EE125" s="259">
        <v>27</v>
      </c>
      <c r="EF125" s="262">
        <v>0</v>
      </c>
      <c r="EG125" s="262">
        <v>2</v>
      </c>
      <c r="EH125" s="262">
        <v>12</v>
      </c>
    </row>
    <row r="126" spans="1:138">
      <c r="A126" s="295" t="s">
        <v>447</v>
      </c>
      <c r="B126" s="258" t="s">
        <v>448</v>
      </c>
      <c r="C126" s="258">
        <v>0</v>
      </c>
      <c r="D126" s="258">
        <v>0</v>
      </c>
      <c r="E126" s="296">
        <v>0</v>
      </c>
      <c r="F126" s="258">
        <v>0</v>
      </c>
      <c r="G126" s="258">
        <v>0</v>
      </c>
      <c r="H126" s="258">
        <v>0</v>
      </c>
      <c r="I126" s="258">
        <v>0</v>
      </c>
      <c r="J126" s="258">
        <v>0</v>
      </c>
      <c r="K126" s="258">
        <v>0</v>
      </c>
      <c r="L126" s="258">
        <v>0</v>
      </c>
      <c r="M126" s="257">
        <v>0</v>
      </c>
      <c r="N126" s="257">
        <v>0</v>
      </c>
      <c r="O126" s="257">
        <v>0</v>
      </c>
      <c r="P126" s="257">
        <v>0</v>
      </c>
      <c r="Q126" s="257">
        <v>0</v>
      </c>
      <c r="R126" s="257">
        <v>0</v>
      </c>
      <c r="S126" s="257">
        <v>0</v>
      </c>
      <c r="T126" s="257">
        <v>0</v>
      </c>
      <c r="U126" s="257">
        <v>0</v>
      </c>
      <c r="V126" s="257">
        <v>0</v>
      </c>
      <c r="W126" s="257">
        <v>0</v>
      </c>
      <c r="X126" s="257">
        <v>0</v>
      </c>
      <c r="Z126" s="257">
        <v>0</v>
      </c>
      <c r="AA126" s="257">
        <v>0</v>
      </c>
      <c r="AC126" s="258">
        <v>0</v>
      </c>
      <c r="AE126" s="258">
        <v>0</v>
      </c>
      <c r="AJ126" s="258">
        <v>0</v>
      </c>
      <c r="AQ126" s="258">
        <v>0</v>
      </c>
      <c r="AR126" s="258">
        <v>0</v>
      </c>
      <c r="AS126" s="258">
        <v>0</v>
      </c>
      <c r="AT126" s="258">
        <v>1</v>
      </c>
      <c r="AV126" s="258">
        <v>0</v>
      </c>
      <c r="AW126" s="296"/>
      <c r="AX126" s="258">
        <v>0</v>
      </c>
      <c r="AZ126" s="258">
        <v>0</v>
      </c>
      <c r="BB126" s="258">
        <v>0</v>
      </c>
      <c r="BC126" s="258">
        <v>0</v>
      </c>
      <c r="BD126" s="297" t="s">
        <v>597</v>
      </c>
      <c r="BF126" s="258">
        <v>0</v>
      </c>
      <c r="BG126" s="258">
        <v>0</v>
      </c>
      <c r="BO126" s="258">
        <v>0</v>
      </c>
      <c r="BP126" s="258">
        <v>0</v>
      </c>
      <c r="BW126" s="258">
        <v>0</v>
      </c>
      <c r="BX126" s="258">
        <v>0</v>
      </c>
      <c r="BZ126" s="258">
        <v>0</v>
      </c>
      <c r="CA126" s="258">
        <v>0</v>
      </c>
      <c r="CC126" s="325">
        <v>0</v>
      </c>
      <c r="CD126" s="258">
        <v>0</v>
      </c>
      <c r="CJ126" s="258">
        <v>0</v>
      </c>
      <c r="CK126" s="258">
        <v>0</v>
      </c>
      <c r="CQ126" s="325">
        <v>0</v>
      </c>
      <c r="CR126" s="258">
        <v>0</v>
      </c>
      <c r="CS126" s="258">
        <v>0</v>
      </c>
      <c r="CT126" s="258">
        <v>0</v>
      </c>
      <c r="CU126" s="258">
        <v>0</v>
      </c>
      <c r="CV126" s="258">
        <v>0</v>
      </c>
      <c r="CW126" s="258">
        <v>0</v>
      </c>
      <c r="DE126" s="258">
        <v>0</v>
      </c>
      <c r="DF126" s="298">
        <v>0</v>
      </c>
      <c r="DG126" s="258" t="s">
        <v>212</v>
      </c>
      <c r="DI126" s="258">
        <v>0</v>
      </c>
      <c r="DN126" s="258"/>
      <c r="DO126" s="258"/>
      <c r="DP126" s="258"/>
      <c r="DQ126" s="258"/>
      <c r="DR126" s="258"/>
      <c r="DS126" s="258"/>
      <c r="DT126" s="258"/>
      <c r="DU126" s="258"/>
      <c r="DZ126" s="259">
        <v>0</v>
      </c>
      <c r="EA126" s="259">
        <v>0</v>
      </c>
      <c r="EB126" s="259">
        <v>0</v>
      </c>
      <c r="EC126" s="259">
        <v>0</v>
      </c>
      <c r="ED126" s="259">
        <v>0</v>
      </c>
      <c r="EE126" s="259">
        <v>0</v>
      </c>
    </row>
    <row r="127" spans="1:138">
      <c r="A127" s="295">
        <v>4215</v>
      </c>
      <c r="B127" s="258" t="s">
        <v>615</v>
      </c>
      <c r="C127" s="258">
        <v>142</v>
      </c>
      <c r="D127" s="258">
        <v>257</v>
      </c>
      <c r="E127" s="296">
        <v>0</v>
      </c>
      <c r="F127" s="258">
        <v>0</v>
      </c>
      <c r="G127" s="258">
        <v>211.1351332174759</v>
      </c>
      <c r="H127" s="258">
        <v>254.62</v>
      </c>
      <c r="I127" s="258">
        <v>0</v>
      </c>
      <c r="J127" s="258">
        <v>0</v>
      </c>
      <c r="K127" s="258">
        <v>925</v>
      </c>
      <c r="L127" s="258">
        <v>0</v>
      </c>
      <c r="M127" s="257">
        <v>0</v>
      </c>
      <c r="N127" s="257">
        <v>0</v>
      </c>
      <c r="O127" s="257">
        <v>0</v>
      </c>
      <c r="P127" s="257">
        <v>0</v>
      </c>
      <c r="Q127" s="257">
        <v>0</v>
      </c>
      <c r="R127" s="257">
        <v>0</v>
      </c>
      <c r="S127" s="257">
        <v>180</v>
      </c>
      <c r="T127" s="257">
        <v>181</v>
      </c>
      <c r="U127" s="257">
        <v>180</v>
      </c>
      <c r="V127" s="257">
        <v>180</v>
      </c>
      <c r="W127" s="257">
        <v>174</v>
      </c>
      <c r="X127" s="257">
        <v>0</v>
      </c>
      <c r="Z127" s="257">
        <v>0</v>
      </c>
      <c r="AA127" s="257">
        <v>0</v>
      </c>
      <c r="AC127" s="258">
        <v>0</v>
      </c>
      <c r="AE127" s="258">
        <v>0</v>
      </c>
      <c r="AJ127" s="258">
        <v>142</v>
      </c>
      <c r="AQ127" s="258">
        <v>286</v>
      </c>
      <c r="AR127" s="258">
        <v>3</v>
      </c>
      <c r="AS127" s="258">
        <v>0</v>
      </c>
      <c r="AT127" s="258">
        <v>1.2</v>
      </c>
      <c r="AV127" s="258">
        <v>10</v>
      </c>
      <c r="AW127" s="296"/>
      <c r="AX127" s="258">
        <v>0</v>
      </c>
      <c r="AZ127" s="258">
        <v>0</v>
      </c>
      <c r="BB127" s="258">
        <v>0</v>
      </c>
      <c r="BC127" s="258">
        <v>0</v>
      </c>
      <c r="BD127" s="297" t="s">
        <v>604</v>
      </c>
      <c r="BF127" s="258">
        <v>0</v>
      </c>
      <c r="BG127" s="258">
        <v>217</v>
      </c>
      <c r="BO127" s="258">
        <v>0</v>
      </c>
      <c r="BP127" s="258">
        <v>0</v>
      </c>
      <c r="BW127" s="258">
        <v>0</v>
      </c>
      <c r="BX127" s="258">
        <v>1264.9100000000001</v>
      </c>
      <c r="BY127" s="258">
        <v>26461</v>
      </c>
      <c r="CA127" s="258">
        <v>0</v>
      </c>
      <c r="CC127" s="325">
        <v>8052</v>
      </c>
      <c r="CD127" s="258">
        <v>0</v>
      </c>
      <c r="CJ127" s="258">
        <v>0</v>
      </c>
      <c r="CK127" s="258">
        <v>0</v>
      </c>
      <c r="CQ127" s="325">
        <v>895</v>
      </c>
      <c r="CR127" s="258">
        <v>142</v>
      </c>
      <c r="CS127" s="258">
        <v>62.65</v>
      </c>
      <c r="CT127" s="258">
        <v>257</v>
      </c>
      <c r="CU127" s="258">
        <v>0</v>
      </c>
      <c r="CV127" s="258">
        <v>0</v>
      </c>
      <c r="CW127" s="258">
        <v>0</v>
      </c>
      <c r="CZ127" s="258">
        <v>1</v>
      </c>
      <c r="DE127" s="258">
        <v>895</v>
      </c>
      <c r="DF127" s="298">
        <v>0</v>
      </c>
      <c r="DG127" s="258" t="s">
        <v>212</v>
      </c>
      <c r="DH127" s="258">
        <v>1</v>
      </c>
      <c r="DI127" s="258">
        <v>15.865921787709498</v>
      </c>
      <c r="DN127" s="258"/>
      <c r="DO127" s="258"/>
      <c r="DP127" s="258"/>
      <c r="DQ127" s="258"/>
      <c r="DR127" s="258"/>
      <c r="DS127" s="258"/>
      <c r="DT127" s="258"/>
      <c r="DU127" s="258"/>
      <c r="DY127" s="259">
        <v>1</v>
      </c>
      <c r="DZ127" s="259">
        <v>42</v>
      </c>
      <c r="EA127" s="259">
        <v>895</v>
      </c>
      <c r="EB127" s="259">
        <v>32</v>
      </c>
      <c r="EC127" s="259">
        <v>82</v>
      </c>
      <c r="ED127" s="259">
        <v>6</v>
      </c>
      <c r="EE127" s="259">
        <v>21</v>
      </c>
      <c r="EF127" s="262">
        <v>1</v>
      </c>
      <c r="EG127" s="262">
        <v>10</v>
      </c>
      <c r="EH127" s="262">
        <v>70</v>
      </c>
    </row>
    <row r="128" spans="1:138">
      <c r="A128" s="295">
        <v>4752</v>
      </c>
      <c r="B128" s="258" t="s">
        <v>385</v>
      </c>
      <c r="C128" s="258">
        <v>12</v>
      </c>
      <c r="D128" s="258">
        <v>37</v>
      </c>
      <c r="E128" s="296">
        <v>0</v>
      </c>
      <c r="F128" s="258">
        <v>0</v>
      </c>
      <c r="G128" s="258">
        <v>0</v>
      </c>
      <c r="H128" s="258">
        <v>90.6150429799427</v>
      </c>
      <c r="I128" s="258">
        <v>0</v>
      </c>
      <c r="J128" s="258">
        <v>0</v>
      </c>
      <c r="K128" s="258">
        <v>5</v>
      </c>
      <c r="L128" s="258">
        <v>0</v>
      </c>
      <c r="M128" s="257">
        <v>0</v>
      </c>
      <c r="N128" s="257">
        <v>0</v>
      </c>
      <c r="O128" s="257">
        <v>0</v>
      </c>
      <c r="P128" s="257">
        <v>0</v>
      </c>
      <c r="Q128" s="257">
        <v>0</v>
      </c>
      <c r="R128" s="257">
        <v>0</v>
      </c>
      <c r="S128" s="257">
        <v>93</v>
      </c>
      <c r="T128" s="257">
        <v>93</v>
      </c>
      <c r="U128" s="257">
        <v>93</v>
      </c>
      <c r="V128" s="257">
        <v>93</v>
      </c>
      <c r="W128" s="257">
        <v>93</v>
      </c>
      <c r="X128" s="257">
        <v>0</v>
      </c>
      <c r="Z128" s="257">
        <v>0</v>
      </c>
      <c r="AA128" s="257">
        <v>0</v>
      </c>
      <c r="AC128" s="258">
        <v>0</v>
      </c>
      <c r="AE128" s="258">
        <v>0</v>
      </c>
      <c r="AJ128" s="258">
        <v>12</v>
      </c>
      <c r="AQ128" s="258">
        <v>25</v>
      </c>
      <c r="AR128" s="258">
        <v>0</v>
      </c>
      <c r="AS128" s="258">
        <v>0</v>
      </c>
      <c r="AT128" s="258">
        <v>1</v>
      </c>
      <c r="AV128" s="258">
        <v>1</v>
      </c>
      <c r="AW128" s="296"/>
      <c r="AX128" s="258">
        <v>0</v>
      </c>
      <c r="AZ128" s="258">
        <v>0</v>
      </c>
      <c r="BB128" s="258">
        <v>0</v>
      </c>
      <c r="BC128" s="258">
        <v>0</v>
      </c>
      <c r="BD128" s="297" t="s">
        <v>597</v>
      </c>
      <c r="BF128" s="258">
        <v>0</v>
      </c>
      <c r="BG128" s="258">
        <v>0</v>
      </c>
      <c r="BO128" s="258">
        <v>0</v>
      </c>
      <c r="BP128" s="258">
        <v>0</v>
      </c>
      <c r="BW128" s="258">
        <v>0</v>
      </c>
      <c r="BX128" s="258">
        <v>0</v>
      </c>
      <c r="BY128" s="258">
        <v>8782</v>
      </c>
      <c r="CA128" s="258">
        <v>0</v>
      </c>
      <c r="CC128" s="325">
        <v>6333</v>
      </c>
      <c r="CD128" s="258">
        <v>0</v>
      </c>
      <c r="CG128" s="258">
        <v>1189203.6666666667</v>
      </c>
      <c r="CJ128" s="258">
        <v>0</v>
      </c>
      <c r="CK128" s="258">
        <v>0</v>
      </c>
      <c r="CQ128" s="325">
        <v>698</v>
      </c>
      <c r="CR128" s="258">
        <v>16</v>
      </c>
      <c r="CS128" s="258">
        <v>0</v>
      </c>
      <c r="CT128" s="258">
        <v>0</v>
      </c>
      <c r="CU128" s="258">
        <v>122</v>
      </c>
      <c r="CV128" s="258">
        <v>111</v>
      </c>
      <c r="CW128" s="258">
        <v>0</v>
      </c>
      <c r="DE128" s="258">
        <v>465</v>
      </c>
      <c r="DF128" s="298">
        <v>0.333810888252149</v>
      </c>
      <c r="DG128" s="258" t="s">
        <v>212</v>
      </c>
      <c r="DH128" s="258">
        <v>1</v>
      </c>
      <c r="DI128" s="258">
        <v>2.5806451612903225</v>
      </c>
      <c r="DN128" s="258"/>
      <c r="DO128" s="258"/>
      <c r="DP128" s="258"/>
      <c r="DQ128" s="258"/>
      <c r="DR128" s="258"/>
      <c r="DS128" s="258"/>
      <c r="DT128" s="258"/>
      <c r="DU128" s="258"/>
      <c r="DZ128" s="259">
        <v>5</v>
      </c>
      <c r="EA128" s="259">
        <v>465</v>
      </c>
      <c r="EB128" s="259">
        <v>3</v>
      </c>
      <c r="EC128" s="259">
        <v>33</v>
      </c>
      <c r="ED128" s="259">
        <v>0</v>
      </c>
      <c r="EE128" s="259">
        <v>3</v>
      </c>
      <c r="EF128" s="262">
        <v>0</v>
      </c>
      <c r="EG128" s="262">
        <v>4</v>
      </c>
      <c r="EH128" s="262">
        <v>7</v>
      </c>
    </row>
    <row r="129" spans="1:139">
      <c r="A129" s="295" t="s">
        <v>443</v>
      </c>
      <c r="B129" s="258" t="s">
        <v>616</v>
      </c>
      <c r="C129" s="258">
        <v>0</v>
      </c>
      <c r="D129" s="258">
        <v>0</v>
      </c>
      <c r="E129" s="296">
        <v>0</v>
      </c>
      <c r="F129" s="258">
        <v>0</v>
      </c>
      <c r="G129" s="258">
        <v>0</v>
      </c>
      <c r="H129" s="258">
        <v>0</v>
      </c>
      <c r="I129" s="258">
        <v>0</v>
      </c>
      <c r="J129" s="258">
        <v>0</v>
      </c>
      <c r="K129" s="258">
        <v>0</v>
      </c>
      <c r="L129" s="258">
        <v>0</v>
      </c>
      <c r="M129" s="257">
        <v>0</v>
      </c>
      <c r="N129" s="257">
        <v>0</v>
      </c>
      <c r="O129" s="257">
        <v>0</v>
      </c>
      <c r="P129" s="257">
        <v>0</v>
      </c>
      <c r="Q129" s="257">
        <v>0</v>
      </c>
      <c r="R129" s="257">
        <v>0</v>
      </c>
      <c r="S129" s="257">
        <v>0</v>
      </c>
      <c r="T129" s="257">
        <v>0</v>
      </c>
      <c r="U129" s="257">
        <v>0</v>
      </c>
      <c r="V129" s="257">
        <v>0</v>
      </c>
      <c r="W129" s="257">
        <v>0</v>
      </c>
      <c r="X129" s="257">
        <v>0</v>
      </c>
      <c r="Z129" s="257">
        <v>0</v>
      </c>
      <c r="AA129" s="257">
        <v>0</v>
      </c>
      <c r="AC129" s="258">
        <v>0</v>
      </c>
      <c r="AE129" s="258">
        <v>0</v>
      </c>
      <c r="AJ129" s="258">
        <v>0</v>
      </c>
      <c r="AQ129" s="258">
        <v>0</v>
      </c>
      <c r="AR129" s="258">
        <v>0</v>
      </c>
      <c r="AS129" s="258">
        <v>0</v>
      </c>
      <c r="AT129" s="258">
        <v>1</v>
      </c>
      <c r="AV129" s="258">
        <v>0</v>
      </c>
      <c r="AW129" s="296"/>
      <c r="AX129" s="258">
        <v>0</v>
      </c>
      <c r="AZ129" s="258">
        <v>0</v>
      </c>
      <c r="BB129" s="258">
        <v>0</v>
      </c>
      <c r="BC129" s="258">
        <v>0</v>
      </c>
      <c r="BD129" s="297" t="s">
        <v>604</v>
      </c>
      <c r="BF129" s="258">
        <v>0</v>
      </c>
      <c r="BG129" s="258">
        <v>0</v>
      </c>
      <c r="BO129" s="258">
        <v>0</v>
      </c>
      <c r="BP129" s="258">
        <v>0</v>
      </c>
      <c r="BW129" s="258">
        <v>0</v>
      </c>
      <c r="BX129" s="258">
        <v>0</v>
      </c>
      <c r="BZ129" s="258">
        <v>0</v>
      </c>
      <c r="CA129" s="258">
        <v>0</v>
      </c>
      <c r="CC129" s="325">
        <v>0</v>
      </c>
      <c r="CD129" s="258">
        <v>0</v>
      </c>
      <c r="CJ129" s="258">
        <v>0</v>
      </c>
      <c r="CK129" s="258">
        <v>0</v>
      </c>
      <c r="CQ129" s="325">
        <v>0</v>
      </c>
      <c r="CR129" s="258">
        <v>0</v>
      </c>
      <c r="CS129" s="258">
        <v>0</v>
      </c>
      <c r="CT129" s="258">
        <v>0</v>
      </c>
      <c r="CU129" s="258">
        <v>0</v>
      </c>
      <c r="CV129" s="258">
        <v>0</v>
      </c>
      <c r="CW129" s="258">
        <v>0</v>
      </c>
      <c r="DE129" s="258">
        <v>0</v>
      </c>
      <c r="DF129" s="298">
        <v>0</v>
      </c>
      <c r="DG129" s="258" t="s">
        <v>212</v>
      </c>
      <c r="DI129" s="258">
        <v>0</v>
      </c>
      <c r="DN129" s="258"/>
      <c r="DO129" s="258"/>
      <c r="DP129" s="258"/>
      <c r="DQ129" s="258"/>
      <c r="DR129" s="258"/>
      <c r="DS129" s="258"/>
      <c r="DT129" s="258"/>
      <c r="DU129" s="258"/>
      <c r="DZ129" s="259">
        <v>0</v>
      </c>
      <c r="EA129" s="259">
        <v>0</v>
      </c>
      <c r="EB129" s="259">
        <v>0</v>
      </c>
      <c r="EC129" s="259">
        <v>0</v>
      </c>
      <c r="ED129" s="259">
        <v>0</v>
      </c>
      <c r="EE129" s="259">
        <v>0</v>
      </c>
    </row>
    <row r="130" spans="1:139">
      <c r="A130" s="295">
        <v>4009</v>
      </c>
      <c r="B130" s="258" t="s">
        <v>407</v>
      </c>
      <c r="C130" s="258">
        <v>254</v>
      </c>
      <c r="D130" s="258">
        <v>532</v>
      </c>
      <c r="E130" s="296">
        <v>0</v>
      </c>
      <c r="F130" s="258">
        <v>135</v>
      </c>
      <c r="G130" s="258">
        <v>199.26697295832932</v>
      </c>
      <c r="H130" s="258">
        <v>209.73615384615377</v>
      </c>
      <c r="I130" s="258">
        <v>81863.72</v>
      </c>
      <c r="J130" s="258">
        <v>0</v>
      </c>
      <c r="K130" s="258">
        <v>340</v>
      </c>
      <c r="L130" s="258">
        <v>0</v>
      </c>
      <c r="M130" s="257">
        <v>0</v>
      </c>
      <c r="N130" s="257">
        <v>0</v>
      </c>
      <c r="O130" s="257">
        <v>0</v>
      </c>
      <c r="P130" s="257">
        <v>0</v>
      </c>
      <c r="Q130" s="257">
        <v>0</v>
      </c>
      <c r="R130" s="257">
        <v>0</v>
      </c>
      <c r="S130" s="257">
        <v>131</v>
      </c>
      <c r="T130" s="257">
        <v>115</v>
      </c>
      <c r="U130" s="257">
        <v>125</v>
      </c>
      <c r="V130" s="257">
        <v>154</v>
      </c>
      <c r="W130" s="257">
        <v>168</v>
      </c>
      <c r="X130" s="257">
        <v>0</v>
      </c>
      <c r="Z130" s="257">
        <v>0</v>
      </c>
      <c r="AA130" s="257">
        <v>0</v>
      </c>
      <c r="AC130" s="258">
        <v>0</v>
      </c>
      <c r="AE130" s="258">
        <v>0</v>
      </c>
      <c r="AJ130" s="258">
        <v>254</v>
      </c>
      <c r="AQ130" s="258">
        <v>340</v>
      </c>
      <c r="AR130" s="258">
        <v>7</v>
      </c>
      <c r="AS130" s="258">
        <v>3</v>
      </c>
      <c r="AT130" s="258">
        <v>1</v>
      </c>
      <c r="AV130" s="258">
        <v>3</v>
      </c>
      <c r="AW130" s="296"/>
      <c r="AX130" s="258">
        <v>0</v>
      </c>
      <c r="AZ130" s="258">
        <v>0</v>
      </c>
      <c r="BB130" s="258">
        <v>0</v>
      </c>
      <c r="BC130" s="258">
        <v>0</v>
      </c>
      <c r="BD130" s="297" t="s">
        <v>604</v>
      </c>
      <c r="BF130" s="258">
        <v>0</v>
      </c>
      <c r="BG130" s="258">
        <v>322</v>
      </c>
      <c r="BO130" s="258">
        <v>1</v>
      </c>
      <c r="BP130" s="258">
        <v>276030.59223363164</v>
      </c>
      <c r="BW130" s="258">
        <v>0</v>
      </c>
      <c r="BX130" s="258">
        <v>1423.02</v>
      </c>
      <c r="BY130" s="258">
        <v>77200</v>
      </c>
      <c r="CA130" s="258">
        <v>0</v>
      </c>
      <c r="CC130" s="325">
        <v>9870</v>
      </c>
      <c r="CD130" s="258">
        <v>0</v>
      </c>
      <c r="CJ130" s="258">
        <v>0</v>
      </c>
      <c r="CK130" s="258">
        <v>0</v>
      </c>
      <c r="CQ130" s="325">
        <v>819</v>
      </c>
      <c r="CR130" s="258">
        <v>300</v>
      </c>
      <c r="CS130" s="258">
        <v>86.19</v>
      </c>
      <c r="CT130" s="258">
        <v>532</v>
      </c>
      <c r="CU130" s="258">
        <v>83</v>
      </c>
      <c r="CV130" s="258">
        <v>43</v>
      </c>
      <c r="CW130" s="258">
        <v>0</v>
      </c>
      <c r="CZ130" s="258">
        <v>1</v>
      </c>
      <c r="DE130" s="258">
        <v>693</v>
      </c>
      <c r="DF130" s="298">
        <v>0.15384615384615385</v>
      </c>
      <c r="DG130" s="258" t="s">
        <v>212</v>
      </c>
      <c r="DH130" s="258">
        <v>1</v>
      </c>
      <c r="DI130" s="258">
        <v>36.652236652236653</v>
      </c>
      <c r="DN130" s="258"/>
      <c r="DO130" s="258"/>
      <c r="DP130" s="258"/>
      <c r="DQ130" s="258"/>
      <c r="DR130" s="258"/>
      <c r="DS130" s="258"/>
      <c r="DT130" s="258"/>
      <c r="DU130" s="258"/>
      <c r="DZ130" s="259">
        <v>135</v>
      </c>
      <c r="EA130" s="259">
        <v>693</v>
      </c>
      <c r="EB130" s="259">
        <v>70</v>
      </c>
      <c r="EC130" s="259">
        <v>46</v>
      </c>
      <c r="ED130" s="259">
        <v>18</v>
      </c>
      <c r="EE130" s="259">
        <v>12</v>
      </c>
      <c r="EF130" s="262">
        <v>4</v>
      </c>
      <c r="EG130" s="262">
        <v>15</v>
      </c>
      <c r="EH130" s="262">
        <v>148</v>
      </c>
    </row>
    <row r="131" spans="1:139">
      <c r="A131" s="295" t="s">
        <v>436</v>
      </c>
      <c r="B131" s="258" t="s">
        <v>407</v>
      </c>
      <c r="C131" s="258">
        <v>0</v>
      </c>
      <c r="D131" s="258">
        <v>0</v>
      </c>
      <c r="E131" s="296">
        <v>0</v>
      </c>
      <c r="F131" s="258">
        <v>0</v>
      </c>
      <c r="G131" s="258">
        <v>0</v>
      </c>
      <c r="H131" s="258">
        <v>0</v>
      </c>
      <c r="I131" s="258">
        <v>0</v>
      </c>
      <c r="J131" s="258">
        <v>0</v>
      </c>
      <c r="K131" s="258">
        <v>0</v>
      </c>
      <c r="L131" s="258">
        <v>0</v>
      </c>
      <c r="M131" s="257">
        <v>0</v>
      </c>
      <c r="N131" s="257">
        <v>0</v>
      </c>
      <c r="O131" s="257">
        <v>0</v>
      </c>
      <c r="P131" s="257">
        <v>0</v>
      </c>
      <c r="Q131" s="257">
        <v>0</v>
      </c>
      <c r="R131" s="257">
        <v>0</v>
      </c>
      <c r="S131" s="257">
        <v>0</v>
      </c>
      <c r="T131" s="257">
        <v>0</v>
      </c>
      <c r="U131" s="257">
        <v>0</v>
      </c>
      <c r="V131" s="257">
        <v>0</v>
      </c>
      <c r="W131" s="257">
        <v>0</v>
      </c>
      <c r="X131" s="257">
        <v>0</v>
      </c>
      <c r="Z131" s="257">
        <v>0</v>
      </c>
      <c r="AA131" s="257">
        <v>0</v>
      </c>
      <c r="AC131" s="258">
        <v>0</v>
      </c>
      <c r="AE131" s="258">
        <v>0</v>
      </c>
      <c r="AJ131" s="258">
        <v>0</v>
      </c>
      <c r="AQ131" s="258">
        <v>0</v>
      </c>
      <c r="AR131" s="258">
        <v>0</v>
      </c>
      <c r="AS131" s="258">
        <v>0</v>
      </c>
      <c r="AT131" s="258">
        <v>1</v>
      </c>
      <c r="AV131" s="258">
        <v>0</v>
      </c>
      <c r="AW131" s="296"/>
      <c r="AX131" s="258">
        <v>0</v>
      </c>
      <c r="AZ131" s="258">
        <v>0</v>
      </c>
      <c r="BB131" s="258">
        <v>0</v>
      </c>
      <c r="BC131" s="258">
        <v>0</v>
      </c>
      <c r="BD131" s="297" t="s">
        <v>604</v>
      </c>
      <c r="BF131" s="258">
        <v>0</v>
      </c>
      <c r="BG131" s="258">
        <v>0</v>
      </c>
      <c r="BO131" s="258">
        <v>0</v>
      </c>
      <c r="BP131" s="258">
        <v>0</v>
      </c>
      <c r="BW131" s="258">
        <v>0</v>
      </c>
      <c r="BX131" s="258">
        <v>0</v>
      </c>
      <c r="BZ131" s="258">
        <v>0</v>
      </c>
      <c r="CA131" s="258">
        <v>0</v>
      </c>
      <c r="CC131" s="325">
        <v>0</v>
      </c>
      <c r="CD131" s="258">
        <v>0</v>
      </c>
      <c r="CG131" s="258">
        <v>0</v>
      </c>
      <c r="CJ131" s="258">
        <v>0</v>
      </c>
      <c r="CK131" s="258">
        <v>0</v>
      </c>
      <c r="CQ131" s="325">
        <v>0</v>
      </c>
      <c r="CR131" s="258">
        <v>0</v>
      </c>
      <c r="CS131" s="258">
        <v>0</v>
      </c>
      <c r="CT131" s="258">
        <v>0</v>
      </c>
      <c r="CU131" s="258">
        <v>0</v>
      </c>
      <c r="CV131" s="258">
        <v>0</v>
      </c>
      <c r="CW131" s="258">
        <v>0</v>
      </c>
      <c r="DE131" s="258">
        <v>0</v>
      </c>
      <c r="DF131" s="298">
        <v>0</v>
      </c>
      <c r="DG131" s="258" t="s">
        <v>212</v>
      </c>
      <c r="DI131" s="258">
        <v>0</v>
      </c>
      <c r="DN131" s="258"/>
      <c r="DO131" s="258"/>
      <c r="DP131" s="258"/>
      <c r="DQ131" s="258"/>
      <c r="DR131" s="258"/>
      <c r="DS131" s="258"/>
      <c r="DT131" s="258"/>
      <c r="DU131" s="258"/>
      <c r="DZ131" s="259">
        <v>0</v>
      </c>
      <c r="EA131" s="259">
        <v>0</v>
      </c>
      <c r="EB131" s="259">
        <v>0</v>
      </c>
      <c r="EC131" s="259">
        <v>0</v>
      </c>
      <c r="ED131" s="259">
        <v>0</v>
      </c>
      <c r="EE131" s="259">
        <v>0</v>
      </c>
    </row>
    <row r="132" spans="1:139">
      <c r="A132" s="295">
        <v>4012</v>
      </c>
      <c r="B132" s="258" t="s">
        <v>128</v>
      </c>
      <c r="C132" s="258">
        <v>230</v>
      </c>
      <c r="D132" s="258">
        <v>680</v>
      </c>
      <c r="E132" s="296">
        <v>0</v>
      </c>
      <c r="F132" s="258">
        <v>166</v>
      </c>
      <c r="G132" s="258">
        <v>231.96998535757004</v>
      </c>
      <c r="H132" s="258">
        <v>212.85484575835508</v>
      </c>
      <c r="I132" s="258">
        <v>108527.86689999998</v>
      </c>
      <c r="J132" s="258">
        <v>0</v>
      </c>
      <c r="K132" s="258">
        <v>128.33392984967787</v>
      </c>
      <c r="L132" s="258">
        <v>0</v>
      </c>
      <c r="M132" s="257">
        <v>0</v>
      </c>
      <c r="N132" s="257">
        <v>0</v>
      </c>
      <c r="O132" s="257">
        <v>0</v>
      </c>
      <c r="P132" s="257">
        <v>0</v>
      </c>
      <c r="Q132" s="257">
        <v>0</v>
      </c>
      <c r="R132" s="257">
        <v>0</v>
      </c>
      <c r="S132" s="257">
        <v>109</v>
      </c>
      <c r="T132" s="257">
        <v>106</v>
      </c>
      <c r="U132" s="257">
        <v>119</v>
      </c>
      <c r="V132" s="257">
        <v>137</v>
      </c>
      <c r="W132" s="257">
        <v>148</v>
      </c>
      <c r="X132" s="257">
        <v>0</v>
      </c>
      <c r="Z132" s="257">
        <v>0</v>
      </c>
      <c r="AA132" s="257">
        <v>0</v>
      </c>
      <c r="AC132" s="258">
        <v>0</v>
      </c>
      <c r="AE132" s="258">
        <v>0</v>
      </c>
      <c r="AJ132" s="258">
        <v>230</v>
      </c>
      <c r="AQ132" s="258">
        <v>312</v>
      </c>
      <c r="AR132" s="258">
        <v>1</v>
      </c>
      <c r="AS132" s="258">
        <v>0</v>
      </c>
      <c r="AT132" s="258">
        <v>1</v>
      </c>
      <c r="AV132" s="258">
        <v>7</v>
      </c>
      <c r="AW132" s="296"/>
      <c r="AX132" s="258">
        <v>0</v>
      </c>
      <c r="AZ132" s="258">
        <v>0</v>
      </c>
      <c r="BB132" s="258">
        <v>0</v>
      </c>
      <c r="BC132" s="258">
        <v>0</v>
      </c>
      <c r="BD132" s="297" t="s">
        <v>604</v>
      </c>
      <c r="BF132" s="258">
        <v>0</v>
      </c>
      <c r="BG132" s="258">
        <v>400</v>
      </c>
      <c r="BO132" s="258">
        <v>0</v>
      </c>
      <c r="BP132" s="258">
        <v>266779.93111687008</v>
      </c>
      <c r="BW132" s="258">
        <v>0</v>
      </c>
      <c r="BX132" s="258">
        <v>1067.26</v>
      </c>
      <c r="BY132" s="258">
        <v>40200</v>
      </c>
      <c r="CA132" s="258">
        <v>0</v>
      </c>
      <c r="CC132" s="325">
        <v>7988</v>
      </c>
      <c r="CD132" s="258">
        <v>0</v>
      </c>
      <c r="CJ132" s="258">
        <v>0</v>
      </c>
      <c r="CK132" s="258">
        <v>0</v>
      </c>
      <c r="CQ132" s="325">
        <v>778</v>
      </c>
      <c r="CR132" s="258">
        <v>291</v>
      </c>
      <c r="CS132" s="258">
        <v>61.71</v>
      </c>
      <c r="CT132" s="258">
        <v>680</v>
      </c>
      <c r="CU132" s="258">
        <v>122</v>
      </c>
      <c r="CV132" s="258">
        <v>37</v>
      </c>
      <c r="CW132" s="258">
        <v>0</v>
      </c>
      <c r="CZ132" s="258">
        <v>1</v>
      </c>
      <c r="DE132" s="258">
        <v>619</v>
      </c>
      <c r="DF132" s="298">
        <v>0.20437017994858611</v>
      </c>
      <c r="DG132" s="258" t="s">
        <v>212</v>
      </c>
      <c r="DH132" s="258">
        <v>1</v>
      </c>
      <c r="DI132" s="258">
        <v>37.156704361873985</v>
      </c>
      <c r="DN132" s="258"/>
      <c r="DO132" s="258"/>
      <c r="DP132" s="258"/>
      <c r="DQ132" s="258"/>
      <c r="DR132" s="258"/>
      <c r="DS132" s="258"/>
      <c r="DT132" s="258"/>
      <c r="DU132" s="258"/>
      <c r="DZ132" s="259">
        <v>166</v>
      </c>
      <c r="EA132" s="259">
        <v>619</v>
      </c>
      <c r="EB132" s="259">
        <v>90</v>
      </c>
      <c r="EC132" s="259">
        <v>109</v>
      </c>
      <c r="ED132" s="259">
        <v>4</v>
      </c>
      <c r="EE132" s="259">
        <v>9</v>
      </c>
      <c r="EF132" s="262">
        <v>9</v>
      </c>
      <c r="EG132" s="262">
        <v>17</v>
      </c>
      <c r="EH132" s="262">
        <v>183</v>
      </c>
    </row>
    <row r="133" spans="1:139">
      <c r="A133" s="295" t="s">
        <v>437</v>
      </c>
      <c r="B133" s="258" t="s">
        <v>617</v>
      </c>
      <c r="C133" s="258">
        <v>0</v>
      </c>
      <c r="D133" s="258">
        <v>0</v>
      </c>
      <c r="E133" s="296">
        <v>0</v>
      </c>
      <c r="F133" s="258">
        <v>0</v>
      </c>
      <c r="G133" s="258">
        <v>0</v>
      </c>
      <c r="H133" s="258">
        <v>0</v>
      </c>
      <c r="I133" s="258">
        <v>0</v>
      </c>
      <c r="J133" s="258">
        <v>0</v>
      </c>
      <c r="K133" s="258">
        <v>0</v>
      </c>
      <c r="L133" s="258">
        <v>0</v>
      </c>
      <c r="M133" s="257">
        <v>0</v>
      </c>
      <c r="N133" s="257">
        <v>0</v>
      </c>
      <c r="O133" s="257">
        <v>0</v>
      </c>
      <c r="P133" s="257">
        <v>0</v>
      </c>
      <c r="Q133" s="257">
        <v>0</v>
      </c>
      <c r="R133" s="257">
        <v>0</v>
      </c>
      <c r="S133" s="257">
        <v>0</v>
      </c>
      <c r="T133" s="257">
        <v>0</v>
      </c>
      <c r="U133" s="257">
        <v>0</v>
      </c>
      <c r="V133" s="257">
        <v>0</v>
      </c>
      <c r="W133" s="257">
        <v>0</v>
      </c>
      <c r="X133" s="257">
        <v>0</v>
      </c>
      <c r="Z133" s="257">
        <v>0</v>
      </c>
      <c r="AA133" s="257">
        <v>0</v>
      </c>
      <c r="AC133" s="258">
        <v>0</v>
      </c>
      <c r="AE133" s="258">
        <v>0</v>
      </c>
      <c r="AJ133" s="258">
        <v>0</v>
      </c>
      <c r="AQ133" s="258">
        <v>0</v>
      </c>
      <c r="AR133" s="258">
        <v>0</v>
      </c>
      <c r="AS133" s="258">
        <v>0</v>
      </c>
      <c r="AT133" s="258">
        <v>1</v>
      </c>
      <c r="AV133" s="258">
        <v>0</v>
      </c>
      <c r="AW133" s="296"/>
      <c r="AX133" s="258">
        <v>0</v>
      </c>
      <c r="AZ133" s="258">
        <v>0</v>
      </c>
      <c r="BB133" s="258">
        <v>0</v>
      </c>
      <c r="BC133" s="258">
        <v>0</v>
      </c>
      <c r="BD133" s="297" t="s">
        <v>604</v>
      </c>
      <c r="BF133" s="258">
        <v>0</v>
      </c>
      <c r="BG133" s="258">
        <v>0</v>
      </c>
      <c r="BO133" s="258">
        <v>0</v>
      </c>
      <c r="BP133" s="258">
        <v>0</v>
      </c>
      <c r="BW133" s="258">
        <v>0</v>
      </c>
      <c r="BX133" s="258">
        <v>0</v>
      </c>
      <c r="BZ133" s="258">
        <v>0</v>
      </c>
      <c r="CA133" s="258">
        <v>0</v>
      </c>
      <c r="CC133" s="325">
        <v>0</v>
      </c>
      <c r="CD133" s="258">
        <v>0</v>
      </c>
      <c r="CG133" s="258">
        <v>0</v>
      </c>
      <c r="CJ133" s="258">
        <v>0</v>
      </c>
      <c r="CK133" s="258">
        <v>0</v>
      </c>
      <c r="CQ133" s="325">
        <v>0</v>
      </c>
      <c r="CR133" s="258">
        <v>0</v>
      </c>
      <c r="CS133" s="258">
        <v>0</v>
      </c>
      <c r="CT133" s="258">
        <v>0</v>
      </c>
      <c r="CU133" s="258">
        <v>0</v>
      </c>
      <c r="CV133" s="258">
        <v>0</v>
      </c>
      <c r="CW133" s="258">
        <v>0</v>
      </c>
      <c r="DE133" s="258">
        <v>0</v>
      </c>
      <c r="DF133" s="298">
        <v>0</v>
      </c>
      <c r="DG133" s="258" t="s">
        <v>212</v>
      </c>
      <c r="DI133" s="258">
        <v>0</v>
      </c>
      <c r="DN133" s="258"/>
      <c r="DO133" s="258"/>
      <c r="DP133" s="258"/>
      <c r="DQ133" s="258"/>
      <c r="DR133" s="258"/>
      <c r="DS133" s="258"/>
      <c r="DT133" s="258"/>
      <c r="DU133" s="258"/>
      <c r="DZ133" s="259">
        <v>0</v>
      </c>
      <c r="EA133" s="259">
        <v>0</v>
      </c>
      <c r="EB133" s="259">
        <v>0</v>
      </c>
      <c r="EC133" s="259">
        <v>0</v>
      </c>
      <c r="ED133" s="259">
        <v>0</v>
      </c>
      <c r="EE133" s="259">
        <v>0</v>
      </c>
    </row>
    <row r="134" spans="1:139">
      <c r="A134" s="295">
        <v>6905</v>
      </c>
      <c r="B134" s="258" t="s">
        <v>434</v>
      </c>
      <c r="C134" s="258">
        <v>0</v>
      </c>
      <c r="D134" s="258">
        <v>0</v>
      </c>
      <c r="E134" s="296">
        <v>0</v>
      </c>
      <c r="F134" s="258">
        <v>0</v>
      </c>
      <c r="G134" s="258">
        <v>0</v>
      </c>
      <c r="H134" s="258">
        <v>0</v>
      </c>
      <c r="I134" s="258">
        <v>331101.47881428577</v>
      </c>
      <c r="J134" s="258">
        <v>0</v>
      </c>
      <c r="K134" s="258">
        <v>0</v>
      </c>
      <c r="L134" s="258">
        <v>0</v>
      </c>
      <c r="M134" s="257">
        <v>0</v>
      </c>
      <c r="N134" s="257">
        <v>0</v>
      </c>
      <c r="O134" s="257">
        <v>0</v>
      </c>
      <c r="P134" s="257">
        <v>0</v>
      </c>
      <c r="Q134" s="257">
        <v>0</v>
      </c>
      <c r="R134" s="257">
        <v>0</v>
      </c>
      <c r="S134" s="257">
        <v>0</v>
      </c>
      <c r="T134" s="257">
        <v>0</v>
      </c>
      <c r="U134" s="257">
        <v>0</v>
      </c>
      <c r="V134" s="257">
        <v>0</v>
      </c>
      <c r="W134" s="257">
        <v>0</v>
      </c>
      <c r="X134" s="257">
        <v>0</v>
      </c>
      <c r="Z134" s="257">
        <v>0</v>
      </c>
      <c r="AA134" s="257">
        <v>0</v>
      </c>
      <c r="AC134" s="258">
        <v>0</v>
      </c>
      <c r="AE134" s="258">
        <v>0</v>
      </c>
      <c r="AJ134" s="258">
        <v>0</v>
      </c>
      <c r="AQ134" s="258">
        <v>0</v>
      </c>
      <c r="AR134" s="258">
        <v>2</v>
      </c>
      <c r="AS134" s="258">
        <v>0</v>
      </c>
      <c r="AT134" s="258">
        <v>1</v>
      </c>
      <c r="AV134" s="258">
        <v>13</v>
      </c>
      <c r="AW134" s="296"/>
      <c r="AX134" s="258">
        <v>0</v>
      </c>
      <c r="AZ134" s="258">
        <v>0</v>
      </c>
      <c r="BB134" s="258">
        <v>0</v>
      </c>
      <c r="BC134" s="258">
        <v>0</v>
      </c>
      <c r="BD134" s="297" t="s">
        <v>604</v>
      </c>
      <c r="BF134" s="258">
        <v>0</v>
      </c>
      <c r="BG134" s="258">
        <v>0</v>
      </c>
      <c r="BO134" s="258">
        <v>0</v>
      </c>
      <c r="BP134" s="258">
        <v>0</v>
      </c>
      <c r="BW134" s="258">
        <v>0</v>
      </c>
      <c r="BX134" s="258">
        <v>0</v>
      </c>
      <c r="BZ134" s="258">
        <v>0</v>
      </c>
      <c r="CA134" s="258">
        <v>0</v>
      </c>
      <c r="CC134" s="325">
        <v>0</v>
      </c>
      <c r="CD134" s="258">
        <v>0</v>
      </c>
      <c r="CJ134" s="258">
        <v>0</v>
      </c>
      <c r="CK134" s="258">
        <v>0</v>
      </c>
      <c r="CQ134" s="325">
        <v>0</v>
      </c>
      <c r="CR134" s="258">
        <v>0</v>
      </c>
      <c r="CS134" s="258">
        <v>0</v>
      </c>
      <c r="CT134" s="258">
        <v>0</v>
      </c>
      <c r="CU134" s="258">
        <v>0</v>
      </c>
      <c r="CV134" s="258">
        <v>0</v>
      </c>
      <c r="CW134" s="258">
        <v>0</v>
      </c>
      <c r="DE134" s="258">
        <v>0</v>
      </c>
      <c r="DF134" s="298">
        <v>0</v>
      </c>
      <c r="DG134" s="258" t="s">
        <v>212</v>
      </c>
      <c r="DI134" s="258">
        <v>0</v>
      </c>
      <c r="DN134" s="258"/>
      <c r="DO134" s="258"/>
      <c r="DP134" s="258"/>
      <c r="DQ134" s="258"/>
      <c r="DR134" s="258"/>
      <c r="DS134" s="258"/>
      <c r="DT134" s="258"/>
      <c r="DU134" s="258"/>
      <c r="DZ134" s="259">
        <v>0</v>
      </c>
      <c r="EA134" s="259">
        <v>0</v>
      </c>
      <c r="EB134" s="259">
        <v>0</v>
      </c>
      <c r="EC134" s="259">
        <v>0</v>
      </c>
      <c r="ED134" s="259">
        <v>0</v>
      </c>
      <c r="EE134" s="259">
        <v>0</v>
      </c>
    </row>
    <row r="135" spans="1:139">
      <c r="A135" s="295">
        <v>6906</v>
      </c>
      <c r="B135" s="258" t="s">
        <v>435</v>
      </c>
      <c r="C135" s="258">
        <v>0</v>
      </c>
      <c r="D135" s="258">
        <v>0</v>
      </c>
      <c r="E135" s="296">
        <v>0</v>
      </c>
      <c r="F135" s="258">
        <v>0</v>
      </c>
      <c r="G135" s="258">
        <v>0</v>
      </c>
      <c r="H135" s="258">
        <v>0</v>
      </c>
      <c r="I135" s="258">
        <v>0</v>
      </c>
      <c r="J135" s="258">
        <v>0</v>
      </c>
      <c r="K135" s="258">
        <v>0</v>
      </c>
      <c r="L135" s="258">
        <v>0</v>
      </c>
      <c r="M135" s="257">
        <v>0</v>
      </c>
      <c r="N135" s="257">
        <v>0</v>
      </c>
      <c r="O135" s="257">
        <v>0</v>
      </c>
      <c r="P135" s="257">
        <v>0</v>
      </c>
      <c r="Q135" s="257">
        <v>0</v>
      </c>
      <c r="R135" s="257">
        <v>0</v>
      </c>
      <c r="S135" s="257">
        <v>0</v>
      </c>
      <c r="T135" s="257">
        <v>0</v>
      </c>
      <c r="U135" s="257">
        <v>0</v>
      </c>
      <c r="V135" s="257">
        <v>0</v>
      </c>
      <c r="W135" s="257">
        <v>0</v>
      </c>
      <c r="X135" s="257">
        <v>0</v>
      </c>
      <c r="Z135" s="257">
        <v>0</v>
      </c>
      <c r="AA135" s="257">
        <v>0</v>
      </c>
      <c r="AC135" s="258">
        <v>0</v>
      </c>
      <c r="AE135" s="258">
        <v>0</v>
      </c>
      <c r="AJ135" s="258">
        <v>0</v>
      </c>
      <c r="AQ135" s="258">
        <v>0</v>
      </c>
      <c r="AR135" s="258">
        <v>2</v>
      </c>
      <c r="AS135" s="258">
        <v>0</v>
      </c>
      <c r="AT135" s="258">
        <v>1</v>
      </c>
      <c r="AV135" s="258">
        <v>9</v>
      </c>
      <c r="AW135" s="296"/>
      <c r="AX135" s="258">
        <v>0</v>
      </c>
      <c r="AZ135" s="258">
        <v>0</v>
      </c>
      <c r="BB135" s="258">
        <v>0</v>
      </c>
      <c r="BC135" s="258">
        <v>0</v>
      </c>
      <c r="BD135" s="297" t="s">
        <v>604</v>
      </c>
      <c r="BF135" s="258">
        <v>0</v>
      </c>
      <c r="BG135" s="258">
        <v>0</v>
      </c>
      <c r="BO135" s="258">
        <v>0</v>
      </c>
      <c r="BP135" s="258">
        <v>0</v>
      </c>
      <c r="BW135" s="258">
        <v>0</v>
      </c>
      <c r="BX135" s="258">
        <v>0</v>
      </c>
      <c r="BZ135" s="258">
        <v>0</v>
      </c>
      <c r="CA135" s="258">
        <v>0</v>
      </c>
      <c r="CC135" s="325">
        <v>0</v>
      </c>
      <c r="CD135" s="258">
        <v>0</v>
      </c>
      <c r="CJ135" s="258">
        <v>0</v>
      </c>
      <c r="CK135" s="258">
        <v>0</v>
      </c>
      <c r="CQ135" s="325">
        <v>0</v>
      </c>
      <c r="CR135" s="258">
        <v>0</v>
      </c>
      <c r="CS135" s="258">
        <v>0</v>
      </c>
      <c r="CT135" s="258">
        <v>0</v>
      </c>
      <c r="CU135" s="258">
        <v>0</v>
      </c>
      <c r="CV135" s="258">
        <v>0</v>
      </c>
      <c r="CW135" s="258">
        <v>0</v>
      </c>
      <c r="DE135" s="258">
        <v>0</v>
      </c>
      <c r="DF135" s="298">
        <v>0</v>
      </c>
      <c r="DG135" s="258" t="s">
        <v>212</v>
      </c>
      <c r="DI135" s="258">
        <v>0</v>
      </c>
      <c r="DN135" s="258"/>
      <c r="DO135" s="258"/>
      <c r="DP135" s="258"/>
      <c r="DQ135" s="258"/>
      <c r="DR135" s="258"/>
      <c r="DS135" s="258"/>
      <c r="DT135" s="258"/>
      <c r="DU135" s="258"/>
      <c r="DZ135" s="259">
        <v>0</v>
      </c>
      <c r="EA135" s="259">
        <v>0</v>
      </c>
      <c r="EB135" s="259">
        <v>0</v>
      </c>
      <c r="EC135" s="259">
        <v>0</v>
      </c>
      <c r="ED135" s="259">
        <v>0</v>
      </c>
      <c r="EE135" s="259">
        <v>0</v>
      </c>
    </row>
    <row r="136" spans="1:139">
      <c r="A136" s="295"/>
      <c r="B136" s="258" t="s">
        <v>618</v>
      </c>
      <c r="C136" s="258">
        <v>0</v>
      </c>
      <c r="D136" s="258">
        <v>0</v>
      </c>
      <c r="F136" s="296"/>
      <c r="G136" s="296"/>
      <c r="H136" s="258">
        <v>0</v>
      </c>
      <c r="I136" s="296"/>
      <c r="J136" s="296"/>
      <c r="K136" s="258">
        <v>0</v>
      </c>
      <c r="L136" s="296"/>
      <c r="M136" s="296"/>
      <c r="N136" s="296"/>
      <c r="O136" s="296"/>
      <c r="P136" s="296"/>
      <c r="Q136" s="296"/>
      <c r="R136" s="296"/>
      <c r="S136" s="296"/>
      <c r="T136" s="296"/>
      <c r="U136" s="296"/>
      <c r="V136" s="296"/>
      <c r="W136" s="296"/>
      <c r="X136" s="296"/>
      <c r="Y136" s="296"/>
      <c r="Z136" s="296"/>
      <c r="AA136" s="296"/>
      <c r="AB136" s="296"/>
      <c r="AC136" s="296"/>
      <c r="AD136" s="296"/>
      <c r="AE136" s="296"/>
      <c r="AF136" s="296"/>
      <c r="AG136" s="296"/>
      <c r="AH136" s="296"/>
      <c r="AI136" s="296"/>
      <c r="AJ136" s="296"/>
      <c r="AK136" s="296"/>
      <c r="AL136" s="296"/>
      <c r="AM136" s="296"/>
      <c r="AN136" s="296"/>
      <c r="AO136" s="296"/>
      <c r="AP136" s="296"/>
      <c r="AQ136" s="258">
        <v>0</v>
      </c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58">
        <v>0</v>
      </c>
      <c r="BG136" s="258">
        <v>0</v>
      </c>
      <c r="BH136" s="296"/>
      <c r="BI136" s="296"/>
      <c r="BJ136" s="296"/>
      <c r="BK136" s="296"/>
      <c r="BL136" s="296"/>
      <c r="BM136" s="296"/>
      <c r="BN136" s="296"/>
      <c r="BO136" s="258">
        <v>0</v>
      </c>
      <c r="BP136" s="296"/>
      <c r="BQ136" s="296"/>
      <c r="BR136" s="296"/>
      <c r="BS136" s="296"/>
      <c r="BT136" s="296"/>
      <c r="BU136" s="296"/>
      <c r="BV136" s="296"/>
      <c r="BW136" s="258">
        <v>0</v>
      </c>
      <c r="BX136" s="296"/>
      <c r="BY136" s="258">
        <v>0</v>
      </c>
      <c r="BZ136" s="258">
        <v>0</v>
      </c>
      <c r="CA136" s="296"/>
      <c r="CB136" s="296"/>
      <c r="CC136" s="325">
        <v>0</v>
      </c>
      <c r="CD136" s="296"/>
      <c r="CE136" s="296"/>
      <c r="CF136" s="296"/>
      <c r="CG136" s="296"/>
      <c r="CH136" s="296"/>
      <c r="CI136" s="296"/>
      <c r="CJ136" s="296"/>
      <c r="CK136" s="296"/>
      <c r="CL136" s="296"/>
      <c r="CM136" s="296"/>
      <c r="CN136" s="296"/>
      <c r="CO136" s="296"/>
      <c r="CP136" s="296"/>
      <c r="CR136" s="258">
        <v>0</v>
      </c>
      <c r="CS136" s="296"/>
      <c r="CT136" s="258">
        <v>0</v>
      </c>
      <c r="CU136" s="296"/>
      <c r="CV136" s="296"/>
      <c r="CW136" s="296"/>
      <c r="CX136" s="296"/>
      <c r="CY136" s="296"/>
      <c r="CZ136" s="296"/>
      <c r="DA136" s="296"/>
      <c r="DB136" s="296"/>
      <c r="DC136" s="296"/>
      <c r="DD136" s="296"/>
      <c r="DE136" s="258">
        <v>0</v>
      </c>
      <c r="DF136" s="296"/>
      <c r="DG136" s="296"/>
      <c r="DH136" s="296"/>
      <c r="DI136" s="258">
        <v>0</v>
      </c>
      <c r="DN136" s="258"/>
      <c r="DO136" s="258"/>
      <c r="DP136" s="258"/>
      <c r="DQ136" s="258"/>
      <c r="DR136" s="258"/>
      <c r="DS136" s="258"/>
      <c r="DT136" s="258"/>
      <c r="DU136" s="258"/>
      <c r="DZ136" s="259">
        <v>0</v>
      </c>
      <c r="EA136" s="259">
        <v>0</v>
      </c>
      <c r="EB136" s="259">
        <v>0</v>
      </c>
      <c r="EC136" s="259">
        <v>0</v>
      </c>
      <c r="ED136" s="259">
        <v>0</v>
      </c>
      <c r="EE136" s="259">
        <v>0</v>
      </c>
    </row>
    <row r="137" spans="1:139">
      <c r="A137" s="295">
        <v>7000</v>
      </c>
      <c r="B137" s="258" t="s">
        <v>131</v>
      </c>
      <c r="C137" s="258">
        <v>41</v>
      </c>
      <c r="D137" s="258">
        <v>51</v>
      </c>
      <c r="E137" s="296">
        <v>0</v>
      </c>
      <c r="F137" s="258">
        <v>0</v>
      </c>
      <c r="G137" s="258">
        <v>0</v>
      </c>
      <c r="H137" s="258">
        <v>0</v>
      </c>
      <c r="I137" s="258">
        <v>0</v>
      </c>
      <c r="J137" s="258">
        <v>0</v>
      </c>
      <c r="K137" s="258">
        <v>0</v>
      </c>
      <c r="L137" s="258">
        <v>0</v>
      </c>
      <c r="M137" s="257">
        <v>0</v>
      </c>
      <c r="N137" s="257">
        <v>0</v>
      </c>
      <c r="O137" s="257">
        <v>0</v>
      </c>
      <c r="P137" s="257">
        <v>0</v>
      </c>
      <c r="Q137" s="257">
        <v>0</v>
      </c>
      <c r="R137" s="257">
        <v>0</v>
      </c>
      <c r="S137" s="257">
        <v>0</v>
      </c>
      <c r="T137" s="257">
        <v>0</v>
      </c>
      <c r="U137" s="257">
        <v>0</v>
      </c>
      <c r="V137" s="257">
        <v>0</v>
      </c>
      <c r="W137" s="257">
        <v>0</v>
      </c>
      <c r="X137" s="257">
        <v>0</v>
      </c>
      <c r="Z137" s="257">
        <v>0</v>
      </c>
      <c r="AA137" s="257">
        <v>165</v>
      </c>
      <c r="AC137" s="258">
        <v>0</v>
      </c>
      <c r="AE137" s="258">
        <v>0</v>
      </c>
      <c r="AJ137" s="258">
        <v>57</v>
      </c>
      <c r="AQ137" s="258">
        <v>51</v>
      </c>
      <c r="AR137" s="258">
        <v>0</v>
      </c>
      <c r="AS137" s="258">
        <v>0</v>
      </c>
      <c r="AT137" s="258">
        <v>1</v>
      </c>
      <c r="AV137" s="258">
        <v>0</v>
      </c>
      <c r="AW137" s="296"/>
      <c r="AX137" s="258">
        <v>0</v>
      </c>
      <c r="AZ137" s="258">
        <v>0</v>
      </c>
      <c r="BB137" s="258">
        <v>0</v>
      </c>
      <c r="BC137" s="258">
        <v>0</v>
      </c>
      <c r="BD137" s="297" t="s">
        <v>214</v>
      </c>
      <c r="BF137" s="258">
        <v>165</v>
      </c>
      <c r="BG137" s="258">
        <v>88</v>
      </c>
      <c r="BO137" s="258">
        <v>0</v>
      </c>
      <c r="BP137" s="258">
        <v>0</v>
      </c>
      <c r="BS137" s="258">
        <v>0</v>
      </c>
      <c r="BW137" s="258">
        <v>0</v>
      </c>
      <c r="BX137" s="258">
        <v>1423.02</v>
      </c>
      <c r="BY137" s="258">
        <v>13799</v>
      </c>
      <c r="BZ137" s="258">
        <v>3228</v>
      </c>
      <c r="CA137" s="258">
        <v>0</v>
      </c>
      <c r="CC137" s="325">
        <v>2701</v>
      </c>
      <c r="CD137" s="258">
        <v>1</v>
      </c>
      <c r="CJ137" s="258">
        <v>370393.24729881779</v>
      </c>
      <c r="CK137" s="258">
        <v>1934290.9723871085</v>
      </c>
      <c r="CQ137" s="325">
        <v>165</v>
      </c>
      <c r="CR137" s="258">
        <v>57</v>
      </c>
      <c r="CS137" s="258">
        <v>0</v>
      </c>
      <c r="CT137" s="258">
        <v>51</v>
      </c>
      <c r="CU137" s="258">
        <v>13</v>
      </c>
      <c r="CV137" s="258">
        <v>32</v>
      </c>
      <c r="CW137" s="258">
        <v>14</v>
      </c>
      <c r="DE137" s="258">
        <v>0</v>
      </c>
      <c r="DF137" s="298">
        <v>0.3575757575757576</v>
      </c>
      <c r="DG137" s="258" t="s">
        <v>619</v>
      </c>
      <c r="DH137" s="258">
        <v>2.4257450980300002</v>
      </c>
      <c r="DI137" s="258">
        <v>38.679245283018872</v>
      </c>
      <c r="DN137" s="258"/>
      <c r="DO137" s="258"/>
      <c r="DP137" s="258"/>
      <c r="DQ137" s="258"/>
      <c r="DR137" s="258"/>
      <c r="DS137" s="258"/>
      <c r="DT137" s="258"/>
      <c r="DU137" s="258"/>
      <c r="DZ137" s="259">
        <v>0</v>
      </c>
      <c r="EA137" s="259">
        <v>0</v>
      </c>
      <c r="EB137" s="259">
        <v>17</v>
      </c>
      <c r="EC137" s="259">
        <v>16</v>
      </c>
      <c r="ED137" s="259">
        <v>6</v>
      </c>
      <c r="EE137" s="259">
        <v>3</v>
      </c>
      <c r="EF137" s="262">
        <v>0</v>
      </c>
      <c r="EG137" s="262">
        <v>0</v>
      </c>
      <c r="EH137" s="262">
        <v>17</v>
      </c>
      <c r="EI137" s="262">
        <v>0</v>
      </c>
    </row>
    <row r="138" spans="1:139">
      <c r="A138" s="295">
        <v>7005</v>
      </c>
      <c r="B138" s="258" t="s">
        <v>130</v>
      </c>
      <c r="C138" s="258">
        <v>26</v>
      </c>
      <c r="D138" s="258">
        <v>34</v>
      </c>
      <c r="E138" s="296">
        <v>0</v>
      </c>
      <c r="F138" s="258">
        <v>0</v>
      </c>
      <c r="G138" s="258">
        <v>0</v>
      </c>
      <c r="H138" s="258">
        <v>35.21638554216868</v>
      </c>
      <c r="I138" s="258">
        <v>0</v>
      </c>
      <c r="J138" s="258">
        <v>0</v>
      </c>
      <c r="K138" s="258">
        <v>0</v>
      </c>
      <c r="L138" s="258">
        <v>0</v>
      </c>
      <c r="M138" s="257">
        <v>11</v>
      </c>
      <c r="N138" s="257">
        <v>12</v>
      </c>
      <c r="O138" s="257">
        <v>11</v>
      </c>
      <c r="P138" s="257">
        <v>11</v>
      </c>
      <c r="Q138" s="257">
        <v>18</v>
      </c>
      <c r="R138" s="257">
        <v>12</v>
      </c>
      <c r="S138" s="257">
        <v>0</v>
      </c>
      <c r="T138" s="257">
        <v>0</v>
      </c>
      <c r="U138" s="257">
        <v>8</v>
      </c>
      <c r="V138" s="257">
        <v>11</v>
      </c>
      <c r="W138" s="257">
        <v>12</v>
      </c>
      <c r="X138" s="257">
        <v>0</v>
      </c>
      <c r="Z138" s="257">
        <v>8</v>
      </c>
      <c r="AA138" s="257">
        <v>83</v>
      </c>
      <c r="AC138" s="258">
        <v>0</v>
      </c>
      <c r="AE138" s="258">
        <v>0</v>
      </c>
      <c r="AJ138" s="258">
        <v>26</v>
      </c>
      <c r="AQ138" s="258">
        <v>43</v>
      </c>
      <c r="AR138" s="258">
        <v>0</v>
      </c>
      <c r="AS138" s="258">
        <v>0</v>
      </c>
      <c r="AT138" s="258">
        <v>1</v>
      </c>
      <c r="AV138" s="258">
        <v>0</v>
      </c>
      <c r="AW138" s="296"/>
      <c r="AX138" s="258">
        <v>0</v>
      </c>
      <c r="AZ138" s="258">
        <v>0</v>
      </c>
      <c r="BB138" s="258">
        <v>0</v>
      </c>
      <c r="BC138" s="258">
        <v>0</v>
      </c>
      <c r="BD138" s="297" t="s">
        <v>214</v>
      </c>
      <c r="BF138" s="258">
        <v>83</v>
      </c>
      <c r="BG138" s="258">
        <v>48</v>
      </c>
      <c r="BO138" s="258">
        <v>0</v>
      </c>
      <c r="BP138" s="258">
        <v>0</v>
      </c>
      <c r="BW138" s="258">
        <v>0</v>
      </c>
      <c r="BX138" s="258">
        <v>0</v>
      </c>
      <c r="BY138" s="258">
        <v>12182.774937913908</v>
      </c>
      <c r="BZ138" s="258">
        <v>7956</v>
      </c>
      <c r="CA138" s="258">
        <v>0</v>
      </c>
      <c r="CC138" s="325">
        <v>3460</v>
      </c>
      <c r="CD138" s="258">
        <v>1</v>
      </c>
      <c r="CJ138" s="258">
        <v>110896.6438636469</v>
      </c>
      <c r="CK138" s="258">
        <v>1055893.4592492194</v>
      </c>
      <c r="CQ138" s="325">
        <v>83</v>
      </c>
      <c r="CR138" s="258">
        <v>26</v>
      </c>
      <c r="CS138" s="258">
        <v>0</v>
      </c>
      <c r="CT138" s="258">
        <v>34</v>
      </c>
      <c r="CU138" s="258">
        <v>0</v>
      </c>
      <c r="CV138" s="258">
        <v>0</v>
      </c>
      <c r="CW138" s="258">
        <v>0</v>
      </c>
      <c r="DE138" s="258">
        <v>114</v>
      </c>
      <c r="DF138" s="298">
        <v>0</v>
      </c>
      <c r="DG138" s="258" t="s">
        <v>619</v>
      </c>
      <c r="DH138" s="258">
        <v>1</v>
      </c>
      <c r="DI138" s="258">
        <v>31.325301204819279</v>
      </c>
      <c r="DN138" s="258"/>
      <c r="DO138" s="258"/>
      <c r="DP138" s="258"/>
      <c r="DQ138" s="258"/>
      <c r="DR138" s="258"/>
      <c r="DS138" s="258"/>
      <c r="DT138" s="258"/>
      <c r="DU138" s="258"/>
      <c r="DZ138" s="259">
        <v>0</v>
      </c>
      <c r="EA138" s="259">
        <v>0</v>
      </c>
      <c r="EB138" s="259">
        <v>11</v>
      </c>
      <c r="EC138" s="259">
        <v>15</v>
      </c>
      <c r="ED138" s="259">
        <v>0</v>
      </c>
      <c r="EE138" s="259">
        <v>0</v>
      </c>
      <c r="EF138" s="262">
        <v>0</v>
      </c>
      <c r="EG138" s="262">
        <v>0</v>
      </c>
      <c r="EH138" s="262">
        <v>11</v>
      </c>
      <c r="EI138" s="262">
        <v>1</v>
      </c>
    </row>
    <row r="139" spans="1:139">
      <c r="A139" s="295">
        <v>7009</v>
      </c>
      <c r="B139" s="258" t="s">
        <v>132</v>
      </c>
      <c r="C139" s="258">
        <v>18</v>
      </c>
      <c r="D139" s="258">
        <v>62</v>
      </c>
      <c r="E139" s="296">
        <v>0</v>
      </c>
      <c r="F139" s="258">
        <v>0</v>
      </c>
      <c r="G139" s="258">
        <v>0</v>
      </c>
      <c r="H139" s="258">
        <v>39.160754716981138</v>
      </c>
      <c r="I139" s="258">
        <v>0</v>
      </c>
      <c r="J139" s="258">
        <v>0</v>
      </c>
      <c r="K139" s="258">
        <v>0</v>
      </c>
      <c r="L139" s="258">
        <v>0</v>
      </c>
      <c r="M139" s="257">
        <v>13</v>
      </c>
      <c r="N139" s="257">
        <v>8</v>
      </c>
      <c r="O139" s="257">
        <v>8</v>
      </c>
      <c r="P139" s="257">
        <v>8</v>
      </c>
      <c r="Q139" s="257">
        <v>3</v>
      </c>
      <c r="R139" s="257">
        <v>10</v>
      </c>
      <c r="S139" s="257">
        <v>25</v>
      </c>
      <c r="T139" s="257">
        <v>17</v>
      </c>
      <c r="U139" s="257">
        <v>14</v>
      </c>
      <c r="V139" s="257">
        <v>13</v>
      </c>
      <c r="W139" s="257">
        <v>8</v>
      </c>
      <c r="X139" s="257">
        <v>42</v>
      </c>
      <c r="Z139" s="257">
        <v>14</v>
      </c>
      <c r="AA139" s="257">
        <v>106</v>
      </c>
      <c r="AC139" s="258">
        <v>0</v>
      </c>
      <c r="AE139" s="258">
        <v>0</v>
      </c>
      <c r="AJ139" s="258">
        <v>18</v>
      </c>
      <c r="AQ139" s="258">
        <v>23</v>
      </c>
      <c r="AR139" s="258">
        <v>0</v>
      </c>
      <c r="AS139" s="258">
        <v>0</v>
      </c>
      <c r="AT139" s="258">
        <v>1</v>
      </c>
      <c r="AV139" s="258">
        <v>1</v>
      </c>
      <c r="AW139" s="296"/>
      <c r="AX139" s="258">
        <v>0</v>
      </c>
      <c r="AZ139" s="258">
        <v>0</v>
      </c>
      <c r="BB139" s="258">
        <v>0</v>
      </c>
      <c r="BC139" s="258">
        <v>0</v>
      </c>
      <c r="BD139" s="297" t="s">
        <v>214</v>
      </c>
      <c r="BF139" s="258">
        <v>89.2</v>
      </c>
      <c r="BG139" s="258">
        <v>40</v>
      </c>
      <c r="BO139" s="258">
        <v>0</v>
      </c>
      <c r="BP139" s="258">
        <v>0</v>
      </c>
      <c r="BW139" s="258">
        <v>0</v>
      </c>
      <c r="BX139" s="258">
        <v>0</v>
      </c>
      <c r="BY139" s="258">
        <v>5639</v>
      </c>
      <c r="BZ139" s="258">
        <v>2486</v>
      </c>
      <c r="CA139" s="258">
        <v>0</v>
      </c>
      <c r="CC139" s="325">
        <v>1409</v>
      </c>
      <c r="CD139" s="258">
        <v>1</v>
      </c>
      <c r="CJ139" s="258">
        <v>159329.14887488249</v>
      </c>
      <c r="CK139" s="258">
        <v>1763825.956310546</v>
      </c>
      <c r="CQ139" s="325">
        <v>89.2</v>
      </c>
      <c r="CR139" s="258">
        <v>18</v>
      </c>
      <c r="CS139" s="258">
        <v>0</v>
      </c>
      <c r="CT139" s="258">
        <v>62</v>
      </c>
      <c r="CU139" s="258">
        <v>0</v>
      </c>
      <c r="CV139" s="258">
        <v>0</v>
      </c>
      <c r="CW139" s="258">
        <v>0</v>
      </c>
      <c r="DE139" s="258">
        <v>141</v>
      </c>
      <c r="DF139" s="298">
        <v>0</v>
      </c>
      <c r="DG139" s="258" t="s">
        <v>619</v>
      </c>
      <c r="DH139" s="258">
        <v>1</v>
      </c>
      <c r="DI139" s="258">
        <v>28.125</v>
      </c>
      <c r="DN139" s="258"/>
      <c r="DO139" s="258"/>
      <c r="DP139" s="258"/>
      <c r="DQ139" s="258"/>
      <c r="DR139" s="258"/>
      <c r="DS139" s="258"/>
      <c r="DT139" s="258"/>
      <c r="DU139" s="258"/>
      <c r="DZ139" s="259">
        <v>0</v>
      </c>
      <c r="EA139" s="259">
        <v>0</v>
      </c>
      <c r="EB139" s="259">
        <v>7</v>
      </c>
      <c r="EC139" s="259">
        <v>12</v>
      </c>
      <c r="ED139" s="259">
        <v>1</v>
      </c>
      <c r="EE139" s="259">
        <v>4</v>
      </c>
      <c r="EF139" s="262">
        <v>0</v>
      </c>
      <c r="EG139" s="262">
        <v>0</v>
      </c>
      <c r="EH139" s="262">
        <v>12</v>
      </c>
      <c r="EI139" s="262">
        <v>26</v>
      </c>
    </row>
    <row r="140" spans="1:139">
      <c r="A140" s="295">
        <v>7010</v>
      </c>
      <c r="B140" s="258" t="s">
        <v>129</v>
      </c>
      <c r="C140" s="258">
        <v>15</v>
      </c>
      <c r="D140" s="258">
        <v>39</v>
      </c>
      <c r="E140" s="296">
        <v>0</v>
      </c>
      <c r="F140" s="258">
        <v>0</v>
      </c>
      <c r="G140" s="258">
        <v>0</v>
      </c>
      <c r="H140" s="258">
        <v>0</v>
      </c>
      <c r="I140" s="258">
        <v>0</v>
      </c>
      <c r="J140" s="258">
        <v>0</v>
      </c>
      <c r="K140" s="258">
        <v>0</v>
      </c>
      <c r="L140" s="258">
        <v>0</v>
      </c>
      <c r="M140" s="257">
        <v>0</v>
      </c>
      <c r="N140" s="257">
        <v>0</v>
      </c>
      <c r="O140" s="257">
        <v>0</v>
      </c>
      <c r="P140" s="257">
        <v>0</v>
      </c>
      <c r="Q140" s="257">
        <v>0</v>
      </c>
      <c r="R140" s="257">
        <v>0</v>
      </c>
      <c r="S140" s="257">
        <v>0</v>
      </c>
      <c r="T140" s="257">
        <v>0</v>
      </c>
      <c r="U140" s="257">
        <v>0</v>
      </c>
      <c r="V140" s="257">
        <v>0</v>
      </c>
      <c r="W140" s="257">
        <v>0</v>
      </c>
      <c r="X140" s="257">
        <v>0</v>
      </c>
      <c r="Z140" s="257">
        <v>0</v>
      </c>
      <c r="AA140" s="257">
        <v>60</v>
      </c>
      <c r="AC140" s="258">
        <v>0</v>
      </c>
      <c r="AE140" s="258">
        <v>0</v>
      </c>
      <c r="AJ140" s="258">
        <v>21</v>
      </c>
      <c r="AQ140" s="258">
        <v>24</v>
      </c>
      <c r="AR140" s="258">
        <v>0</v>
      </c>
      <c r="AS140" s="258">
        <v>0</v>
      </c>
      <c r="AT140" s="258">
        <v>1</v>
      </c>
      <c r="AV140" s="258">
        <v>0</v>
      </c>
      <c r="AW140" s="296"/>
      <c r="AX140" s="258">
        <v>0</v>
      </c>
      <c r="AZ140" s="258">
        <v>0</v>
      </c>
      <c r="BB140" s="258">
        <v>0</v>
      </c>
      <c r="BC140" s="258">
        <v>0</v>
      </c>
      <c r="BD140" s="297" t="s">
        <v>214</v>
      </c>
      <c r="BF140" s="258">
        <v>60</v>
      </c>
      <c r="BG140" s="258">
        <v>30</v>
      </c>
      <c r="BO140" s="258">
        <v>0</v>
      </c>
      <c r="BP140" s="258">
        <v>0</v>
      </c>
      <c r="BS140" s="258">
        <v>0</v>
      </c>
      <c r="BW140" s="258">
        <v>0</v>
      </c>
      <c r="BX140" s="258">
        <v>1739.25</v>
      </c>
      <c r="BY140" s="258">
        <v>10500</v>
      </c>
      <c r="BZ140" s="258">
        <v>2981</v>
      </c>
      <c r="CA140" s="258">
        <v>0</v>
      </c>
      <c r="CC140" s="325">
        <v>1709</v>
      </c>
      <c r="CD140" s="258">
        <v>1</v>
      </c>
      <c r="CJ140" s="258">
        <v>145647.99989530421</v>
      </c>
      <c r="CK140" s="258">
        <v>1519982.6197480331</v>
      </c>
      <c r="CQ140" s="325">
        <v>60</v>
      </c>
      <c r="CR140" s="258">
        <v>21</v>
      </c>
      <c r="CS140" s="258">
        <v>0</v>
      </c>
      <c r="CT140" s="258">
        <v>39</v>
      </c>
      <c r="CU140" s="258">
        <v>5</v>
      </c>
      <c r="CV140" s="258">
        <v>5</v>
      </c>
      <c r="CW140" s="258">
        <v>7</v>
      </c>
      <c r="DE140" s="258">
        <v>0</v>
      </c>
      <c r="DF140" s="298">
        <v>0.28333333333333333</v>
      </c>
      <c r="DG140" s="258" t="s">
        <v>619</v>
      </c>
      <c r="DH140" s="258">
        <v>2.4257450980300002</v>
      </c>
      <c r="DI140" s="258">
        <v>34.883720930232556</v>
      </c>
      <c r="DN140" s="258"/>
      <c r="DO140" s="258"/>
      <c r="DP140" s="258"/>
      <c r="DQ140" s="258"/>
      <c r="DR140" s="258"/>
      <c r="DS140" s="258"/>
      <c r="DT140" s="258"/>
      <c r="DU140" s="258"/>
      <c r="DZ140" s="259">
        <v>0</v>
      </c>
      <c r="EA140" s="259">
        <v>0</v>
      </c>
      <c r="EB140" s="259">
        <v>7</v>
      </c>
      <c r="EC140" s="259">
        <v>8</v>
      </c>
      <c r="ED140" s="259">
        <v>0</v>
      </c>
      <c r="EE140" s="259">
        <v>1</v>
      </c>
      <c r="EF140" s="262">
        <v>0</v>
      </c>
      <c r="EG140" s="262">
        <v>0</v>
      </c>
      <c r="EH140" s="262">
        <v>13</v>
      </c>
      <c r="EI140" s="262">
        <v>0</v>
      </c>
    </row>
    <row r="141" spans="1:139">
      <c r="A141" s="296"/>
      <c r="B141" s="296"/>
      <c r="C141" s="258">
        <v>0</v>
      </c>
      <c r="D141" s="258">
        <v>0</v>
      </c>
      <c r="F141" s="296"/>
      <c r="G141" s="296"/>
      <c r="H141" s="296"/>
      <c r="I141" s="296"/>
      <c r="J141" s="296"/>
      <c r="K141" s="258">
        <v>0</v>
      </c>
      <c r="L141" s="296"/>
      <c r="M141" s="296"/>
      <c r="N141" s="296"/>
      <c r="O141" s="296"/>
      <c r="P141" s="296"/>
      <c r="Q141" s="296"/>
      <c r="R141" s="296"/>
      <c r="S141" s="296"/>
      <c r="T141" s="296"/>
      <c r="U141" s="296"/>
      <c r="V141" s="296"/>
      <c r="W141" s="296"/>
      <c r="X141" s="296"/>
      <c r="Y141" s="296"/>
      <c r="Z141" s="296"/>
      <c r="AA141" s="296"/>
      <c r="AB141" s="296"/>
      <c r="AC141" s="296"/>
      <c r="AD141" s="296"/>
      <c r="AE141" s="296"/>
      <c r="AF141" s="296"/>
      <c r="AG141" s="296"/>
      <c r="AH141" s="296"/>
      <c r="AI141" s="296"/>
      <c r="AJ141" s="296"/>
      <c r="AK141" s="296"/>
      <c r="AL141" s="296"/>
      <c r="AM141" s="296"/>
      <c r="AN141" s="296"/>
      <c r="AO141" s="296"/>
      <c r="AP141" s="296"/>
      <c r="AQ141" s="258">
        <v>0</v>
      </c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58">
        <v>0</v>
      </c>
      <c r="BG141" s="258">
        <v>0</v>
      </c>
      <c r="BH141" s="296"/>
      <c r="BI141" s="296"/>
      <c r="BJ141" s="296"/>
      <c r="BK141" s="296"/>
      <c r="BL141" s="296"/>
      <c r="BM141" s="296"/>
      <c r="BN141" s="296"/>
      <c r="BO141" s="258">
        <v>0</v>
      </c>
      <c r="BP141" s="296"/>
      <c r="BQ141" s="296"/>
      <c r="BR141" s="296"/>
      <c r="BS141" s="296"/>
      <c r="BT141" s="296"/>
      <c r="BU141" s="296"/>
      <c r="BV141" s="296"/>
      <c r="BW141" s="258">
        <v>0</v>
      </c>
      <c r="BX141" s="296"/>
      <c r="BY141" s="258">
        <v>0</v>
      </c>
      <c r="BZ141" s="258">
        <v>0</v>
      </c>
      <c r="CA141" s="296"/>
      <c r="CB141" s="296"/>
      <c r="CC141" s="325">
        <v>0</v>
      </c>
      <c r="CD141" s="296"/>
      <c r="CE141" s="296"/>
      <c r="CF141" s="296"/>
      <c r="CG141" s="296"/>
      <c r="CH141" s="296"/>
      <c r="CI141" s="296"/>
      <c r="CJ141" s="296"/>
      <c r="CK141" s="296"/>
      <c r="CL141" s="296"/>
      <c r="CM141" s="296"/>
      <c r="CN141" s="296"/>
      <c r="CO141" s="296"/>
      <c r="CP141" s="296"/>
      <c r="CR141" s="258">
        <v>0</v>
      </c>
      <c r="CS141" s="296"/>
      <c r="CT141" s="258">
        <v>0</v>
      </c>
      <c r="CU141" s="296"/>
      <c r="CV141" s="296"/>
      <c r="CW141" s="296"/>
      <c r="CX141" s="296"/>
      <c r="CY141" s="296"/>
      <c r="CZ141" s="296"/>
      <c r="DA141" s="296"/>
      <c r="DB141" s="296"/>
      <c r="DC141" s="296"/>
      <c r="DD141" s="296"/>
      <c r="DE141" s="258">
        <v>0</v>
      </c>
      <c r="DF141" s="296"/>
      <c r="DG141" s="296"/>
      <c r="DH141" s="296"/>
      <c r="DI141" s="258">
        <v>0</v>
      </c>
      <c r="DN141" s="258"/>
      <c r="DO141" s="258"/>
      <c r="DP141" s="258"/>
      <c r="DQ141" s="258"/>
      <c r="DR141" s="258"/>
      <c r="DS141" s="258"/>
      <c r="DT141" s="258"/>
      <c r="DU141" s="258"/>
      <c r="DZ141" s="259">
        <v>0</v>
      </c>
      <c r="EA141" s="259">
        <v>0</v>
      </c>
      <c r="EB141" s="259">
        <v>0</v>
      </c>
      <c r="EC141" s="259">
        <v>0</v>
      </c>
      <c r="ED141" s="259">
        <v>0</v>
      </c>
      <c r="EE141" s="259">
        <v>0</v>
      </c>
    </row>
    <row r="142" spans="1:139">
      <c r="A142" s="295">
        <v>1100</v>
      </c>
      <c r="B142" s="258" t="s">
        <v>451</v>
      </c>
      <c r="C142" s="258">
        <v>24</v>
      </c>
      <c r="D142" s="258">
        <v>0</v>
      </c>
      <c r="E142" s="296">
        <v>0</v>
      </c>
      <c r="G142" s="258">
        <v>0</v>
      </c>
      <c r="H142" s="258">
        <v>0</v>
      </c>
      <c r="I142" s="258">
        <v>0</v>
      </c>
      <c r="J142" s="258">
        <v>0</v>
      </c>
      <c r="K142" s="258">
        <v>0</v>
      </c>
      <c r="L142" s="258">
        <v>0</v>
      </c>
      <c r="M142" s="257">
        <v>0</v>
      </c>
      <c r="N142" s="257">
        <v>0</v>
      </c>
      <c r="O142" s="257">
        <v>0</v>
      </c>
      <c r="P142" s="257">
        <v>0</v>
      </c>
      <c r="Q142" s="257">
        <v>0</v>
      </c>
      <c r="R142" s="257">
        <v>0</v>
      </c>
      <c r="S142" s="257">
        <v>0</v>
      </c>
      <c r="T142" s="257">
        <v>0</v>
      </c>
      <c r="U142" s="257">
        <v>0</v>
      </c>
      <c r="V142" s="257">
        <v>0</v>
      </c>
      <c r="W142" s="257">
        <v>0</v>
      </c>
      <c r="X142" s="257">
        <v>0</v>
      </c>
      <c r="Z142" s="257">
        <v>0</v>
      </c>
      <c r="AA142" s="257">
        <v>65</v>
      </c>
      <c r="AC142" s="258">
        <v>0</v>
      </c>
      <c r="AE142" s="258">
        <v>0</v>
      </c>
      <c r="AJ142" s="258">
        <v>24</v>
      </c>
      <c r="AQ142" s="258">
        <v>0</v>
      </c>
      <c r="AR142" s="258">
        <v>2</v>
      </c>
      <c r="AS142" s="258">
        <v>0</v>
      </c>
      <c r="AT142" s="258">
        <v>1</v>
      </c>
      <c r="AV142" s="258">
        <v>0</v>
      </c>
      <c r="AW142" s="296"/>
      <c r="AX142" s="258">
        <v>0</v>
      </c>
      <c r="AZ142" s="258">
        <v>0</v>
      </c>
      <c r="BB142" s="258">
        <v>0</v>
      </c>
      <c r="BC142" s="258">
        <v>0</v>
      </c>
      <c r="BD142" s="297" t="s">
        <v>214</v>
      </c>
      <c r="BF142" s="258">
        <v>65</v>
      </c>
      <c r="BG142" s="258">
        <v>0</v>
      </c>
      <c r="BO142" s="258">
        <v>0</v>
      </c>
      <c r="BP142" s="258">
        <v>0</v>
      </c>
      <c r="BW142" s="258">
        <v>0</v>
      </c>
      <c r="BX142" s="258">
        <v>0</v>
      </c>
      <c r="BZ142" s="258">
        <v>0</v>
      </c>
      <c r="CA142" s="258">
        <v>0</v>
      </c>
      <c r="CC142" s="325">
        <v>0</v>
      </c>
      <c r="CD142" s="258">
        <v>0</v>
      </c>
      <c r="CJ142" s="258">
        <v>0</v>
      </c>
      <c r="CK142" s="258">
        <v>0</v>
      </c>
      <c r="CQ142" s="325">
        <v>65</v>
      </c>
      <c r="CR142" s="258">
        <v>24</v>
      </c>
      <c r="CS142" s="258">
        <v>0</v>
      </c>
      <c r="CT142" s="258">
        <v>0</v>
      </c>
      <c r="CU142" s="258">
        <v>0</v>
      </c>
      <c r="CV142" s="258">
        <v>0</v>
      </c>
      <c r="CW142" s="258">
        <v>0</v>
      </c>
      <c r="DE142" s="258">
        <v>0</v>
      </c>
      <c r="DF142" s="298">
        <v>0</v>
      </c>
      <c r="DG142" s="258" t="s">
        <v>620</v>
      </c>
      <c r="DH142" s="258">
        <v>1</v>
      </c>
      <c r="DI142" s="258">
        <v>36.923076923076927</v>
      </c>
      <c r="DN142" s="258"/>
      <c r="DO142" s="258"/>
      <c r="DP142" s="258"/>
      <c r="DQ142" s="258"/>
      <c r="DR142" s="258"/>
      <c r="DS142" s="258"/>
      <c r="DT142" s="258"/>
      <c r="DU142" s="258"/>
      <c r="DZ142" s="259">
        <v>0</v>
      </c>
      <c r="EA142" s="259">
        <v>0</v>
      </c>
      <c r="EB142" s="259">
        <v>0</v>
      </c>
      <c r="EC142" s="259">
        <v>0</v>
      </c>
      <c r="ED142" s="259">
        <v>0</v>
      </c>
      <c r="EE142" s="259">
        <v>0</v>
      </c>
    </row>
    <row r="143" spans="1:139">
      <c r="A143" s="295">
        <v>1102</v>
      </c>
      <c r="B143" s="258" t="s">
        <v>453</v>
      </c>
      <c r="C143" s="258">
        <v>4</v>
      </c>
      <c r="D143" s="258">
        <v>0</v>
      </c>
      <c r="E143" s="296">
        <v>0</v>
      </c>
      <c r="G143" s="258">
        <v>0</v>
      </c>
      <c r="H143" s="258">
        <v>0</v>
      </c>
      <c r="I143" s="258">
        <v>0</v>
      </c>
      <c r="J143" s="258">
        <v>0</v>
      </c>
      <c r="K143" s="258">
        <v>0</v>
      </c>
      <c r="L143" s="258">
        <v>0</v>
      </c>
      <c r="M143" s="257">
        <v>0</v>
      </c>
      <c r="N143" s="257">
        <v>0</v>
      </c>
      <c r="O143" s="257">
        <v>0</v>
      </c>
      <c r="P143" s="257">
        <v>0</v>
      </c>
      <c r="Q143" s="257">
        <v>0</v>
      </c>
      <c r="R143" s="257">
        <v>0</v>
      </c>
      <c r="S143" s="257">
        <v>0</v>
      </c>
      <c r="T143" s="257">
        <v>0</v>
      </c>
      <c r="U143" s="257">
        <v>0</v>
      </c>
      <c r="V143" s="257">
        <v>0</v>
      </c>
      <c r="W143" s="257">
        <v>0</v>
      </c>
      <c r="X143" s="257">
        <v>0</v>
      </c>
      <c r="Z143" s="257">
        <v>0</v>
      </c>
      <c r="AA143" s="257">
        <v>14</v>
      </c>
      <c r="AC143" s="258">
        <v>0</v>
      </c>
      <c r="AE143" s="258">
        <v>0</v>
      </c>
      <c r="AJ143" s="258">
        <v>4</v>
      </c>
      <c r="AQ143" s="258">
        <v>0</v>
      </c>
      <c r="AR143" s="258">
        <v>0</v>
      </c>
      <c r="AS143" s="258">
        <v>0</v>
      </c>
      <c r="AT143" s="258">
        <v>1</v>
      </c>
      <c r="AV143" s="258">
        <v>0</v>
      </c>
      <c r="AW143" s="296"/>
      <c r="AX143" s="258">
        <v>0</v>
      </c>
      <c r="AZ143" s="258">
        <v>0</v>
      </c>
      <c r="BB143" s="258">
        <v>0</v>
      </c>
      <c r="BC143" s="258">
        <v>0</v>
      </c>
      <c r="BD143" s="297" t="s">
        <v>214</v>
      </c>
      <c r="BF143" s="258">
        <v>14</v>
      </c>
      <c r="BG143" s="258">
        <v>0</v>
      </c>
      <c r="BO143" s="258">
        <v>0</v>
      </c>
      <c r="BP143" s="258">
        <v>0</v>
      </c>
      <c r="BW143" s="258">
        <v>0</v>
      </c>
      <c r="BX143" s="258">
        <v>0</v>
      </c>
      <c r="BZ143" s="258">
        <v>0</v>
      </c>
      <c r="CA143" s="258">
        <v>0</v>
      </c>
      <c r="CC143" s="325">
        <v>0</v>
      </c>
      <c r="CD143" s="258">
        <v>0</v>
      </c>
      <c r="CJ143" s="258">
        <v>0</v>
      </c>
      <c r="CK143" s="258">
        <v>0</v>
      </c>
      <c r="CQ143" s="325">
        <v>14</v>
      </c>
      <c r="CR143" s="258">
        <v>4</v>
      </c>
      <c r="CS143" s="258">
        <v>0</v>
      </c>
      <c r="CT143" s="258">
        <v>0</v>
      </c>
      <c r="CU143" s="258">
        <v>2</v>
      </c>
      <c r="CV143" s="258">
        <v>3</v>
      </c>
      <c r="CW143" s="258">
        <v>0</v>
      </c>
      <c r="DE143" s="258">
        <v>0</v>
      </c>
      <c r="DF143" s="298">
        <v>0.35714285714285715</v>
      </c>
      <c r="DG143" s="258" t="s">
        <v>620</v>
      </c>
      <c r="DH143" s="258">
        <v>1</v>
      </c>
      <c r="DI143" s="258">
        <v>44.444444444444443</v>
      </c>
      <c r="DN143" s="258"/>
      <c r="DO143" s="258"/>
      <c r="DP143" s="258"/>
      <c r="DQ143" s="258"/>
      <c r="DR143" s="258"/>
      <c r="DS143" s="258"/>
      <c r="DT143" s="258"/>
      <c r="DU143" s="258"/>
      <c r="DZ143" s="259">
        <v>0</v>
      </c>
      <c r="EA143" s="259">
        <v>0</v>
      </c>
      <c r="EB143" s="259">
        <v>0</v>
      </c>
      <c r="EC143" s="259">
        <v>0</v>
      </c>
      <c r="ED143" s="259">
        <v>0</v>
      </c>
      <c r="EE143" s="259">
        <v>0</v>
      </c>
    </row>
    <row r="144" spans="1:139">
      <c r="A144" s="295">
        <v>1103</v>
      </c>
      <c r="B144" s="258" t="s">
        <v>452</v>
      </c>
      <c r="C144" s="258">
        <v>4</v>
      </c>
      <c r="D144" s="258">
        <v>0</v>
      </c>
      <c r="E144" s="296">
        <v>0</v>
      </c>
      <c r="G144" s="258">
        <v>0</v>
      </c>
      <c r="H144" s="258">
        <v>0</v>
      </c>
      <c r="I144" s="258">
        <v>0</v>
      </c>
      <c r="J144" s="258">
        <v>0</v>
      </c>
      <c r="K144" s="258">
        <v>0</v>
      </c>
      <c r="L144" s="258">
        <v>0</v>
      </c>
      <c r="M144" s="257">
        <v>0</v>
      </c>
      <c r="N144" s="257">
        <v>0</v>
      </c>
      <c r="O144" s="257">
        <v>0</v>
      </c>
      <c r="P144" s="257">
        <v>0</v>
      </c>
      <c r="Q144" s="257">
        <v>0</v>
      </c>
      <c r="R144" s="257">
        <v>0</v>
      </c>
      <c r="S144" s="257">
        <v>0</v>
      </c>
      <c r="T144" s="257">
        <v>0</v>
      </c>
      <c r="U144" s="257">
        <v>0</v>
      </c>
      <c r="V144" s="257">
        <v>0</v>
      </c>
      <c r="W144" s="257">
        <v>0</v>
      </c>
      <c r="X144" s="257">
        <v>0</v>
      </c>
      <c r="Z144" s="257">
        <v>0</v>
      </c>
      <c r="AA144" s="257">
        <v>14</v>
      </c>
      <c r="AC144" s="258">
        <v>0</v>
      </c>
      <c r="AE144" s="258">
        <v>0</v>
      </c>
      <c r="AJ144" s="258">
        <v>4</v>
      </c>
      <c r="AQ144" s="258">
        <v>0</v>
      </c>
      <c r="AR144" s="258">
        <v>0</v>
      </c>
      <c r="AS144" s="258">
        <v>0</v>
      </c>
      <c r="AT144" s="258">
        <v>1</v>
      </c>
      <c r="AV144" s="258">
        <v>0</v>
      </c>
      <c r="AW144" s="296"/>
      <c r="AX144" s="258">
        <v>0</v>
      </c>
      <c r="AZ144" s="258">
        <v>0</v>
      </c>
      <c r="BB144" s="258">
        <v>0</v>
      </c>
      <c r="BC144" s="258">
        <v>0</v>
      </c>
      <c r="BD144" s="297" t="s">
        <v>214</v>
      </c>
      <c r="BF144" s="258">
        <v>14</v>
      </c>
      <c r="BG144" s="258">
        <v>0</v>
      </c>
      <c r="BO144" s="258">
        <v>0</v>
      </c>
      <c r="BP144" s="258">
        <v>0</v>
      </c>
      <c r="BW144" s="258">
        <v>0</v>
      </c>
      <c r="BX144" s="258">
        <v>0</v>
      </c>
      <c r="BZ144" s="258">
        <v>0</v>
      </c>
      <c r="CA144" s="258">
        <v>0</v>
      </c>
      <c r="CC144" s="325">
        <v>0</v>
      </c>
      <c r="CD144" s="258">
        <v>0</v>
      </c>
      <c r="CJ144" s="258">
        <v>0</v>
      </c>
      <c r="CK144" s="258">
        <v>0</v>
      </c>
      <c r="CQ144" s="325">
        <v>14</v>
      </c>
      <c r="CR144" s="258">
        <v>4</v>
      </c>
      <c r="CS144" s="258">
        <v>0</v>
      </c>
      <c r="CT144" s="258">
        <v>0</v>
      </c>
      <c r="CU144" s="258">
        <v>2</v>
      </c>
      <c r="CV144" s="258">
        <v>3</v>
      </c>
      <c r="CW144" s="258">
        <v>0</v>
      </c>
      <c r="DE144" s="258">
        <v>0</v>
      </c>
      <c r="DF144" s="298">
        <v>0.35714285714285715</v>
      </c>
      <c r="DG144" s="258" t="s">
        <v>620</v>
      </c>
      <c r="DH144" s="258">
        <v>1</v>
      </c>
      <c r="DI144" s="258">
        <v>44.444444444444443</v>
      </c>
      <c r="DN144" s="258"/>
      <c r="DO144" s="258"/>
      <c r="DP144" s="258"/>
      <c r="DQ144" s="258"/>
      <c r="DR144" s="258"/>
      <c r="DS144" s="258"/>
      <c r="DT144" s="258"/>
      <c r="DU144" s="258"/>
      <c r="DZ144" s="259">
        <v>0</v>
      </c>
      <c r="EA144" s="259">
        <v>0</v>
      </c>
      <c r="EB144" s="259">
        <v>0</v>
      </c>
      <c r="EC144" s="259">
        <v>0</v>
      </c>
      <c r="ED144" s="259">
        <v>0</v>
      </c>
      <c r="EE144" s="259">
        <v>0</v>
      </c>
    </row>
    <row r="145" spans="1:139">
      <c r="A145" s="295">
        <v>9000</v>
      </c>
      <c r="B145" s="258" t="s">
        <v>621</v>
      </c>
      <c r="C145" s="258">
        <v>0</v>
      </c>
      <c r="D145" s="258">
        <v>0</v>
      </c>
      <c r="E145" s="296">
        <v>0</v>
      </c>
      <c r="G145" s="258">
        <v>0</v>
      </c>
      <c r="H145" s="258">
        <v>0</v>
      </c>
      <c r="I145" s="258">
        <v>0</v>
      </c>
      <c r="J145" s="258">
        <v>0</v>
      </c>
      <c r="K145" s="258">
        <v>0</v>
      </c>
      <c r="L145" s="258">
        <v>0</v>
      </c>
      <c r="M145" s="257">
        <v>0</v>
      </c>
      <c r="N145" s="257">
        <v>0</v>
      </c>
      <c r="O145" s="257">
        <v>0</v>
      </c>
      <c r="P145" s="257">
        <v>0</v>
      </c>
      <c r="Q145" s="257">
        <v>0</v>
      </c>
      <c r="R145" s="257">
        <v>0</v>
      </c>
      <c r="S145" s="257">
        <v>0</v>
      </c>
      <c r="T145" s="257">
        <v>0</v>
      </c>
      <c r="U145" s="257">
        <v>0</v>
      </c>
      <c r="V145" s="257">
        <v>0</v>
      </c>
      <c r="W145" s="257">
        <v>0</v>
      </c>
      <c r="X145" s="257">
        <v>1</v>
      </c>
      <c r="Z145" s="257">
        <v>0</v>
      </c>
      <c r="AA145" s="257">
        <v>0</v>
      </c>
      <c r="AC145" s="258">
        <v>0</v>
      </c>
      <c r="AE145" s="258">
        <v>2229.9842105263156</v>
      </c>
      <c r="AF145" s="258">
        <v>4044.3368421052633</v>
      </c>
      <c r="AG145" s="258">
        <v>1398756</v>
      </c>
      <c r="AH145" s="258">
        <v>496.95534228862596</v>
      </c>
      <c r="AJ145" s="258">
        <v>0</v>
      </c>
      <c r="AQ145" s="258">
        <v>0</v>
      </c>
      <c r="AR145" s="258">
        <v>0</v>
      </c>
      <c r="AS145" s="258">
        <v>0</v>
      </c>
      <c r="AT145" s="258">
        <v>1</v>
      </c>
      <c r="AV145" s="258">
        <v>0</v>
      </c>
      <c r="AW145" s="296"/>
      <c r="AX145" s="258">
        <v>0</v>
      </c>
      <c r="AZ145" s="258">
        <v>0</v>
      </c>
      <c r="BB145" s="258">
        <v>0</v>
      </c>
      <c r="BC145" s="258">
        <v>0</v>
      </c>
      <c r="BD145" s="297" t="s">
        <v>622</v>
      </c>
      <c r="BF145" s="258">
        <v>0</v>
      </c>
      <c r="BG145" s="258">
        <v>0</v>
      </c>
      <c r="BO145" s="258">
        <v>0</v>
      </c>
      <c r="BP145" s="258">
        <v>0</v>
      </c>
      <c r="BW145" s="258">
        <v>0</v>
      </c>
      <c r="BX145" s="258">
        <v>0</v>
      </c>
      <c r="BZ145" s="258">
        <v>0</v>
      </c>
      <c r="CA145" s="258">
        <v>0</v>
      </c>
      <c r="CC145" s="325">
        <v>0</v>
      </c>
      <c r="CD145" s="258">
        <v>0</v>
      </c>
      <c r="CJ145" s="258">
        <v>0</v>
      </c>
      <c r="CK145" s="258">
        <v>0</v>
      </c>
      <c r="CQ145" s="325">
        <v>0</v>
      </c>
      <c r="CR145" s="258">
        <v>0</v>
      </c>
      <c r="CS145" s="258">
        <v>0</v>
      </c>
      <c r="CT145" s="258">
        <v>0</v>
      </c>
      <c r="CU145" s="258">
        <v>0</v>
      </c>
      <c r="CV145" s="258">
        <v>0</v>
      </c>
      <c r="CW145" s="258">
        <v>0</v>
      </c>
      <c r="DE145" s="258">
        <v>0</v>
      </c>
      <c r="DF145" s="298">
        <v>0</v>
      </c>
      <c r="DG145" s="258" t="s">
        <v>601</v>
      </c>
      <c r="DI145" s="258">
        <v>0</v>
      </c>
      <c r="DJ145" s="258">
        <v>873.73684210526289</v>
      </c>
      <c r="DK145" s="258">
        <v>708.25263157894733</v>
      </c>
      <c r="DL145" s="258">
        <v>647.99473684210545</v>
      </c>
      <c r="DM145" s="258">
        <v>556920</v>
      </c>
      <c r="DN145" s="258">
        <v>434160</v>
      </c>
      <c r="DO145" s="258">
        <v>407676</v>
      </c>
      <c r="DP145" s="258">
        <v>1592.1578947368421</v>
      </c>
      <c r="DQ145" s="258">
        <v>1277.8105263157895</v>
      </c>
      <c r="DR145" s="258">
        <v>1174.3684210526317</v>
      </c>
      <c r="DS145" s="258">
        <v>197.94371103549921</v>
      </c>
      <c r="DT145" s="258">
        <v>152.09547753514263</v>
      </c>
      <c r="DU145" s="258">
        <v>146.91615371798414</v>
      </c>
      <c r="DZ145" s="259">
        <v>0</v>
      </c>
      <c r="EA145" s="259">
        <v>0</v>
      </c>
      <c r="EB145" s="259">
        <v>0</v>
      </c>
      <c r="EC145" s="259">
        <v>0</v>
      </c>
      <c r="ED145" s="259">
        <v>0</v>
      </c>
      <c r="EE145" s="259">
        <v>0</v>
      </c>
    </row>
    <row r="146" spans="1:139">
      <c r="A146" s="295">
        <v>8001</v>
      </c>
      <c r="B146" s="258" t="s">
        <v>623</v>
      </c>
      <c r="C146" s="258">
        <v>0</v>
      </c>
      <c r="D146" s="258">
        <v>0</v>
      </c>
      <c r="E146" s="296">
        <v>0</v>
      </c>
      <c r="G146" s="258">
        <v>0</v>
      </c>
      <c r="H146" s="258">
        <v>0</v>
      </c>
      <c r="I146" s="258">
        <v>0</v>
      </c>
      <c r="J146" s="258">
        <v>0</v>
      </c>
      <c r="K146" s="258">
        <v>0</v>
      </c>
      <c r="L146" s="258">
        <v>0</v>
      </c>
      <c r="M146" s="257">
        <v>0</v>
      </c>
      <c r="N146" s="257">
        <v>0</v>
      </c>
      <c r="O146" s="257">
        <v>0</v>
      </c>
      <c r="P146" s="257">
        <v>0</v>
      </c>
      <c r="Q146" s="257">
        <v>0</v>
      </c>
      <c r="R146" s="257">
        <v>0</v>
      </c>
      <c r="S146" s="257">
        <v>0</v>
      </c>
      <c r="T146" s="257">
        <v>0</v>
      </c>
      <c r="U146" s="257">
        <v>0</v>
      </c>
      <c r="V146" s="257">
        <v>0</v>
      </c>
      <c r="W146" s="257">
        <v>0</v>
      </c>
      <c r="X146" s="257">
        <v>0</v>
      </c>
      <c r="Z146" s="257">
        <v>0</v>
      </c>
      <c r="AA146" s="257">
        <v>0</v>
      </c>
      <c r="AC146" s="258">
        <v>0</v>
      </c>
      <c r="AE146" s="258">
        <v>0</v>
      </c>
      <c r="AJ146" s="258">
        <v>0</v>
      </c>
      <c r="AQ146" s="258">
        <v>0</v>
      </c>
      <c r="AR146" s="258">
        <v>0</v>
      </c>
      <c r="AS146" s="258">
        <v>0</v>
      </c>
      <c r="AT146" s="258">
        <v>1</v>
      </c>
      <c r="AV146" s="258">
        <v>0</v>
      </c>
      <c r="AW146" s="296"/>
      <c r="AX146" s="258">
        <v>0</v>
      </c>
      <c r="AZ146" s="258">
        <v>0</v>
      </c>
      <c r="BB146" s="258">
        <v>0</v>
      </c>
      <c r="BC146" s="258">
        <v>0</v>
      </c>
      <c r="BD146" s="297" t="s">
        <v>622</v>
      </c>
      <c r="BF146" s="258">
        <v>0</v>
      </c>
      <c r="BG146" s="258">
        <v>0</v>
      </c>
      <c r="BO146" s="258">
        <v>0</v>
      </c>
      <c r="BP146" s="258">
        <v>0</v>
      </c>
      <c r="BW146" s="258">
        <v>0</v>
      </c>
      <c r="BX146" s="258">
        <v>0</v>
      </c>
      <c r="BZ146" s="258">
        <v>0</v>
      </c>
      <c r="CA146" s="258">
        <v>0</v>
      </c>
      <c r="CC146" s="325">
        <v>0</v>
      </c>
      <c r="CD146" s="258">
        <v>0</v>
      </c>
      <c r="CJ146" s="258">
        <v>0</v>
      </c>
      <c r="CK146" s="258">
        <v>0</v>
      </c>
      <c r="CQ146" s="325">
        <v>0</v>
      </c>
      <c r="CR146" s="258">
        <v>0</v>
      </c>
      <c r="CS146" s="258">
        <v>0</v>
      </c>
      <c r="CT146" s="258">
        <v>0</v>
      </c>
      <c r="CU146" s="258">
        <v>0</v>
      </c>
      <c r="CV146" s="258">
        <v>0</v>
      </c>
      <c r="CW146" s="258">
        <v>0</v>
      </c>
      <c r="DE146" s="258">
        <v>0</v>
      </c>
      <c r="DF146" s="298">
        <v>0</v>
      </c>
      <c r="DG146" s="258" t="s">
        <v>601</v>
      </c>
      <c r="DI146" s="258">
        <v>0</v>
      </c>
      <c r="DJ146" s="258">
        <v>0</v>
      </c>
      <c r="DK146" s="258">
        <v>0</v>
      </c>
      <c r="DL146" s="258">
        <v>0</v>
      </c>
      <c r="DN146" s="258"/>
      <c r="DO146" s="258"/>
      <c r="DP146" s="258"/>
      <c r="DQ146" s="258"/>
      <c r="DR146" s="258"/>
      <c r="DS146" s="258"/>
      <c r="DT146" s="258"/>
      <c r="DU146" s="258"/>
      <c r="DZ146" s="259">
        <v>0</v>
      </c>
      <c r="EA146" s="259">
        <v>0</v>
      </c>
      <c r="EB146" s="259">
        <v>0</v>
      </c>
      <c r="EC146" s="259">
        <v>0</v>
      </c>
      <c r="ED146" s="259">
        <v>0</v>
      </c>
      <c r="EE146" s="259">
        <v>0</v>
      </c>
    </row>
    <row r="147" spans="1:139">
      <c r="A147" s="295">
        <v>8000</v>
      </c>
      <c r="B147" s="258" t="s">
        <v>624</v>
      </c>
      <c r="C147" s="258">
        <v>0</v>
      </c>
      <c r="D147" s="258">
        <v>0</v>
      </c>
      <c r="E147" s="296">
        <v>0</v>
      </c>
      <c r="G147" s="258">
        <v>0</v>
      </c>
      <c r="H147" s="258">
        <v>0</v>
      </c>
      <c r="I147" s="258">
        <v>0</v>
      </c>
      <c r="J147" s="258">
        <v>0</v>
      </c>
      <c r="K147" s="258">
        <v>0</v>
      </c>
      <c r="L147" s="258">
        <v>0</v>
      </c>
      <c r="M147" s="257">
        <v>0</v>
      </c>
      <c r="N147" s="257">
        <v>0</v>
      </c>
      <c r="O147" s="257">
        <v>0</v>
      </c>
      <c r="P147" s="257">
        <v>0</v>
      </c>
      <c r="Q147" s="257">
        <v>0</v>
      </c>
      <c r="R147" s="257">
        <v>0</v>
      </c>
      <c r="S147" s="257">
        <v>0</v>
      </c>
      <c r="T147" s="257">
        <v>0</v>
      </c>
      <c r="U147" s="257">
        <v>0</v>
      </c>
      <c r="V147" s="257">
        <v>0</v>
      </c>
      <c r="W147" s="257">
        <v>0</v>
      </c>
      <c r="X147" s="257">
        <v>0</v>
      </c>
      <c r="Z147" s="257">
        <v>0</v>
      </c>
      <c r="AA147" s="257">
        <v>0</v>
      </c>
      <c r="AC147" s="258">
        <v>0</v>
      </c>
      <c r="AE147" s="258">
        <v>0</v>
      </c>
      <c r="AJ147" s="258">
        <v>0</v>
      </c>
      <c r="AQ147" s="258">
        <v>0</v>
      </c>
      <c r="AR147" s="258">
        <v>0</v>
      </c>
      <c r="AS147" s="258">
        <v>0</v>
      </c>
      <c r="AT147" s="258">
        <v>1</v>
      </c>
      <c r="AV147" s="258">
        <v>0</v>
      </c>
      <c r="AW147" s="296"/>
      <c r="AX147" s="258">
        <v>0</v>
      </c>
      <c r="AZ147" s="258">
        <v>0</v>
      </c>
      <c r="BB147" s="258">
        <v>0</v>
      </c>
      <c r="BC147" s="258">
        <v>0</v>
      </c>
      <c r="BD147" s="297" t="s">
        <v>622</v>
      </c>
      <c r="BF147" s="258">
        <v>0</v>
      </c>
      <c r="BG147" s="258">
        <v>0</v>
      </c>
      <c r="BO147" s="258">
        <v>0</v>
      </c>
      <c r="BP147" s="258">
        <v>0</v>
      </c>
      <c r="BW147" s="258">
        <v>0</v>
      </c>
      <c r="BX147" s="258">
        <v>0</v>
      </c>
      <c r="BZ147" s="258">
        <v>0</v>
      </c>
      <c r="CA147" s="258">
        <v>0</v>
      </c>
      <c r="CC147" s="325">
        <v>0</v>
      </c>
      <c r="CD147" s="258">
        <v>0</v>
      </c>
      <c r="CJ147" s="258">
        <v>0</v>
      </c>
      <c r="CK147" s="258">
        <v>0</v>
      </c>
      <c r="CQ147" s="325">
        <v>0</v>
      </c>
      <c r="CR147" s="258">
        <v>0</v>
      </c>
      <c r="CS147" s="258">
        <v>0</v>
      </c>
      <c r="CT147" s="258">
        <v>0</v>
      </c>
      <c r="CU147" s="258">
        <v>0</v>
      </c>
      <c r="CV147" s="258">
        <v>0</v>
      </c>
      <c r="CW147" s="258">
        <v>0</v>
      </c>
      <c r="DE147" s="258">
        <v>0</v>
      </c>
      <c r="DF147" s="298">
        <v>0</v>
      </c>
      <c r="DG147" s="258" t="s">
        <v>601</v>
      </c>
      <c r="DI147" s="258">
        <v>0</v>
      </c>
      <c r="DJ147" s="258">
        <v>0</v>
      </c>
      <c r="DK147" s="258">
        <v>0</v>
      </c>
      <c r="DL147" s="258">
        <v>0</v>
      </c>
      <c r="DN147" s="258"/>
      <c r="DO147" s="258"/>
      <c r="DP147" s="258"/>
      <c r="DQ147" s="258"/>
      <c r="DR147" s="258"/>
      <c r="DS147" s="258"/>
      <c r="DT147" s="258"/>
      <c r="DU147" s="258"/>
      <c r="DZ147" s="259">
        <v>0</v>
      </c>
      <c r="EA147" s="259">
        <v>0</v>
      </c>
      <c r="EB147" s="259">
        <v>0</v>
      </c>
      <c r="EC147" s="259">
        <v>0</v>
      </c>
      <c r="ED147" s="259">
        <v>0</v>
      </c>
      <c r="EE147" s="259">
        <v>0</v>
      </c>
    </row>
    <row r="148" spans="1:139">
      <c r="A148" s="295"/>
      <c r="B148" s="258" t="s">
        <v>625</v>
      </c>
      <c r="D148" s="258">
        <v>0</v>
      </c>
      <c r="H148" s="258">
        <v>0</v>
      </c>
      <c r="K148" s="258">
        <v>0</v>
      </c>
      <c r="AJ148" s="258">
        <v>0</v>
      </c>
      <c r="AQ148" s="258">
        <v>0</v>
      </c>
      <c r="AR148" s="258">
        <v>0</v>
      </c>
      <c r="AS148" s="258">
        <v>0</v>
      </c>
      <c r="AV148" s="258">
        <v>0</v>
      </c>
      <c r="AW148" s="296"/>
      <c r="BF148" s="258">
        <v>0</v>
      </c>
      <c r="BG148" s="258">
        <v>0</v>
      </c>
      <c r="BO148" s="258">
        <v>0</v>
      </c>
      <c r="BP148" s="258">
        <v>0</v>
      </c>
      <c r="BW148" s="258">
        <v>0</v>
      </c>
      <c r="BX148" s="258">
        <v>0</v>
      </c>
      <c r="BY148" s="258">
        <v>0</v>
      </c>
      <c r="BZ148" s="258">
        <v>0</v>
      </c>
      <c r="CA148" s="258">
        <v>0</v>
      </c>
      <c r="CC148" s="325">
        <v>0</v>
      </c>
      <c r="CD148" s="258">
        <v>0</v>
      </c>
      <c r="CQ148" s="325">
        <v>0</v>
      </c>
      <c r="CR148" s="258">
        <v>0</v>
      </c>
      <c r="CS148" s="258">
        <v>0</v>
      </c>
      <c r="CT148" s="258">
        <v>0</v>
      </c>
      <c r="CU148" s="258">
        <v>0</v>
      </c>
      <c r="CV148" s="258">
        <v>0</v>
      </c>
      <c r="CW148" s="258">
        <v>0</v>
      </c>
      <c r="DE148" s="258">
        <v>0</v>
      </c>
      <c r="DF148" s="298">
        <v>0</v>
      </c>
      <c r="DI148" s="258">
        <v>0</v>
      </c>
      <c r="DJ148" s="258">
        <v>0</v>
      </c>
      <c r="DK148" s="258">
        <v>0</v>
      </c>
      <c r="DL148" s="258">
        <v>0</v>
      </c>
      <c r="DN148" s="258"/>
      <c r="DO148" s="258"/>
      <c r="DP148" s="258"/>
      <c r="DQ148" s="258"/>
      <c r="DR148" s="258"/>
      <c r="DS148" s="258"/>
      <c r="DT148" s="258"/>
      <c r="DU148" s="258"/>
      <c r="DZ148" s="259">
        <v>0</v>
      </c>
      <c r="EA148" s="259">
        <v>0</v>
      </c>
      <c r="EB148" s="259">
        <v>0</v>
      </c>
      <c r="EC148" s="259">
        <v>0</v>
      </c>
      <c r="ED148" s="259">
        <v>0</v>
      </c>
      <c r="EE148" s="259">
        <v>0</v>
      </c>
    </row>
    <row r="149" spans="1:139" s="14" customFormat="1">
      <c r="A149" s="300">
        <v>0</v>
      </c>
      <c r="CC149" s="326"/>
      <c r="CQ149" s="326"/>
    </row>
    <row r="150" spans="1:139" ht="13.5" thickBot="1">
      <c r="H150" s="258">
        <v>0</v>
      </c>
      <c r="AW150" s="296"/>
    </row>
    <row r="151" spans="1:139">
      <c r="A151" s="302"/>
      <c r="B151" s="303" t="s">
        <v>626</v>
      </c>
      <c r="C151" s="304">
        <v>0</v>
      </c>
      <c r="D151" s="305">
        <v>184</v>
      </c>
      <c r="E151" s="305">
        <v>0</v>
      </c>
      <c r="F151" s="306">
        <v>0</v>
      </c>
      <c r="G151" s="305">
        <v>0</v>
      </c>
      <c r="H151" s="305">
        <v>0</v>
      </c>
      <c r="I151" s="305">
        <v>0</v>
      </c>
      <c r="J151" s="305">
        <v>0</v>
      </c>
      <c r="K151" s="305">
        <v>45</v>
      </c>
      <c r="L151" s="305">
        <v>0</v>
      </c>
      <c r="M151" s="305">
        <v>0</v>
      </c>
      <c r="N151" s="305">
        <v>0</v>
      </c>
      <c r="O151" s="305">
        <v>0</v>
      </c>
      <c r="P151" s="305">
        <v>0</v>
      </c>
      <c r="Q151" s="305">
        <v>0</v>
      </c>
      <c r="R151" s="305">
        <v>0</v>
      </c>
      <c r="S151" s="305">
        <v>0</v>
      </c>
      <c r="T151" s="305">
        <v>0</v>
      </c>
      <c r="U151" s="305">
        <v>0</v>
      </c>
      <c r="V151" s="305">
        <v>0</v>
      </c>
      <c r="W151" s="305">
        <v>0</v>
      </c>
      <c r="X151" s="305">
        <v>497</v>
      </c>
      <c r="Y151" s="305">
        <v>0</v>
      </c>
      <c r="Z151" s="305">
        <v>0</v>
      </c>
      <c r="AA151" s="305">
        <v>0</v>
      </c>
      <c r="AB151" s="305">
        <v>0</v>
      </c>
      <c r="AC151" s="305">
        <v>0</v>
      </c>
      <c r="AD151" s="305">
        <v>0</v>
      </c>
      <c r="AE151" s="305">
        <v>120</v>
      </c>
      <c r="AF151" s="305">
        <v>629.23157894736846</v>
      </c>
      <c r="AG151" s="305">
        <v>252105</v>
      </c>
      <c r="AH151" s="305">
        <v>83.023736913653323</v>
      </c>
      <c r="AI151" s="305">
        <v>0</v>
      </c>
      <c r="AJ151" s="305">
        <v>0</v>
      </c>
      <c r="AK151" s="305">
        <v>0</v>
      </c>
      <c r="AL151" s="305">
        <v>0</v>
      </c>
      <c r="AM151" s="305">
        <v>0</v>
      </c>
      <c r="AN151" s="305">
        <v>0</v>
      </c>
      <c r="AO151" s="305">
        <v>0</v>
      </c>
      <c r="AP151" s="305">
        <v>0</v>
      </c>
      <c r="AQ151" s="305">
        <v>0</v>
      </c>
      <c r="AR151" s="305">
        <v>0</v>
      </c>
      <c r="AS151" s="305">
        <v>0</v>
      </c>
      <c r="AT151" s="305">
        <v>4</v>
      </c>
      <c r="AU151" s="305">
        <v>0</v>
      </c>
      <c r="AV151" s="305">
        <v>0</v>
      </c>
      <c r="AW151" s="305">
        <v>0</v>
      </c>
      <c r="AX151" s="305">
        <v>0</v>
      </c>
      <c r="AY151" s="305">
        <v>0</v>
      </c>
      <c r="AZ151" s="305">
        <v>0</v>
      </c>
      <c r="BA151" s="305">
        <v>0</v>
      </c>
      <c r="BB151" s="305">
        <v>0</v>
      </c>
      <c r="BC151" s="305">
        <v>0</v>
      </c>
      <c r="BD151" s="305">
        <v>0</v>
      </c>
      <c r="BE151" s="305">
        <v>0</v>
      </c>
      <c r="BF151" s="305">
        <v>298.2</v>
      </c>
      <c r="BG151" s="305">
        <v>73</v>
      </c>
      <c r="BH151" s="305">
        <v>0</v>
      </c>
      <c r="BI151" s="305">
        <v>0</v>
      </c>
      <c r="BJ151" s="305">
        <v>0</v>
      </c>
      <c r="BK151" s="305">
        <v>0</v>
      </c>
      <c r="BL151" s="305">
        <v>0</v>
      </c>
      <c r="BM151" s="305">
        <v>0</v>
      </c>
      <c r="BN151" s="305">
        <v>0</v>
      </c>
      <c r="BO151" s="305">
        <v>0</v>
      </c>
      <c r="BP151" s="305">
        <v>0</v>
      </c>
      <c r="BQ151" s="305">
        <v>0</v>
      </c>
      <c r="BR151" s="305">
        <v>0</v>
      </c>
      <c r="BS151" s="305">
        <v>0</v>
      </c>
      <c r="BT151" s="305">
        <v>0</v>
      </c>
      <c r="BU151" s="305">
        <v>0</v>
      </c>
      <c r="BV151" s="305">
        <v>0</v>
      </c>
      <c r="BW151" s="305">
        <v>0</v>
      </c>
      <c r="BX151" s="305">
        <v>0</v>
      </c>
      <c r="BY151" s="305">
        <v>9123</v>
      </c>
      <c r="BZ151" s="305">
        <v>3500</v>
      </c>
      <c r="CA151" s="305">
        <v>23423.973523327262</v>
      </c>
      <c r="CB151" s="305">
        <v>0</v>
      </c>
      <c r="CC151" s="327">
        <v>2074.64</v>
      </c>
      <c r="CD151" s="305">
        <v>0</v>
      </c>
      <c r="CE151" s="305">
        <v>0</v>
      </c>
      <c r="CF151" s="305">
        <v>0</v>
      </c>
      <c r="CG151" s="305">
        <v>0</v>
      </c>
      <c r="CH151" s="305">
        <v>0</v>
      </c>
      <c r="CI151" s="305">
        <v>0</v>
      </c>
      <c r="CJ151" s="305">
        <v>0</v>
      </c>
      <c r="CK151" s="305">
        <v>0</v>
      </c>
      <c r="CL151" s="305">
        <v>0</v>
      </c>
      <c r="CM151" s="305">
        <v>0</v>
      </c>
      <c r="CN151" s="305">
        <v>0</v>
      </c>
      <c r="CO151" s="305">
        <v>0</v>
      </c>
      <c r="CP151" s="305">
        <v>0</v>
      </c>
      <c r="CQ151" s="327">
        <v>298.2</v>
      </c>
      <c r="CR151" s="305">
        <v>55.2</v>
      </c>
      <c r="CS151" s="305">
        <v>0</v>
      </c>
      <c r="CT151" s="305">
        <v>184</v>
      </c>
      <c r="CU151" s="305">
        <v>0</v>
      </c>
      <c r="CV151" s="305">
        <v>0</v>
      </c>
      <c r="CW151" s="305">
        <v>0</v>
      </c>
      <c r="CX151" s="305">
        <v>0</v>
      </c>
      <c r="CY151" s="305">
        <v>0</v>
      </c>
      <c r="CZ151" s="305">
        <v>0</v>
      </c>
      <c r="DA151" s="305">
        <v>0</v>
      </c>
      <c r="DB151" s="305">
        <v>0</v>
      </c>
      <c r="DC151" s="305">
        <v>0</v>
      </c>
      <c r="DD151" s="305">
        <v>0</v>
      </c>
      <c r="DE151" s="305">
        <v>0</v>
      </c>
      <c r="DF151" s="305">
        <v>0</v>
      </c>
      <c r="DG151" s="305">
        <v>0</v>
      </c>
      <c r="DH151" s="305">
        <v>4</v>
      </c>
      <c r="DI151" s="305">
        <v>0</v>
      </c>
      <c r="DJ151" s="305">
        <v>41.05263157894737</v>
      </c>
      <c r="DK151" s="305">
        <v>45.473684210526315</v>
      </c>
      <c r="DL151" s="305">
        <v>33.473684210526315</v>
      </c>
      <c r="DM151" s="305">
        <v>94185</v>
      </c>
      <c r="DN151" s="305">
        <v>79056</v>
      </c>
      <c r="DO151" s="305">
        <v>78864</v>
      </c>
      <c r="DP151" s="305">
        <v>234.68421052631578</v>
      </c>
      <c r="DQ151" s="305">
        <v>197.05263157894737</v>
      </c>
      <c r="DR151" s="305">
        <v>197.49473684210523</v>
      </c>
      <c r="DS151" s="305">
        <v>31.066418686136871</v>
      </c>
      <c r="DT151" s="305">
        <v>25.984785396044195</v>
      </c>
      <c r="DU151" s="305">
        <v>25.97253283147225</v>
      </c>
      <c r="DV151" s="305">
        <v>0</v>
      </c>
      <c r="DW151" s="305">
        <v>0</v>
      </c>
      <c r="DX151" s="305">
        <v>0</v>
      </c>
      <c r="DY151" s="305">
        <v>0</v>
      </c>
      <c r="DZ151" s="305">
        <v>0</v>
      </c>
      <c r="EA151" s="305">
        <v>0</v>
      </c>
      <c r="EB151" s="305">
        <v>12</v>
      </c>
      <c r="EC151" s="305">
        <v>20</v>
      </c>
      <c r="ED151" s="305">
        <v>3</v>
      </c>
      <c r="EE151" s="305">
        <v>8</v>
      </c>
      <c r="EF151" s="305">
        <v>0</v>
      </c>
      <c r="EG151" s="305">
        <v>0</v>
      </c>
      <c r="EH151" s="305">
        <v>0</v>
      </c>
      <c r="EI151" s="305">
        <v>0</v>
      </c>
    </row>
    <row r="152" spans="1:139">
      <c r="A152" s="307"/>
      <c r="B152" s="308" t="s">
        <v>627</v>
      </c>
      <c r="C152" s="309">
        <v>5322</v>
      </c>
      <c r="D152" s="262">
        <v>27547</v>
      </c>
      <c r="E152" s="262">
        <v>2</v>
      </c>
      <c r="F152" s="259">
        <v>689</v>
      </c>
      <c r="G152" s="262">
        <v>3513740.0345375743</v>
      </c>
      <c r="H152" s="262">
        <v>6403.1713111111667</v>
      </c>
      <c r="I152" s="262">
        <v>1863177.1466111112</v>
      </c>
      <c r="J152" s="262">
        <v>0</v>
      </c>
      <c r="K152" s="262">
        <v>10521.252684323548</v>
      </c>
      <c r="L152" s="262">
        <v>0</v>
      </c>
      <c r="M152" s="262">
        <v>3881</v>
      </c>
      <c r="N152" s="262">
        <v>3834</v>
      </c>
      <c r="O152" s="262">
        <v>3622</v>
      </c>
      <c r="P152" s="262">
        <v>3546</v>
      </c>
      <c r="Q152" s="262">
        <v>3405</v>
      </c>
      <c r="R152" s="262">
        <v>3353</v>
      </c>
      <c r="S152" s="262">
        <v>0</v>
      </c>
      <c r="T152" s="262">
        <v>0</v>
      </c>
      <c r="U152" s="262">
        <v>0</v>
      </c>
      <c r="V152" s="262">
        <v>0</v>
      </c>
      <c r="W152" s="262">
        <v>0</v>
      </c>
      <c r="X152" s="262">
        <v>2874</v>
      </c>
      <c r="Y152" s="262">
        <v>0</v>
      </c>
      <c r="Z152" s="262">
        <v>4042</v>
      </c>
      <c r="AA152" s="262">
        <v>0</v>
      </c>
      <c r="AB152" s="262">
        <v>0</v>
      </c>
      <c r="AC152" s="262">
        <v>0</v>
      </c>
      <c r="AD152" s="262">
        <v>0</v>
      </c>
      <c r="AE152" s="262">
        <v>1567.3315789473684</v>
      </c>
      <c r="AF152" s="262">
        <v>3907.7631578947357</v>
      </c>
      <c r="AG152" s="262">
        <v>1537728</v>
      </c>
      <c r="AH152" s="262">
        <v>739.02181978996373</v>
      </c>
      <c r="AI152" s="262">
        <v>-24706</v>
      </c>
      <c r="AJ152" s="262">
        <v>5322</v>
      </c>
      <c r="AK152" s="262">
        <v>0</v>
      </c>
      <c r="AL152" s="262">
        <v>0</v>
      </c>
      <c r="AM152" s="262">
        <v>0</v>
      </c>
      <c r="AN152" s="262">
        <v>19</v>
      </c>
      <c r="AO152" s="262">
        <v>342592.74</v>
      </c>
      <c r="AP152" s="262">
        <v>0</v>
      </c>
      <c r="AQ152" s="262">
        <v>7232</v>
      </c>
      <c r="AR152" s="262">
        <v>20</v>
      </c>
      <c r="AS152" s="262">
        <v>18</v>
      </c>
      <c r="AT152" s="262">
        <v>89</v>
      </c>
      <c r="AU152" s="262">
        <v>0</v>
      </c>
      <c r="AV152" s="262">
        <v>95</v>
      </c>
      <c r="AW152" s="262">
        <v>0</v>
      </c>
      <c r="AX152" s="262">
        <v>6</v>
      </c>
      <c r="AY152" s="262">
        <v>0</v>
      </c>
      <c r="AZ152" s="262">
        <v>8</v>
      </c>
      <c r="BA152" s="262">
        <v>0</v>
      </c>
      <c r="BB152" s="262">
        <v>2</v>
      </c>
      <c r="BC152" s="262">
        <v>0</v>
      </c>
      <c r="BD152" s="262">
        <v>0</v>
      </c>
      <c r="BE152" s="262">
        <v>0</v>
      </c>
      <c r="BF152" s="262">
        <v>17914.400000000001</v>
      </c>
      <c r="BG152" s="262">
        <v>8508</v>
      </c>
      <c r="BH152" s="262">
        <v>0</v>
      </c>
      <c r="BI152" s="262">
        <v>0</v>
      </c>
      <c r="BJ152" s="262">
        <v>0</v>
      </c>
      <c r="BK152" s="262">
        <v>0</v>
      </c>
      <c r="BL152" s="262">
        <v>0</v>
      </c>
      <c r="BM152" s="262">
        <v>0</v>
      </c>
      <c r="BN152" s="262">
        <v>0</v>
      </c>
      <c r="BO152" s="262">
        <v>29</v>
      </c>
      <c r="BP152" s="262">
        <v>1267431.5418662969</v>
      </c>
      <c r="BQ152" s="262">
        <v>0</v>
      </c>
      <c r="BR152" s="262">
        <v>0</v>
      </c>
      <c r="BS152" s="262">
        <v>0</v>
      </c>
      <c r="BT152" s="262">
        <v>0</v>
      </c>
      <c r="BU152" s="262">
        <v>0</v>
      </c>
      <c r="BV152" s="262">
        <v>0</v>
      </c>
      <c r="BW152" s="262">
        <v>16824</v>
      </c>
      <c r="BX152" s="262">
        <v>64352.68</v>
      </c>
      <c r="BY152" s="262">
        <v>981623</v>
      </c>
      <c r="BZ152" s="262">
        <v>316865</v>
      </c>
      <c r="CA152" s="262">
        <v>873118.49071137619</v>
      </c>
      <c r="CB152" s="262">
        <v>0</v>
      </c>
      <c r="CC152" s="328">
        <v>170823</v>
      </c>
      <c r="CD152" s="262">
        <v>9</v>
      </c>
      <c r="CE152" s="262">
        <v>0</v>
      </c>
      <c r="CF152" s="262">
        <v>0</v>
      </c>
      <c r="CG152" s="262">
        <v>0</v>
      </c>
      <c r="CH152" s="262">
        <v>0</v>
      </c>
      <c r="CI152" s="262">
        <v>0</v>
      </c>
      <c r="CJ152" s="262">
        <v>0</v>
      </c>
      <c r="CK152" s="262">
        <v>0</v>
      </c>
      <c r="CL152" s="262">
        <v>0</v>
      </c>
      <c r="CM152" s="262">
        <v>0</v>
      </c>
      <c r="CN152" s="262">
        <v>-22668</v>
      </c>
      <c r="CO152" s="262">
        <v>0</v>
      </c>
      <c r="CP152" s="262">
        <v>0</v>
      </c>
      <c r="CQ152" s="328">
        <v>27407.4</v>
      </c>
      <c r="CR152" s="262">
        <v>5412</v>
      </c>
      <c r="CS152" s="262">
        <v>799.07111111111146</v>
      </c>
      <c r="CT152" s="262">
        <v>27366</v>
      </c>
      <c r="CU152" s="262">
        <v>0</v>
      </c>
      <c r="CV152" s="262">
        <v>0</v>
      </c>
      <c r="CW152" s="262">
        <v>0</v>
      </c>
      <c r="CX152" s="262">
        <v>60</v>
      </c>
      <c r="CY152" s="262">
        <v>11</v>
      </c>
      <c r="CZ152" s="262">
        <v>0</v>
      </c>
      <c r="DA152" s="262">
        <v>0</v>
      </c>
      <c r="DB152" s="262">
        <v>0</v>
      </c>
      <c r="DC152" s="262">
        <v>0</v>
      </c>
      <c r="DD152" s="262">
        <v>0</v>
      </c>
      <c r="DE152" s="262">
        <v>25683</v>
      </c>
      <c r="DF152" s="262">
        <v>0</v>
      </c>
      <c r="DG152" s="262">
        <v>0</v>
      </c>
      <c r="DH152" s="262">
        <v>87</v>
      </c>
      <c r="DI152" s="262">
        <v>1741.2840874481067</v>
      </c>
      <c r="DJ152" s="262">
        <v>540.1842105263155</v>
      </c>
      <c r="DK152" s="262">
        <v>585.85263157894701</v>
      </c>
      <c r="DL152" s="262">
        <v>441.29473684210495</v>
      </c>
      <c r="DM152" s="262">
        <v>571350</v>
      </c>
      <c r="DN152" s="262">
        <v>513864</v>
      </c>
      <c r="DO152" s="262">
        <v>452514</v>
      </c>
      <c r="DP152" s="262">
        <v>1449.1578947368423</v>
      </c>
      <c r="DQ152" s="262">
        <v>1308.5052631578947</v>
      </c>
      <c r="DR152" s="262">
        <v>1150.0999999999999</v>
      </c>
      <c r="DS152" s="262">
        <v>275.58431422318205</v>
      </c>
      <c r="DT152" s="262">
        <v>245.70827547225616</v>
      </c>
      <c r="DU152" s="262">
        <v>217.72923009452541</v>
      </c>
      <c r="DV152" s="262">
        <v>0</v>
      </c>
      <c r="DW152" s="262">
        <v>0</v>
      </c>
      <c r="DX152" s="262">
        <v>0</v>
      </c>
      <c r="DY152" s="262">
        <v>0</v>
      </c>
      <c r="DZ152" s="262">
        <v>2374</v>
      </c>
      <c r="EA152" s="262">
        <v>21462</v>
      </c>
      <c r="EB152" s="262">
        <v>1534</v>
      </c>
      <c r="EC152" s="262">
        <v>2276</v>
      </c>
      <c r="ED152" s="262">
        <v>348</v>
      </c>
      <c r="EE152" s="262">
        <v>613</v>
      </c>
      <c r="EF152" s="262">
        <v>866</v>
      </c>
      <c r="EG152" s="262">
        <v>2296</v>
      </c>
      <c r="EH152" s="262">
        <v>2392</v>
      </c>
      <c r="EI152" s="262">
        <v>5125</v>
      </c>
    </row>
    <row r="153" spans="1:139">
      <c r="A153" s="307"/>
      <c r="B153" s="308" t="s">
        <v>628</v>
      </c>
      <c r="C153" s="309">
        <v>2631</v>
      </c>
      <c r="D153" s="262">
        <v>5875</v>
      </c>
      <c r="E153" s="262">
        <v>0</v>
      </c>
      <c r="F153" s="259">
        <v>561</v>
      </c>
      <c r="G153" s="262">
        <v>2768.6531163670525</v>
      </c>
      <c r="H153" s="262">
        <v>4005.1755877408445</v>
      </c>
      <c r="I153" s="262">
        <v>2233507.1677476191</v>
      </c>
      <c r="J153" s="262">
        <v>0</v>
      </c>
      <c r="K153" s="262">
        <v>7286.8377069911712</v>
      </c>
      <c r="L153" s="262">
        <v>0</v>
      </c>
      <c r="M153" s="262">
        <v>0</v>
      </c>
      <c r="N153" s="262">
        <v>0</v>
      </c>
      <c r="O153" s="262">
        <v>0</v>
      </c>
      <c r="P153" s="262">
        <v>0</v>
      </c>
      <c r="Q153" s="262">
        <v>0</v>
      </c>
      <c r="R153" s="262">
        <v>0</v>
      </c>
      <c r="S153" s="262">
        <v>3217</v>
      </c>
      <c r="T153" s="262">
        <v>3166</v>
      </c>
      <c r="U153" s="262">
        <v>3064</v>
      </c>
      <c r="V153" s="262">
        <v>3142</v>
      </c>
      <c r="W153" s="262">
        <v>3164</v>
      </c>
      <c r="X153" s="262">
        <v>0</v>
      </c>
      <c r="Y153" s="262">
        <v>0</v>
      </c>
      <c r="Z153" s="262">
        <v>0</v>
      </c>
      <c r="AA153" s="262">
        <v>0</v>
      </c>
      <c r="AB153" s="262">
        <v>0</v>
      </c>
      <c r="AC153" s="262">
        <v>0</v>
      </c>
      <c r="AD153" s="262">
        <v>0</v>
      </c>
      <c r="AE153" s="262">
        <v>0</v>
      </c>
      <c r="AF153" s="262">
        <v>0</v>
      </c>
      <c r="AG153" s="262">
        <v>0</v>
      </c>
      <c r="AH153" s="262">
        <v>0</v>
      </c>
      <c r="AI153" s="262">
        <v>0</v>
      </c>
      <c r="AJ153" s="262">
        <v>2631</v>
      </c>
      <c r="AK153" s="262">
        <v>0</v>
      </c>
      <c r="AL153" s="262">
        <v>0</v>
      </c>
      <c r="AM153" s="262">
        <v>0</v>
      </c>
      <c r="AN153" s="262">
        <v>0</v>
      </c>
      <c r="AO153" s="262">
        <v>0</v>
      </c>
      <c r="AP153" s="262">
        <v>0</v>
      </c>
      <c r="AQ153" s="262">
        <v>4478</v>
      </c>
      <c r="AR153" s="262">
        <v>30</v>
      </c>
      <c r="AS153" s="262">
        <v>9</v>
      </c>
      <c r="AT153" s="262">
        <v>32.6</v>
      </c>
      <c r="AU153" s="262">
        <v>0</v>
      </c>
      <c r="AV153" s="262">
        <v>145</v>
      </c>
      <c r="AW153" s="262">
        <v>0</v>
      </c>
      <c r="AX153" s="262">
        <v>0</v>
      </c>
      <c r="AY153" s="262">
        <v>0</v>
      </c>
      <c r="AZ153" s="262">
        <v>0</v>
      </c>
      <c r="BA153" s="262">
        <v>0</v>
      </c>
      <c r="BB153" s="262">
        <v>3</v>
      </c>
      <c r="BC153" s="262">
        <v>2.6</v>
      </c>
      <c r="BD153" s="262">
        <v>0</v>
      </c>
      <c r="BE153" s="262">
        <v>0</v>
      </c>
      <c r="BF153" s="262">
        <v>1940</v>
      </c>
      <c r="BG153" s="262">
        <v>5158</v>
      </c>
      <c r="BH153" s="262">
        <v>0</v>
      </c>
      <c r="BI153" s="262">
        <v>0</v>
      </c>
      <c r="BJ153" s="262">
        <v>0</v>
      </c>
      <c r="BK153" s="262">
        <v>0</v>
      </c>
      <c r="BL153" s="262">
        <v>0</v>
      </c>
      <c r="BM153" s="262">
        <v>0</v>
      </c>
      <c r="BN153" s="262">
        <v>0</v>
      </c>
      <c r="BO153" s="262">
        <v>15</v>
      </c>
      <c r="BP153" s="262">
        <v>724273.20813370356</v>
      </c>
      <c r="BQ153" s="262">
        <v>0</v>
      </c>
      <c r="BR153" s="262">
        <v>0</v>
      </c>
      <c r="BS153" s="262">
        <v>0</v>
      </c>
      <c r="BT153" s="262">
        <v>0</v>
      </c>
      <c r="BU153" s="262">
        <v>0</v>
      </c>
      <c r="BV153" s="262">
        <v>0</v>
      </c>
      <c r="BW153" s="262">
        <v>0</v>
      </c>
      <c r="BX153" s="262">
        <v>23505.82</v>
      </c>
      <c r="BY153" s="262">
        <v>940943</v>
      </c>
      <c r="BZ153" s="262">
        <v>133081</v>
      </c>
      <c r="CA153" s="262">
        <v>109940</v>
      </c>
      <c r="CB153" s="262">
        <v>0</v>
      </c>
      <c r="CC153" s="328">
        <v>197930.59</v>
      </c>
      <c r="CD153" s="262">
        <v>2</v>
      </c>
      <c r="CE153" s="262">
        <v>0</v>
      </c>
      <c r="CF153" s="262">
        <v>0</v>
      </c>
      <c r="CG153" s="262">
        <v>8619943.333333334</v>
      </c>
      <c r="CH153" s="262">
        <v>0</v>
      </c>
      <c r="CI153" s="262">
        <v>0</v>
      </c>
      <c r="CJ153" s="262">
        <v>0</v>
      </c>
      <c r="CK153" s="262">
        <v>0</v>
      </c>
      <c r="CL153" s="262">
        <v>0</v>
      </c>
      <c r="CM153" s="262">
        <v>0</v>
      </c>
      <c r="CN153" s="262">
        <v>0</v>
      </c>
      <c r="CO153" s="262">
        <v>0</v>
      </c>
      <c r="CP153" s="262">
        <v>0</v>
      </c>
      <c r="CQ153" s="328">
        <v>20019</v>
      </c>
      <c r="CR153" s="262">
        <v>3036</v>
      </c>
      <c r="CS153" s="262">
        <v>952.74666666666667</v>
      </c>
      <c r="CT153" s="262">
        <v>5698</v>
      </c>
      <c r="CU153" s="262">
        <v>2408</v>
      </c>
      <c r="CV153" s="262">
        <v>1826</v>
      </c>
      <c r="CW153" s="262">
        <v>32</v>
      </c>
      <c r="CX153" s="262">
        <v>935</v>
      </c>
      <c r="CY153" s="262">
        <v>0</v>
      </c>
      <c r="CZ153" s="262">
        <v>6</v>
      </c>
      <c r="DA153" s="262">
        <v>0</v>
      </c>
      <c r="DB153" s="262">
        <v>0</v>
      </c>
      <c r="DC153" s="262">
        <v>0</v>
      </c>
      <c r="DD153" s="262">
        <v>0</v>
      </c>
      <c r="DE153" s="262">
        <v>15753</v>
      </c>
      <c r="DF153" s="262">
        <v>4.0496488027888997</v>
      </c>
      <c r="DG153" s="262">
        <v>0</v>
      </c>
      <c r="DH153" s="262">
        <v>20</v>
      </c>
      <c r="DI153" s="262">
        <v>337.43744788832396</v>
      </c>
      <c r="DJ153" s="262">
        <v>0</v>
      </c>
      <c r="DK153" s="262">
        <v>0</v>
      </c>
      <c r="DL153" s="262">
        <v>0</v>
      </c>
      <c r="DM153" s="262">
        <v>0</v>
      </c>
      <c r="DN153" s="262">
        <v>0</v>
      </c>
      <c r="DO153" s="262">
        <v>0</v>
      </c>
      <c r="DP153" s="262">
        <v>0</v>
      </c>
      <c r="DQ153" s="262">
        <v>0</v>
      </c>
      <c r="DR153" s="262">
        <v>0</v>
      </c>
      <c r="DS153" s="262">
        <v>0</v>
      </c>
      <c r="DT153" s="262">
        <v>0</v>
      </c>
      <c r="DU153" s="262">
        <v>0</v>
      </c>
      <c r="DV153" s="262">
        <v>0</v>
      </c>
      <c r="DW153" s="262">
        <v>0</v>
      </c>
      <c r="DX153" s="262">
        <v>0</v>
      </c>
      <c r="DY153" s="262">
        <v>5</v>
      </c>
      <c r="DZ153" s="262">
        <v>1051</v>
      </c>
      <c r="EA153" s="262">
        <v>15757</v>
      </c>
      <c r="EB153" s="262">
        <v>842</v>
      </c>
      <c r="EC153" s="262">
        <v>1871</v>
      </c>
      <c r="ED153" s="262">
        <v>148</v>
      </c>
      <c r="EE153" s="262">
        <v>412</v>
      </c>
      <c r="EF153" s="262">
        <v>106</v>
      </c>
      <c r="EG153" s="262">
        <v>492</v>
      </c>
      <c r="EH153" s="262">
        <v>1176</v>
      </c>
      <c r="EI153" s="262">
        <v>4421</v>
      </c>
    </row>
    <row r="154" spans="1:139">
      <c r="A154" s="307"/>
      <c r="B154" s="308" t="s">
        <v>629</v>
      </c>
      <c r="C154" s="309">
        <v>100</v>
      </c>
      <c r="D154" s="262">
        <v>186</v>
      </c>
      <c r="E154" s="262">
        <v>0</v>
      </c>
      <c r="F154" s="259">
        <v>0</v>
      </c>
      <c r="G154" s="262">
        <v>0</v>
      </c>
      <c r="H154" s="262">
        <v>74.377140259149826</v>
      </c>
      <c r="I154" s="262">
        <v>0</v>
      </c>
      <c r="J154" s="262">
        <v>0</v>
      </c>
      <c r="K154" s="262">
        <v>0</v>
      </c>
      <c r="L154" s="262">
        <v>0</v>
      </c>
      <c r="M154" s="262">
        <v>24</v>
      </c>
      <c r="N154" s="262">
        <v>20</v>
      </c>
      <c r="O154" s="262">
        <v>19</v>
      </c>
      <c r="P154" s="262">
        <v>19</v>
      </c>
      <c r="Q154" s="262">
        <v>21</v>
      </c>
      <c r="R154" s="262">
        <v>22</v>
      </c>
      <c r="S154" s="262">
        <v>25</v>
      </c>
      <c r="T154" s="262">
        <v>17</v>
      </c>
      <c r="U154" s="262">
        <v>22</v>
      </c>
      <c r="V154" s="262">
        <v>24</v>
      </c>
      <c r="W154" s="262">
        <v>20</v>
      </c>
      <c r="X154" s="262">
        <v>42</v>
      </c>
      <c r="Y154" s="262">
        <v>0</v>
      </c>
      <c r="Z154" s="262">
        <v>22</v>
      </c>
      <c r="AA154" s="262">
        <v>414</v>
      </c>
      <c r="AB154" s="262">
        <v>0</v>
      </c>
      <c r="AC154" s="262">
        <v>0</v>
      </c>
      <c r="AD154" s="262">
        <v>0</v>
      </c>
      <c r="AE154" s="262">
        <v>0</v>
      </c>
      <c r="AF154" s="262">
        <v>0</v>
      </c>
      <c r="AG154" s="262">
        <v>0</v>
      </c>
      <c r="AH154" s="262">
        <v>0</v>
      </c>
      <c r="AI154" s="262">
        <v>0</v>
      </c>
      <c r="AJ154" s="262">
        <v>122</v>
      </c>
      <c r="AK154" s="262">
        <v>0</v>
      </c>
      <c r="AL154" s="262">
        <v>0</v>
      </c>
      <c r="AM154" s="262">
        <v>0</v>
      </c>
      <c r="AN154" s="262">
        <v>0</v>
      </c>
      <c r="AO154" s="262">
        <v>0</v>
      </c>
      <c r="AP154" s="262">
        <v>0</v>
      </c>
      <c r="AQ154" s="262">
        <v>141</v>
      </c>
      <c r="AR154" s="262">
        <v>0</v>
      </c>
      <c r="AS154" s="262">
        <v>0</v>
      </c>
      <c r="AT154" s="262">
        <v>4</v>
      </c>
      <c r="AU154" s="262">
        <v>0</v>
      </c>
      <c r="AV154" s="262">
        <v>1</v>
      </c>
      <c r="AW154" s="262">
        <v>0</v>
      </c>
      <c r="AX154" s="262">
        <v>0</v>
      </c>
      <c r="AY154" s="262">
        <v>0</v>
      </c>
      <c r="AZ154" s="262">
        <v>0</v>
      </c>
      <c r="BA154" s="262">
        <v>0</v>
      </c>
      <c r="BB154" s="262">
        <v>0</v>
      </c>
      <c r="BC154" s="262">
        <v>0</v>
      </c>
      <c r="BD154" s="262">
        <v>0</v>
      </c>
      <c r="BE154" s="262">
        <v>0</v>
      </c>
      <c r="BF154" s="262">
        <v>397.2</v>
      </c>
      <c r="BG154" s="262">
        <v>206</v>
      </c>
      <c r="BH154" s="262">
        <v>0</v>
      </c>
      <c r="BI154" s="262">
        <v>0</v>
      </c>
      <c r="BJ154" s="262">
        <v>0</v>
      </c>
      <c r="BK154" s="262">
        <v>0</v>
      </c>
      <c r="BL154" s="262">
        <v>0</v>
      </c>
      <c r="BM154" s="262">
        <v>0</v>
      </c>
      <c r="BN154" s="262">
        <v>0</v>
      </c>
      <c r="BO154" s="262">
        <v>0</v>
      </c>
      <c r="BP154" s="262">
        <v>0</v>
      </c>
      <c r="BQ154" s="262">
        <v>0</v>
      </c>
      <c r="BR154" s="262">
        <v>0</v>
      </c>
      <c r="BS154" s="262">
        <v>0</v>
      </c>
      <c r="BT154" s="262">
        <v>0</v>
      </c>
      <c r="BU154" s="262">
        <v>0</v>
      </c>
      <c r="BV154" s="262">
        <v>0</v>
      </c>
      <c r="BW154" s="262">
        <v>0</v>
      </c>
      <c r="BX154" s="262">
        <v>3162.27</v>
      </c>
      <c r="BY154" s="262">
        <v>42120.774937913906</v>
      </c>
      <c r="BZ154" s="262">
        <v>16651</v>
      </c>
      <c r="CA154" s="262">
        <v>0</v>
      </c>
      <c r="CB154" s="262">
        <v>0</v>
      </c>
      <c r="CC154" s="328">
        <v>9279</v>
      </c>
      <c r="CD154" s="262">
        <v>4</v>
      </c>
      <c r="CE154" s="262">
        <v>0</v>
      </c>
      <c r="CF154" s="262">
        <v>0</v>
      </c>
      <c r="CG154" s="262">
        <v>0</v>
      </c>
      <c r="CH154" s="262">
        <v>0</v>
      </c>
      <c r="CI154" s="262">
        <v>0</v>
      </c>
      <c r="CJ154" s="262">
        <v>786267.03993265145</v>
      </c>
      <c r="CK154" s="262">
        <v>6273993.0076949075</v>
      </c>
      <c r="CL154" s="262">
        <v>0</v>
      </c>
      <c r="CM154" s="262">
        <v>0</v>
      </c>
      <c r="CN154" s="262">
        <v>0</v>
      </c>
      <c r="CO154" s="262">
        <v>0</v>
      </c>
      <c r="CP154" s="262">
        <v>0</v>
      </c>
      <c r="CQ154" s="328">
        <v>397.2</v>
      </c>
      <c r="CR154" s="262">
        <v>122</v>
      </c>
      <c r="CS154" s="262">
        <v>0</v>
      </c>
      <c r="CT154" s="262">
        <v>186</v>
      </c>
      <c r="CU154" s="262">
        <v>18</v>
      </c>
      <c r="CV154" s="262">
        <v>37</v>
      </c>
      <c r="CW154" s="262">
        <v>21</v>
      </c>
      <c r="CX154" s="262">
        <v>0</v>
      </c>
      <c r="CY154" s="262">
        <v>0</v>
      </c>
      <c r="CZ154" s="262">
        <v>0</v>
      </c>
      <c r="DA154" s="262">
        <v>0</v>
      </c>
      <c r="DB154" s="262">
        <v>0</v>
      </c>
      <c r="DC154" s="262">
        <v>0</v>
      </c>
      <c r="DD154" s="262">
        <v>0</v>
      </c>
      <c r="DE154" s="262">
        <v>255</v>
      </c>
      <c r="DF154" s="262">
        <v>0.64090909090909087</v>
      </c>
      <c r="DG154" s="262">
        <v>0</v>
      </c>
      <c r="DH154" s="262">
        <v>6.8514901960600003</v>
      </c>
      <c r="DI154" s="262">
        <v>133.01326741807071</v>
      </c>
      <c r="DJ154" s="262">
        <v>0</v>
      </c>
      <c r="DK154" s="262">
        <v>0</v>
      </c>
      <c r="DL154" s="262">
        <v>0</v>
      </c>
      <c r="DM154" s="262">
        <v>0</v>
      </c>
      <c r="DN154" s="262">
        <v>0</v>
      </c>
      <c r="DO154" s="262">
        <v>0</v>
      </c>
      <c r="DP154" s="262">
        <v>0</v>
      </c>
      <c r="DQ154" s="262">
        <v>0</v>
      </c>
      <c r="DR154" s="262">
        <v>0</v>
      </c>
      <c r="DS154" s="262">
        <v>0</v>
      </c>
      <c r="DT154" s="262">
        <v>0</v>
      </c>
      <c r="DU154" s="262">
        <v>0</v>
      </c>
      <c r="DV154" s="262">
        <v>0</v>
      </c>
      <c r="DW154" s="262">
        <v>0</v>
      </c>
      <c r="DX154" s="262">
        <v>0</v>
      </c>
      <c r="DY154" s="262">
        <v>0</v>
      </c>
      <c r="DZ154" s="262">
        <v>0</v>
      </c>
      <c r="EA154" s="262">
        <v>0</v>
      </c>
      <c r="EB154" s="262">
        <v>42</v>
      </c>
      <c r="EC154" s="262">
        <v>51</v>
      </c>
      <c r="ED154" s="262">
        <v>7</v>
      </c>
      <c r="EE154" s="262">
        <v>8</v>
      </c>
      <c r="EF154" s="262">
        <v>0</v>
      </c>
      <c r="EG154" s="262">
        <v>0</v>
      </c>
      <c r="EH154" s="262">
        <v>0</v>
      </c>
      <c r="EI154" s="262">
        <v>27</v>
      </c>
    </row>
    <row r="155" spans="1:139">
      <c r="A155" s="307"/>
      <c r="B155" s="308" t="s">
        <v>630</v>
      </c>
      <c r="C155" s="309">
        <v>32</v>
      </c>
      <c r="D155" s="262">
        <v>0</v>
      </c>
      <c r="E155" s="262">
        <v>0</v>
      </c>
      <c r="F155" s="259">
        <v>0</v>
      </c>
      <c r="G155" s="262">
        <v>0</v>
      </c>
      <c r="H155" s="262">
        <v>0</v>
      </c>
      <c r="I155" s="262">
        <v>0</v>
      </c>
      <c r="J155" s="262">
        <v>0</v>
      </c>
      <c r="K155" s="262">
        <v>0</v>
      </c>
      <c r="L155" s="262">
        <v>0</v>
      </c>
      <c r="M155" s="262">
        <v>0</v>
      </c>
      <c r="N155" s="262">
        <v>0</v>
      </c>
      <c r="O155" s="262">
        <v>0</v>
      </c>
      <c r="P155" s="262">
        <v>0</v>
      </c>
      <c r="Q155" s="262">
        <v>0</v>
      </c>
      <c r="R155" s="262">
        <v>0</v>
      </c>
      <c r="S155" s="262">
        <v>0</v>
      </c>
      <c r="T155" s="262">
        <v>0</v>
      </c>
      <c r="U155" s="262">
        <v>0</v>
      </c>
      <c r="V155" s="262">
        <v>0</v>
      </c>
      <c r="W155" s="262">
        <v>0</v>
      </c>
      <c r="X155" s="262">
        <v>0</v>
      </c>
      <c r="Y155" s="262">
        <v>0</v>
      </c>
      <c r="Z155" s="262">
        <v>0</v>
      </c>
      <c r="AA155" s="262">
        <v>93</v>
      </c>
      <c r="AB155" s="262">
        <v>0</v>
      </c>
      <c r="AC155" s="262">
        <v>0</v>
      </c>
      <c r="AD155" s="262">
        <v>0</v>
      </c>
      <c r="AE155" s="262">
        <v>0</v>
      </c>
      <c r="AF155" s="262">
        <v>0</v>
      </c>
      <c r="AG155" s="262">
        <v>0</v>
      </c>
      <c r="AH155" s="262">
        <v>0</v>
      </c>
      <c r="AI155" s="262">
        <v>0</v>
      </c>
      <c r="AJ155" s="262">
        <v>32</v>
      </c>
      <c r="AK155" s="262">
        <v>0</v>
      </c>
      <c r="AL155" s="262">
        <v>0</v>
      </c>
      <c r="AM155" s="262">
        <v>0</v>
      </c>
      <c r="AN155" s="262">
        <v>0</v>
      </c>
      <c r="AO155" s="262">
        <v>0</v>
      </c>
      <c r="AP155" s="262">
        <v>0</v>
      </c>
      <c r="AQ155" s="262">
        <v>0</v>
      </c>
      <c r="AR155" s="262">
        <v>2</v>
      </c>
      <c r="AS155" s="262">
        <v>0</v>
      </c>
      <c r="AT155" s="262">
        <v>3</v>
      </c>
      <c r="AU155" s="262">
        <v>0</v>
      </c>
      <c r="AV155" s="262">
        <v>0</v>
      </c>
      <c r="AW155" s="262">
        <v>0</v>
      </c>
      <c r="AX155" s="262">
        <v>0</v>
      </c>
      <c r="AY155" s="262">
        <v>0</v>
      </c>
      <c r="AZ155" s="262">
        <v>0</v>
      </c>
      <c r="BA155" s="262">
        <v>0</v>
      </c>
      <c r="BB155" s="262">
        <v>0</v>
      </c>
      <c r="BC155" s="262">
        <v>0</v>
      </c>
      <c r="BD155" s="262">
        <v>0</v>
      </c>
      <c r="BE155" s="262">
        <v>0</v>
      </c>
      <c r="BF155" s="262">
        <v>93</v>
      </c>
      <c r="BG155" s="262">
        <v>0</v>
      </c>
      <c r="BH155" s="262">
        <v>0</v>
      </c>
      <c r="BI155" s="262">
        <v>0</v>
      </c>
      <c r="BJ155" s="262">
        <v>0</v>
      </c>
      <c r="BK155" s="262">
        <v>0</v>
      </c>
      <c r="BL155" s="262">
        <v>0</v>
      </c>
      <c r="BM155" s="262">
        <v>0</v>
      </c>
      <c r="BN155" s="262">
        <v>0</v>
      </c>
      <c r="BO155" s="262">
        <v>0</v>
      </c>
      <c r="BP155" s="262">
        <v>0</v>
      </c>
      <c r="BQ155" s="262">
        <v>0</v>
      </c>
      <c r="BR155" s="262">
        <v>0</v>
      </c>
      <c r="BS155" s="262">
        <v>0</v>
      </c>
      <c r="BT155" s="262">
        <v>0</v>
      </c>
      <c r="BU155" s="262">
        <v>0</v>
      </c>
      <c r="BV155" s="262">
        <v>0</v>
      </c>
      <c r="BW155" s="262">
        <v>0</v>
      </c>
      <c r="BX155" s="262">
        <v>0</v>
      </c>
      <c r="BY155" s="262">
        <v>0</v>
      </c>
      <c r="BZ155" s="262">
        <v>0</v>
      </c>
      <c r="CA155" s="262">
        <v>0</v>
      </c>
      <c r="CB155" s="262">
        <v>0</v>
      </c>
      <c r="CC155" s="328">
        <v>0</v>
      </c>
      <c r="CD155" s="262">
        <v>0</v>
      </c>
      <c r="CE155" s="262">
        <v>0</v>
      </c>
      <c r="CF155" s="262">
        <v>0</v>
      </c>
      <c r="CG155" s="262">
        <v>0</v>
      </c>
      <c r="CH155" s="262">
        <v>0</v>
      </c>
      <c r="CI155" s="262">
        <v>0</v>
      </c>
      <c r="CJ155" s="262">
        <v>0</v>
      </c>
      <c r="CK155" s="262">
        <v>0</v>
      </c>
      <c r="CL155" s="262">
        <v>0</v>
      </c>
      <c r="CM155" s="262">
        <v>0</v>
      </c>
      <c r="CN155" s="262">
        <v>0</v>
      </c>
      <c r="CO155" s="262">
        <v>0</v>
      </c>
      <c r="CP155" s="262">
        <v>0</v>
      </c>
      <c r="CQ155" s="328">
        <v>93</v>
      </c>
      <c r="CR155" s="262">
        <v>32</v>
      </c>
      <c r="CS155" s="262">
        <v>0</v>
      </c>
      <c r="CT155" s="262">
        <v>0</v>
      </c>
      <c r="CU155" s="262">
        <v>4</v>
      </c>
      <c r="CV155" s="262">
        <v>6</v>
      </c>
      <c r="CW155" s="262">
        <v>0</v>
      </c>
      <c r="CX155" s="262">
        <v>0</v>
      </c>
      <c r="CY155" s="262">
        <v>0</v>
      </c>
      <c r="CZ155" s="262">
        <v>0</v>
      </c>
      <c r="DA155" s="262">
        <v>0</v>
      </c>
      <c r="DB155" s="262">
        <v>0</v>
      </c>
      <c r="DC155" s="262">
        <v>0</v>
      </c>
      <c r="DD155" s="262">
        <v>0</v>
      </c>
      <c r="DE155" s="262">
        <v>0</v>
      </c>
      <c r="DF155" s="262">
        <v>0.7142857142857143</v>
      </c>
      <c r="DG155" s="262">
        <v>0</v>
      </c>
      <c r="DH155" s="262">
        <v>3</v>
      </c>
      <c r="DI155" s="262">
        <v>125.81196581196581</v>
      </c>
      <c r="DJ155" s="262">
        <v>0</v>
      </c>
      <c r="DK155" s="262">
        <v>0</v>
      </c>
      <c r="DL155" s="262">
        <v>0</v>
      </c>
      <c r="DM155" s="262">
        <v>0</v>
      </c>
      <c r="DN155" s="262">
        <v>0</v>
      </c>
      <c r="DO155" s="262">
        <v>0</v>
      </c>
      <c r="DP155" s="262">
        <v>0</v>
      </c>
      <c r="DQ155" s="262">
        <v>0</v>
      </c>
      <c r="DR155" s="262">
        <v>0</v>
      </c>
      <c r="DS155" s="262">
        <v>0</v>
      </c>
      <c r="DT155" s="262">
        <v>0</v>
      </c>
      <c r="DU155" s="262">
        <v>0</v>
      </c>
      <c r="DV155" s="262">
        <v>0</v>
      </c>
      <c r="DW155" s="262">
        <v>0</v>
      </c>
      <c r="DX155" s="262">
        <v>0</v>
      </c>
      <c r="DY155" s="262">
        <v>0</v>
      </c>
      <c r="DZ155" s="262">
        <v>0</v>
      </c>
      <c r="EA155" s="262">
        <v>0</v>
      </c>
      <c r="EB155" s="262">
        <v>0</v>
      </c>
      <c r="EC155" s="262">
        <v>0</v>
      </c>
      <c r="ED155" s="262">
        <v>0</v>
      </c>
      <c r="EE155" s="262">
        <v>0</v>
      </c>
      <c r="EF155" s="262">
        <v>0</v>
      </c>
      <c r="EG155" s="262">
        <v>0</v>
      </c>
      <c r="EH155" s="262">
        <v>0</v>
      </c>
      <c r="EI155" s="262">
        <v>0</v>
      </c>
    </row>
    <row r="156" spans="1:139" ht="13.5" thickBot="1">
      <c r="A156" s="310"/>
      <c r="B156" s="311" t="s">
        <v>631</v>
      </c>
      <c r="C156" s="312">
        <v>0</v>
      </c>
      <c r="D156" s="313">
        <v>0</v>
      </c>
      <c r="E156" s="313">
        <v>0</v>
      </c>
      <c r="F156" s="314">
        <v>0</v>
      </c>
      <c r="G156" s="313">
        <v>0</v>
      </c>
      <c r="H156" s="313">
        <v>0</v>
      </c>
      <c r="I156" s="313">
        <v>0</v>
      </c>
      <c r="J156" s="313">
        <v>0</v>
      </c>
      <c r="K156" s="313">
        <v>0</v>
      </c>
      <c r="L156" s="313">
        <v>0</v>
      </c>
      <c r="M156" s="313">
        <v>0</v>
      </c>
      <c r="N156" s="313">
        <v>0</v>
      </c>
      <c r="O156" s="313">
        <v>0</v>
      </c>
      <c r="P156" s="313">
        <v>0</v>
      </c>
      <c r="Q156" s="313">
        <v>0</v>
      </c>
      <c r="R156" s="313">
        <v>0</v>
      </c>
      <c r="S156" s="313">
        <v>0</v>
      </c>
      <c r="T156" s="313">
        <v>0</v>
      </c>
      <c r="U156" s="313">
        <v>0</v>
      </c>
      <c r="V156" s="313">
        <v>0</v>
      </c>
      <c r="W156" s="313">
        <v>0</v>
      </c>
      <c r="X156" s="313">
        <v>1</v>
      </c>
      <c r="Y156" s="313">
        <v>0</v>
      </c>
      <c r="Z156" s="313">
        <v>0</v>
      </c>
      <c r="AA156" s="313">
        <v>0</v>
      </c>
      <c r="AB156" s="313">
        <v>0</v>
      </c>
      <c r="AC156" s="313">
        <v>0</v>
      </c>
      <c r="AD156" s="313">
        <v>0</v>
      </c>
      <c r="AE156" s="313">
        <v>2229.9842105263156</v>
      </c>
      <c r="AF156" s="313">
        <v>4044.3368421052633</v>
      </c>
      <c r="AG156" s="313">
        <v>1398756</v>
      </c>
      <c r="AH156" s="313">
        <v>496.95534228862596</v>
      </c>
      <c r="AI156" s="313">
        <v>0</v>
      </c>
      <c r="AJ156" s="313">
        <v>0</v>
      </c>
      <c r="AK156" s="313">
        <v>0</v>
      </c>
      <c r="AL156" s="313">
        <v>0</v>
      </c>
      <c r="AM156" s="313">
        <v>0</v>
      </c>
      <c r="AN156" s="313">
        <v>0</v>
      </c>
      <c r="AO156" s="313">
        <v>0</v>
      </c>
      <c r="AP156" s="313">
        <v>0</v>
      </c>
      <c r="AQ156" s="313">
        <v>0</v>
      </c>
      <c r="AR156" s="313">
        <v>0</v>
      </c>
      <c r="AS156" s="313">
        <v>0</v>
      </c>
      <c r="AT156" s="313">
        <v>3</v>
      </c>
      <c r="AU156" s="313">
        <v>0</v>
      </c>
      <c r="AV156" s="313">
        <v>0</v>
      </c>
      <c r="AW156" s="313">
        <v>0</v>
      </c>
      <c r="AX156" s="313">
        <v>0</v>
      </c>
      <c r="AY156" s="313">
        <v>0</v>
      </c>
      <c r="AZ156" s="313">
        <v>0</v>
      </c>
      <c r="BA156" s="313">
        <v>0</v>
      </c>
      <c r="BB156" s="313">
        <v>0</v>
      </c>
      <c r="BC156" s="313">
        <v>0</v>
      </c>
      <c r="BD156" s="313">
        <v>0</v>
      </c>
      <c r="BE156" s="313">
        <v>0</v>
      </c>
      <c r="BF156" s="313">
        <v>0</v>
      </c>
      <c r="BG156" s="313">
        <v>0</v>
      </c>
      <c r="BH156" s="313">
        <v>0</v>
      </c>
      <c r="BI156" s="313">
        <v>0</v>
      </c>
      <c r="BJ156" s="313">
        <v>0</v>
      </c>
      <c r="BK156" s="313">
        <v>0</v>
      </c>
      <c r="BL156" s="313">
        <v>0</v>
      </c>
      <c r="BM156" s="313">
        <v>0</v>
      </c>
      <c r="BN156" s="313">
        <v>0</v>
      </c>
      <c r="BO156" s="313">
        <v>0</v>
      </c>
      <c r="BP156" s="313">
        <v>0</v>
      </c>
      <c r="BQ156" s="313">
        <v>0</v>
      </c>
      <c r="BR156" s="313">
        <v>0</v>
      </c>
      <c r="BS156" s="313">
        <v>0</v>
      </c>
      <c r="BT156" s="313">
        <v>0</v>
      </c>
      <c r="BU156" s="313">
        <v>0</v>
      </c>
      <c r="BV156" s="313">
        <v>0</v>
      </c>
      <c r="BW156" s="313">
        <v>0</v>
      </c>
      <c r="BX156" s="313">
        <v>0</v>
      </c>
      <c r="BY156" s="313">
        <v>0</v>
      </c>
      <c r="BZ156" s="313">
        <v>0</v>
      </c>
      <c r="CA156" s="313">
        <v>0</v>
      </c>
      <c r="CB156" s="313">
        <v>0</v>
      </c>
      <c r="CC156" s="329">
        <v>0</v>
      </c>
      <c r="CD156" s="313">
        <v>0</v>
      </c>
      <c r="CE156" s="313">
        <v>0</v>
      </c>
      <c r="CF156" s="313">
        <v>0</v>
      </c>
      <c r="CG156" s="313">
        <v>0</v>
      </c>
      <c r="CH156" s="313">
        <v>0</v>
      </c>
      <c r="CI156" s="313">
        <v>0</v>
      </c>
      <c r="CJ156" s="313">
        <v>0</v>
      </c>
      <c r="CK156" s="313">
        <v>0</v>
      </c>
      <c r="CL156" s="313">
        <v>0</v>
      </c>
      <c r="CM156" s="313">
        <v>0</v>
      </c>
      <c r="CN156" s="313">
        <v>0</v>
      </c>
      <c r="CO156" s="313">
        <v>0</v>
      </c>
      <c r="CP156" s="313">
        <v>0</v>
      </c>
      <c r="CQ156" s="329">
        <v>0</v>
      </c>
      <c r="CR156" s="313">
        <v>0</v>
      </c>
      <c r="CS156" s="313">
        <v>0</v>
      </c>
      <c r="CT156" s="313">
        <v>0</v>
      </c>
      <c r="CU156" s="313">
        <v>0</v>
      </c>
      <c r="CV156" s="313">
        <v>0</v>
      </c>
      <c r="CW156" s="313">
        <v>0</v>
      </c>
      <c r="CX156" s="313">
        <v>0</v>
      </c>
      <c r="CY156" s="313">
        <v>0</v>
      </c>
      <c r="CZ156" s="313">
        <v>0</v>
      </c>
      <c r="DA156" s="313">
        <v>0</v>
      </c>
      <c r="DB156" s="313">
        <v>0</v>
      </c>
      <c r="DC156" s="313">
        <v>0</v>
      </c>
      <c r="DD156" s="313">
        <v>0</v>
      </c>
      <c r="DE156" s="313">
        <v>0</v>
      </c>
      <c r="DF156" s="313">
        <v>0</v>
      </c>
      <c r="DG156" s="313">
        <v>0</v>
      </c>
      <c r="DH156" s="313">
        <v>0</v>
      </c>
      <c r="DI156" s="313">
        <v>0</v>
      </c>
      <c r="DJ156" s="313">
        <v>873.73684210526289</v>
      </c>
      <c r="DK156" s="313">
        <v>708.25263157894733</v>
      </c>
      <c r="DL156" s="313">
        <v>647.99473684210545</v>
      </c>
      <c r="DM156" s="313">
        <v>556920</v>
      </c>
      <c r="DN156" s="313">
        <v>434160</v>
      </c>
      <c r="DO156" s="313">
        <v>407676</v>
      </c>
      <c r="DP156" s="313">
        <v>1592.1578947368421</v>
      </c>
      <c r="DQ156" s="313">
        <v>1277.8105263157895</v>
      </c>
      <c r="DR156" s="313">
        <v>1174.3684210526317</v>
      </c>
      <c r="DS156" s="313">
        <v>197.94371103549921</v>
      </c>
      <c r="DT156" s="313">
        <v>152.09547753514263</v>
      </c>
      <c r="DU156" s="313">
        <v>146.91615371798414</v>
      </c>
      <c r="DV156" s="313">
        <v>0</v>
      </c>
      <c r="DW156" s="313">
        <v>0</v>
      </c>
      <c r="DX156" s="313">
        <v>0</v>
      </c>
      <c r="DY156" s="313">
        <v>0</v>
      </c>
      <c r="DZ156" s="313">
        <v>0</v>
      </c>
      <c r="EA156" s="313">
        <v>0</v>
      </c>
      <c r="EB156" s="313">
        <v>0</v>
      </c>
      <c r="EC156" s="313">
        <v>0</v>
      </c>
      <c r="ED156" s="313">
        <v>0</v>
      </c>
      <c r="EE156" s="313">
        <v>0</v>
      </c>
      <c r="EF156" s="313">
        <v>0</v>
      </c>
      <c r="EG156" s="313">
        <v>0</v>
      </c>
      <c r="EH156" s="313">
        <v>0</v>
      </c>
      <c r="EI156" s="313">
        <v>0</v>
      </c>
    </row>
    <row r="157" spans="1:139" ht="13.5" thickBot="1">
      <c r="AA157" s="257"/>
      <c r="AB157" s="257"/>
      <c r="AC157" s="257"/>
      <c r="AD157" s="257"/>
      <c r="AE157" s="257"/>
      <c r="AF157" s="257"/>
      <c r="AG157" s="257"/>
      <c r="AH157" s="257"/>
      <c r="AI157" s="257"/>
      <c r="AJ157" s="257"/>
      <c r="AK157" s="257"/>
      <c r="AL157" s="257"/>
      <c r="AM157" s="257"/>
      <c r="AN157" s="257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58"/>
      <c r="DZ157" s="258"/>
      <c r="EA157" s="258"/>
      <c r="EB157" s="258"/>
      <c r="EC157" s="258"/>
      <c r="ED157" s="258"/>
      <c r="EE157" s="258"/>
      <c r="EF157" s="258"/>
      <c r="EG157" s="258"/>
      <c r="EH157" s="258"/>
      <c r="EI157" s="258"/>
    </row>
    <row r="158" spans="1:139" s="262" customFormat="1" ht="13.5" thickBot="1">
      <c r="A158" s="315"/>
      <c r="B158" s="316" t="s">
        <v>632</v>
      </c>
      <c r="C158" s="316">
        <v>8053</v>
      </c>
      <c r="D158" s="316">
        <v>33792</v>
      </c>
      <c r="E158" s="316">
        <v>2</v>
      </c>
      <c r="F158" s="317">
        <v>1250</v>
      </c>
      <c r="G158" s="316">
        <v>3516508.6876539411</v>
      </c>
      <c r="H158" s="316">
        <v>10482.724039111161</v>
      </c>
      <c r="I158" s="316">
        <v>4096684.3143587303</v>
      </c>
      <c r="J158" s="316">
        <v>0</v>
      </c>
      <c r="K158" s="316">
        <v>17853.090391314719</v>
      </c>
      <c r="L158" s="316">
        <v>0</v>
      </c>
      <c r="M158" s="316">
        <v>3905</v>
      </c>
      <c r="N158" s="316">
        <v>3854</v>
      </c>
      <c r="O158" s="316">
        <v>3641</v>
      </c>
      <c r="P158" s="316">
        <v>3565</v>
      </c>
      <c r="Q158" s="316">
        <v>3426</v>
      </c>
      <c r="R158" s="316">
        <v>3375</v>
      </c>
      <c r="S158" s="316">
        <v>3242</v>
      </c>
      <c r="T158" s="316">
        <v>3183</v>
      </c>
      <c r="U158" s="316">
        <v>3086</v>
      </c>
      <c r="V158" s="316">
        <v>3166</v>
      </c>
      <c r="W158" s="316">
        <v>3184</v>
      </c>
      <c r="X158" s="316">
        <v>3413</v>
      </c>
      <c r="Y158" s="316">
        <v>0</v>
      </c>
      <c r="Z158" s="316">
        <v>4064</v>
      </c>
      <c r="AA158" s="316">
        <v>414</v>
      </c>
      <c r="AB158" s="316">
        <v>0</v>
      </c>
      <c r="AC158" s="316">
        <v>0</v>
      </c>
      <c r="AD158" s="316">
        <v>0</v>
      </c>
      <c r="AE158" s="316">
        <v>1687.3315789473684</v>
      </c>
      <c r="AF158" s="316">
        <v>4536.9947368421044</v>
      </c>
      <c r="AG158" s="316">
        <v>1789833</v>
      </c>
      <c r="AH158" s="316">
        <v>822.04555670361708</v>
      </c>
      <c r="AI158" s="316">
        <v>-24706</v>
      </c>
      <c r="AJ158" s="316">
        <v>8075</v>
      </c>
      <c r="AK158" s="316">
        <v>0</v>
      </c>
      <c r="AL158" s="316">
        <v>0</v>
      </c>
      <c r="AM158" s="316">
        <v>0</v>
      </c>
      <c r="AN158" s="316">
        <v>19</v>
      </c>
      <c r="AO158" s="316">
        <v>342592.74</v>
      </c>
      <c r="AP158" s="316">
        <v>0</v>
      </c>
      <c r="AQ158" s="316">
        <v>11851</v>
      </c>
      <c r="AR158" s="316">
        <v>50</v>
      </c>
      <c r="AS158" s="316">
        <v>27</v>
      </c>
      <c r="AT158" s="316">
        <v>129.6</v>
      </c>
      <c r="AU158" s="316">
        <v>0</v>
      </c>
      <c r="AV158" s="316">
        <v>241</v>
      </c>
      <c r="AW158" s="316">
        <v>0</v>
      </c>
      <c r="AX158" s="316">
        <v>6</v>
      </c>
      <c r="AY158" s="316">
        <v>0</v>
      </c>
      <c r="AZ158" s="316">
        <v>8</v>
      </c>
      <c r="BA158" s="316">
        <v>0</v>
      </c>
      <c r="BB158" s="316">
        <v>5</v>
      </c>
      <c r="BC158" s="316">
        <v>2.6</v>
      </c>
      <c r="BD158" s="316">
        <v>0</v>
      </c>
      <c r="BE158" s="316">
        <v>0</v>
      </c>
      <c r="BF158" s="316">
        <v>20549.8</v>
      </c>
      <c r="BG158" s="316">
        <v>13945</v>
      </c>
      <c r="BH158" s="316">
        <v>0</v>
      </c>
      <c r="BI158" s="316">
        <v>0</v>
      </c>
      <c r="BJ158" s="316">
        <v>0</v>
      </c>
      <c r="BK158" s="316">
        <v>0</v>
      </c>
      <c r="BL158" s="316">
        <v>0</v>
      </c>
      <c r="BM158" s="316">
        <v>0</v>
      </c>
      <c r="BN158" s="316">
        <v>0</v>
      </c>
      <c r="BO158" s="318">
        <v>44</v>
      </c>
      <c r="BP158" s="316">
        <v>1991704.75</v>
      </c>
      <c r="BQ158" s="316">
        <v>0</v>
      </c>
      <c r="BR158" s="316">
        <v>0</v>
      </c>
      <c r="BS158" s="316">
        <v>0</v>
      </c>
      <c r="BT158" s="316">
        <v>0</v>
      </c>
      <c r="BU158" s="316">
        <v>0</v>
      </c>
      <c r="BV158" s="316">
        <v>0</v>
      </c>
      <c r="BW158" s="316">
        <v>16824</v>
      </c>
      <c r="BX158" s="316">
        <v>91020.77</v>
      </c>
      <c r="BY158" s="316">
        <v>1973809.774937914</v>
      </c>
      <c r="BZ158" s="316">
        <v>470097</v>
      </c>
      <c r="CA158" s="316">
        <v>1006482.4642347035</v>
      </c>
      <c r="CB158" s="316">
        <v>0</v>
      </c>
      <c r="CC158" s="330">
        <v>380107.23</v>
      </c>
      <c r="CD158" s="316">
        <v>15</v>
      </c>
      <c r="CE158" s="316">
        <v>0</v>
      </c>
      <c r="CF158" s="316">
        <v>0</v>
      </c>
      <c r="CG158" s="316">
        <v>8619943.333333334</v>
      </c>
      <c r="CH158" s="316">
        <v>0</v>
      </c>
      <c r="CI158" s="316">
        <v>0</v>
      </c>
      <c r="CJ158" s="316">
        <v>786267.03993265145</v>
      </c>
      <c r="CK158" s="316">
        <v>6273993.0076949075</v>
      </c>
      <c r="CL158" s="316">
        <v>0</v>
      </c>
      <c r="CM158" s="316">
        <v>0</v>
      </c>
      <c r="CN158" s="316">
        <v>-22668</v>
      </c>
      <c r="CO158" s="316">
        <v>0</v>
      </c>
      <c r="CP158" s="316">
        <v>0</v>
      </c>
      <c r="CQ158" s="330">
        <v>48121.8</v>
      </c>
      <c r="CR158" s="316">
        <v>8625.2000000000007</v>
      </c>
      <c r="CS158" s="316">
        <v>1751.8177777777782</v>
      </c>
      <c r="CT158" s="316">
        <v>33434</v>
      </c>
      <c r="CU158" s="316">
        <v>2426</v>
      </c>
      <c r="CV158" s="316">
        <v>1863</v>
      </c>
      <c r="CW158" s="316">
        <v>53</v>
      </c>
      <c r="CX158" s="316">
        <v>995</v>
      </c>
      <c r="CY158" s="316">
        <v>11</v>
      </c>
      <c r="CZ158" s="316">
        <v>6</v>
      </c>
      <c r="DA158" s="316">
        <v>0</v>
      </c>
      <c r="DB158" s="316">
        <v>0</v>
      </c>
      <c r="DC158" s="316">
        <v>0</v>
      </c>
      <c r="DD158" s="316">
        <v>0</v>
      </c>
      <c r="DE158" s="316">
        <v>41691</v>
      </c>
      <c r="DF158" s="316">
        <v>4.6905578936979904</v>
      </c>
      <c r="DG158" s="316">
        <v>0</v>
      </c>
      <c r="DH158" s="316">
        <v>117.85149019606</v>
      </c>
      <c r="DI158" s="316">
        <v>2211.7348027545017</v>
      </c>
      <c r="DJ158" s="316">
        <v>581.23684210526289</v>
      </c>
      <c r="DK158" s="316">
        <v>631.32631578947337</v>
      </c>
      <c r="DL158" s="316">
        <v>474.76842105263125</v>
      </c>
      <c r="DM158" s="316">
        <v>665535</v>
      </c>
      <c r="DN158" s="316">
        <v>592920</v>
      </c>
      <c r="DO158" s="316">
        <v>531378</v>
      </c>
      <c r="DP158" s="316">
        <v>1683.8421052631581</v>
      </c>
      <c r="DQ158" s="316">
        <v>1505.5578947368419</v>
      </c>
      <c r="DR158" s="316">
        <v>1347.5947368421052</v>
      </c>
      <c r="DS158" s="316">
        <v>306.65073290931889</v>
      </c>
      <c r="DT158" s="316">
        <v>271.69306086830034</v>
      </c>
      <c r="DU158" s="316">
        <v>243.70176292599766</v>
      </c>
      <c r="DV158" s="316">
        <v>0</v>
      </c>
      <c r="DW158" s="316">
        <v>0</v>
      </c>
      <c r="DX158" s="316">
        <v>0</v>
      </c>
      <c r="DY158" s="316">
        <v>5</v>
      </c>
      <c r="DZ158" s="316">
        <v>3425</v>
      </c>
      <c r="EA158" s="316">
        <v>37219</v>
      </c>
      <c r="EB158" s="316">
        <v>2430</v>
      </c>
      <c r="EC158" s="316">
        <v>4218</v>
      </c>
      <c r="ED158" s="316">
        <v>506</v>
      </c>
      <c r="EE158" s="316">
        <v>1041</v>
      </c>
      <c r="EF158" s="316">
        <v>972</v>
      </c>
      <c r="EG158" s="316">
        <v>2788</v>
      </c>
      <c r="EH158" s="316">
        <v>3568</v>
      </c>
      <c r="EI158" s="316">
        <v>9573</v>
      </c>
    </row>
    <row r="159" spans="1:139">
      <c r="AA159" s="257"/>
      <c r="AB159" s="257"/>
      <c r="AC159" s="257"/>
      <c r="AD159" s="257"/>
      <c r="AE159" s="257"/>
      <c r="AF159" s="257"/>
      <c r="AG159" s="257"/>
      <c r="AH159" s="257"/>
      <c r="AI159" s="257"/>
      <c r="AJ159" s="257"/>
      <c r="AK159" s="257"/>
      <c r="AL159" s="257"/>
      <c r="AM159" s="257"/>
      <c r="AN159" s="257"/>
    </row>
    <row r="160" spans="1:139">
      <c r="B160" s="258" t="s">
        <v>633</v>
      </c>
      <c r="C160" s="257">
        <v>628</v>
      </c>
      <c r="D160" s="257">
        <v>4588</v>
      </c>
      <c r="E160" s="257">
        <v>0</v>
      </c>
      <c r="F160" s="257">
        <v>48</v>
      </c>
      <c r="G160" s="257">
        <v>596143.20120249491</v>
      </c>
      <c r="H160" s="257">
        <v>647.98831782260868</v>
      </c>
      <c r="I160" s="257">
        <v>0</v>
      </c>
      <c r="J160" s="257">
        <v>0</v>
      </c>
      <c r="K160" s="257">
        <v>1195</v>
      </c>
      <c r="L160" s="257">
        <v>0</v>
      </c>
      <c r="M160" s="257">
        <v>818</v>
      </c>
      <c r="N160" s="257">
        <v>880</v>
      </c>
      <c r="O160" s="257">
        <v>0</v>
      </c>
      <c r="P160" s="257">
        <v>0</v>
      </c>
      <c r="Q160" s="257">
        <v>0</v>
      </c>
      <c r="R160" s="257">
        <v>0</v>
      </c>
      <c r="S160" s="257">
        <v>0</v>
      </c>
      <c r="T160" s="257">
        <v>0</v>
      </c>
      <c r="U160" s="257">
        <v>0</v>
      </c>
      <c r="V160" s="257">
        <v>0</v>
      </c>
      <c r="W160" s="257">
        <v>0</v>
      </c>
      <c r="X160" s="257">
        <v>481</v>
      </c>
      <c r="Y160" s="257">
        <v>0</v>
      </c>
      <c r="Z160" s="257">
        <v>850</v>
      </c>
      <c r="AA160" s="257">
        <v>0</v>
      </c>
      <c r="AB160" s="257">
        <v>0</v>
      </c>
      <c r="AC160" s="257">
        <v>0</v>
      </c>
      <c r="AD160" s="257">
        <v>0</v>
      </c>
      <c r="AE160" s="257">
        <v>240</v>
      </c>
      <c r="AF160" s="257">
        <v>788.79473684210529</v>
      </c>
      <c r="AG160" s="257">
        <v>266679</v>
      </c>
      <c r="AH160" s="257">
        <v>136.38713054364797</v>
      </c>
      <c r="AI160" s="257">
        <v>0</v>
      </c>
      <c r="AJ160" s="257">
        <v>628</v>
      </c>
      <c r="AK160" s="257">
        <v>0</v>
      </c>
      <c r="AL160" s="257">
        <v>0</v>
      </c>
      <c r="AM160" s="257">
        <v>0</v>
      </c>
      <c r="AN160" s="257">
        <v>0</v>
      </c>
      <c r="AO160" s="257">
        <v>51660.81</v>
      </c>
      <c r="AP160" s="257">
        <v>0</v>
      </c>
      <c r="AQ160" s="257">
        <v>746</v>
      </c>
      <c r="AR160" s="257">
        <v>3</v>
      </c>
      <c r="AS160" s="257">
        <v>2</v>
      </c>
      <c r="AT160" s="257">
        <v>11</v>
      </c>
      <c r="AU160" s="257">
        <v>0</v>
      </c>
      <c r="AV160" s="257">
        <v>6</v>
      </c>
      <c r="AW160" s="257">
        <v>0</v>
      </c>
      <c r="AX160" s="257">
        <v>0</v>
      </c>
      <c r="AY160" s="257">
        <v>0</v>
      </c>
      <c r="AZ160" s="257">
        <v>0</v>
      </c>
      <c r="BA160" s="257">
        <v>0</v>
      </c>
      <c r="BB160" s="257">
        <v>0</v>
      </c>
      <c r="BC160" s="257">
        <v>0</v>
      </c>
      <c r="BD160" s="257">
        <v>0</v>
      </c>
      <c r="BE160" s="257">
        <v>0</v>
      </c>
      <c r="BF160" s="257">
        <v>2417.8000000000002</v>
      </c>
      <c r="BG160" s="257">
        <v>1025</v>
      </c>
      <c r="BH160" s="257">
        <v>0</v>
      </c>
      <c r="BI160" s="257">
        <v>0</v>
      </c>
      <c r="BJ160" s="257">
        <v>0</v>
      </c>
      <c r="BK160" s="257">
        <v>0</v>
      </c>
      <c r="BL160" s="257">
        <v>0</v>
      </c>
      <c r="BM160" s="257">
        <v>0</v>
      </c>
      <c r="BN160" s="257">
        <v>0</v>
      </c>
      <c r="BO160" s="257">
        <v>1</v>
      </c>
      <c r="BP160" s="257">
        <v>98269.373981177836</v>
      </c>
      <c r="BQ160" s="257">
        <v>0</v>
      </c>
      <c r="BR160" s="257">
        <v>0</v>
      </c>
      <c r="BS160" s="257">
        <v>0</v>
      </c>
      <c r="BT160" s="257">
        <v>0</v>
      </c>
      <c r="BU160" s="257">
        <v>0</v>
      </c>
      <c r="BV160" s="257">
        <v>0</v>
      </c>
      <c r="BW160" s="257">
        <v>5185.4399999999996</v>
      </c>
      <c r="BX160" s="257">
        <v>8063.37</v>
      </c>
      <c r="BY160" s="257">
        <v>92081.27838003845</v>
      </c>
      <c r="BZ160" s="257">
        <v>29297</v>
      </c>
      <c r="CA160" s="257">
        <v>118827.00182689569</v>
      </c>
      <c r="CB160" s="257">
        <v>0</v>
      </c>
      <c r="CC160" s="320">
        <v>15745.24</v>
      </c>
      <c r="CD160" s="257">
        <v>0</v>
      </c>
      <c r="CE160" s="257">
        <v>0</v>
      </c>
      <c r="CF160" s="257">
        <v>0</v>
      </c>
      <c r="CG160" s="257">
        <v>0</v>
      </c>
      <c r="CH160" s="257">
        <v>0</v>
      </c>
      <c r="CI160" s="257">
        <v>0</v>
      </c>
      <c r="CJ160" s="257">
        <v>0</v>
      </c>
      <c r="CK160" s="257">
        <v>0</v>
      </c>
      <c r="CL160" s="257">
        <v>0</v>
      </c>
      <c r="CM160" s="257">
        <v>0</v>
      </c>
      <c r="CN160" s="257">
        <v>0</v>
      </c>
      <c r="CO160" s="257">
        <v>0</v>
      </c>
      <c r="CP160" s="257">
        <v>0</v>
      </c>
      <c r="CQ160" s="320">
        <v>2836.6</v>
      </c>
      <c r="CR160" s="257">
        <v>670</v>
      </c>
      <c r="CS160" s="257">
        <v>117</v>
      </c>
      <c r="CT160" s="257">
        <v>4588</v>
      </c>
      <c r="CU160" s="257">
        <v>0</v>
      </c>
      <c r="CV160" s="257">
        <v>0</v>
      </c>
      <c r="CW160" s="257">
        <v>0</v>
      </c>
      <c r="CX160" s="257">
        <v>0</v>
      </c>
      <c r="CY160" s="257">
        <v>2</v>
      </c>
      <c r="CZ160" s="257">
        <v>0</v>
      </c>
      <c r="DA160" s="257">
        <v>0</v>
      </c>
      <c r="DB160" s="257">
        <v>0</v>
      </c>
      <c r="DC160" s="257">
        <v>0</v>
      </c>
      <c r="DD160" s="257">
        <v>0</v>
      </c>
      <c r="DE160" s="257">
        <v>2548</v>
      </c>
      <c r="DF160" s="257">
        <v>0</v>
      </c>
      <c r="DG160" s="257">
        <v>0</v>
      </c>
      <c r="DH160" s="257">
        <v>11</v>
      </c>
      <c r="DI160" s="257">
        <v>268.72174261526965</v>
      </c>
      <c r="DJ160" s="257">
        <v>82.10526315789474</v>
      </c>
      <c r="DK160" s="257">
        <v>90.947368421052616</v>
      </c>
      <c r="DL160" s="257">
        <v>66.947368421052616</v>
      </c>
      <c r="DM160" s="257">
        <v>95160</v>
      </c>
      <c r="DN160" s="257">
        <v>95040</v>
      </c>
      <c r="DO160" s="257">
        <v>76479</v>
      </c>
      <c r="DP160" s="257">
        <v>281.21052631578948</v>
      </c>
      <c r="DQ160" s="257">
        <v>280.8</v>
      </c>
      <c r="DR160" s="257">
        <v>226.78421052631577</v>
      </c>
      <c r="DS160" s="257">
        <v>48.776912796697623</v>
      </c>
      <c r="DT160" s="257">
        <v>48.482473207906658</v>
      </c>
      <c r="DU160" s="257">
        <v>39.12774453904369</v>
      </c>
      <c r="DV160" s="257">
        <v>0</v>
      </c>
      <c r="DW160" s="257">
        <v>0</v>
      </c>
      <c r="DX160" s="257">
        <v>0</v>
      </c>
      <c r="DY160" s="257">
        <v>0</v>
      </c>
      <c r="DZ160" s="257">
        <v>206</v>
      </c>
      <c r="EA160" s="257">
        <v>1698</v>
      </c>
      <c r="EB160" s="257">
        <v>181</v>
      </c>
      <c r="EC160" s="257">
        <v>269</v>
      </c>
      <c r="ED160" s="257">
        <v>47</v>
      </c>
      <c r="EE160" s="257">
        <v>72</v>
      </c>
      <c r="EF160" s="257">
        <v>82</v>
      </c>
      <c r="EG160" s="257">
        <v>210</v>
      </c>
      <c r="EH160" s="257">
        <v>654</v>
      </c>
      <c r="EI160" s="257">
        <v>1212</v>
      </c>
    </row>
    <row r="161" spans="2:139">
      <c r="B161" s="258" t="s">
        <v>634</v>
      </c>
      <c r="C161" s="257">
        <v>680</v>
      </c>
      <c r="D161" s="257">
        <v>2146</v>
      </c>
      <c r="E161" s="257">
        <v>0</v>
      </c>
      <c r="F161" s="257">
        <v>106</v>
      </c>
      <c r="G161" s="257">
        <v>605.46592592592583</v>
      </c>
      <c r="H161" s="257">
        <v>786.84</v>
      </c>
      <c r="I161" s="257">
        <v>0</v>
      </c>
      <c r="J161" s="257">
        <v>0</v>
      </c>
      <c r="K161" s="257">
        <v>1803.3345263660224</v>
      </c>
      <c r="L161" s="257">
        <v>0</v>
      </c>
      <c r="M161" s="257">
        <v>0</v>
      </c>
      <c r="N161" s="257">
        <v>0</v>
      </c>
      <c r="O161" s="257">
        <v>791</v>
      </c>
      <c r="P161" s="257">
        <v>796</v>
      </c>
      <c r="Q161" s="257">
        <v>759</v>
      </c>
      <c r="R161" s="257">
        <v>739</v>
      </c>
      <c r="S161" s="257">
        <v>0</v>
      </c>
      <c r="T161" s="257">
        <v>0</v>
      </c>
      <c r="U161" s="257">
        <v>0</v>
      </c>
      <c r="V161" s="257">
        <v>0</v>
      </c>
      <c r="W161" s="257">
        <v>0</v>
      </c>
      <c r="X161" s="257">
        <v>0</v>
      </c>
      <c r="Y161" s="257">
        <v>0</v>
      </c>
      <c r="Z161" s="257">
        <v>0</v>
      </c>
      <c r="AA161" s="257">
        <v>0</v>
      </c>
      <c r="AB161" s="257">
        <v>0</v>
      </c>
      <c r="AC161" s="257">
        <v>0</v>
      </c>
      <c r="AD161" s="257">
        <v>0</v>
      </c>
      <c r="AE161" s="257">
        <v>0</v>
      </c>
      <c r="AF161" s="257">
        <v>0</v>
      </c>
      <c r="AG161" s="257">
        <v>0</v>
      </c>
      <c r="AH161" s="257">
        <v>0</v>
      </c>
      <c r="AI161" s="257">
        <v>-17006</v>
      </c>
      <c r="AJ161" s="257">
        <v>680</v>
      </c>
      <c r="AK161" s="257">
        <v>0</v>
      </c>
      <c r="AL161" s="257">
        <v>0</v>
      </c>
      <c r="AM161" s="257">
        <v>0</v>
      </c>
      <c r="AN161" s="257">
        <v>0</v>
      </c>
      <c r="AO161" s="257">
        <v>0</v>
      </c>
      <c r="AP161" s="257">
        <v>0</v>
      </c>
      <c r="AQ161" s="257">
        <v>1059</v>
      </c>
      <c r="AR161" s="257">
        <v>3</v>
      </c>
      <c r="AS161" s="257">
        <v>7</v>
      </c>
      <c r="AT161" s="257">
        <v>10</v>
      </c>
      <c r="AU161" s="257">
        <v>0</v>
      </c>
      <c r="AV161" s="257">
        <v>16</v>
      </c>
      <c r="AW161" s="257">
        <v>0</v>
      </c>
      <c r="AX161" s="257">
        <v>0</v>
      </c>
      <c r="AY161" s="257">
        <v>0</v>
      </c>
      <c r="AZ161" s="257">
        <v>2</v>
      </c>
      <c r="BA161" s="257">
        <v>0</v>
      </c>
      <c r="BB161" s="257">
        <v>0</v>
      </c>
      <c r="BC161" s="257">
        <v>0</v>
      </c>
      <c r="BD161" s="257">
        <v>0</v>
      </c>
      <c r="BE161" s="257">
        <v>0</v>
      </c>
      <c r="BF161" s="257">
        <v>2623</v>
      </c>
      <c r="BG161" s="257">
        <v>1112</v>
      </c>
      <c r="BH161" s="257">
        <v>0</v>
      </c>
      <c r="BI161" s="257">
        <v>0</v>
      </c>
      <c r="BJ161" s="257">
        <v>0</v>
      </c>
      <c r="BK161" s="257">
        <v>0</v>
      </c>
      <c r="BL161" s="257">
        <v>0</v>
      </c>
      <c r="BM161" s="257">
        <v>0</v>
      </c>
      <c r="BN161" s="257">
        <v>0</v>
      </c>
      <c r="BO161" s="257">
        <v>3</v>
      </c>
      <c r="BP161" s="257">
        <v>100845.40915811971</v>
      </c>
      <c r="BQ161" s="257">
        <v>0</v>
      </c>
      <c r="BR161" s="257">
        <v>0</v>
      </c>
      <c r="BS161" s="257">
        <v>0</v>
      </c>
      <c r="BT161" s="257">
        <v>0</v>
      </c>
      <c r="BU161" s="257">
        <v>0</v>
      </c>
      <c r="BV161" s="257">
        <v>0</v>
      </c>
      <c r="BW161" s="257">
        <v>0</v>
      </c>
      <c r="BX161" s="257">
        <v>8063.31</v>
      </c>
      <c r="BY161" s="257">
        <v>142682.72161996155</v>
      </c>
      <c r="BZ161" s="257">
        <v>37615</v>
      </c>
      <c r="CA161" s="257">
        <v>88805.101826895698</v>
      </c>
      <c r="CB161" s="257">
        <v>0</v>
      </c>
      <c r="CC161" s="320">
        <v>20833.21</v>
      </c>
      <c r="CD161" s="257">
        <v>3</v>
      </c>
      <c r="CE161" s="257">
        <v>0</v>
      </c>
      <c r="CF161" s="257">
        <v>0</v>
      </c>
      <c r="CG161" s="257">
        <v>0</v>
      </c>
      <c r="CH161" s="257">
        <v>0</v>
      </c>
      <c r="CI161" s="257">
        <v>0</v>
      </c>
      <c r="CJ161" s="257">
        <v>0</v>
      </c>
      <c r="CK161" s="257">
        <v>0</v>
      </c>
      <c r="CL161" s="257">
        <v>0</v>
      </c>
      <c r="CM161" s="257">
        <v>0</v>
      </c>
      <c r="CN161" s="257">
        <v>-7994</v>
      </c>
      <c r="CO161" s="257">
        <v>0</v>
      </c>
      <c r="CP161" s="257">
        <v>0</v>
      </c>
      <c r="CQ161" s="320">
        <v>3085</v>
      </c>
      <c r="CR161" s="257">
        <v>680</v>
      </c>
      <c r="CS161" s="257">
        <v>177.44</v>
      </c>
      <c r="CT161" s="257">
        <v>2146</v>
      </c>
      <c r="CU161" s="257">
        <v>0</v>
      </c>
      <c r="CV161" s="257">
        <v>0</v>
      </c>
      <c r="CW161" s="257">
        <v>0</v>
      </c>
      <c r="CX161" s="257">
        <v>0</v>
      </c>
      <c r="CY161" s="257">
        <v>0</v>
      </c>
      <c r="CZ161" s="257">
        <v>0</v>
      </c>
      <c r="DA161" s="257">
        <v>0</v>
      </c>
      <c r="DB161" s="257">
        <v>0</v>
      </c>
      <c r="DC161" s="257">
        <v>0</v>
      </c>
      <c r="DD161" s="257">
        <v>0</v>
      </c>
      <c r="DE161" s="257">
        <v>3085</v>
      </c>
      <c r="DF161" s="257">
        <v>0</v>
      </c>
      <c r="DG161" s="257">
        <v>0</v>
      </c>
      <c r="DH161" s="257">
        <v>10</v>
      </c>
      <c r="DI161" s="257">
        <v>219.90987712299338</v>
      </c>
      <c r="DJ161" s="257">
        <v>0</v>
      </c>
      <c r="DK161" s="257">
        <v>0</v>
      </c>
      <c r="DL161" s="257">
        <v>0</v>
      </c>
      <c r="DM161" s="257">
        <v>0</v>
      </c>
      <c r="DN161" s="257">
        <v>0</v>
      </c>
      <c r="DO161" s="257">
        <v>0</v>
      </c>
      <c r="DP161" s="257">
        <v>0</v>
      </c>
      <c r="DQ161" s="257">
        <v>0</v>
      </c>
      <c r="DR161" s="257">
        <v>0</v>
      </c>
      <c r="DS161" s="257">
        <v>0</v>
      </c>
      <c r="DT161" s="257">
        <v>0</v>
      </c>
      <c r="DU161" s="257">
        <v>0</v>
      </c>
      <c r="DV161" s="257">
        <v>0</v>
      </c>
      <c r="DW161" s="257">
        <v>0</v>
      </c>
      <c r="DX161" s="257">
        <v>0</v>
      </c>
      <c r="DY161" s="257">
        <v>0</v>
      </c>
      <c r="DZ161" s="257">
        <v>311</v>
      </c>
      <c r="EA161" s="257">
        <v>3085</v>
      </c>
      <c r="EB161" s="257">
        <v>187</v>
      </c>
      <c r="EC161" s="257">
        <v>348</v>
      </c>
      <c r="ED161" s="257">
        <v>41</v>
      </c>
      <c r="EE161" s="257">
        <v>80</v>
      </c>
      <c r="EF161" s="257">
        <v>134</v>
      </c>
      <c r="EG161" s="257">
        <v>302</v>
      </c>
      <c r="EH161" s="257">
        <v>0</v>
      </c>
      <c r="EI161" s="257">
        <v>0</v>
      </c>
    </row>
    <row r="162" spans="2:139">
      <c r="B162" s="258" t="s">
        <v>627</v>
      </c>
      <c r="C162" s="257">
        <v>4014</v>
      </c>
      <c r="D162" s="257">
        <v>20813</v>
      </c>
      <c r="E162" s="257">
        <v>2</v>
      </c>
      <c r="F162" s="257">
        <v>535</v>
      </c>
      <c r="G162" s="257">
        <v>2916991.3674091538</v>
      </c>
      <c r="H162" s="257">
        <v>4968.3429932885592</v>
      </c>
      <c r="I162" s="257">
        <v>1863177.1466111112</v>
      </c>
      <c r="J162" s="257">
        <v>0</v>
      </c>
      <c r="K162" s="257">
        <v>7522.918157957527</v>
      </c>
      <c r="L162" s="257">
        <v>0</v>
      </c>
      <c r="M162" s="257">
        <v>3063</v>
      </c>
      <c r="N162" s="257">
        <v>2954</v>
      </c>
      <c r="O162" s="257">
        <v>2831</v>
      </c>
      <c r="P162" s="257">
        <v>2750</v>
      </c>
      <c r="Q162" s="257">
        <v>2646</v>
      </c>
      <c r="R162" s="257">
        <v>2614</v>
      </c>
      <c r="S162" s="257">
        <v>0</v>
      </c>
      <c r="T162" s="257">
        <v>0</v>
      </c>
      <c r="U162" s="257">
        <v>0</v>
      </c>
      <c r="V162" s="257">
        <v>0</v>
      </c>
      <c r="W162" s="257">
        <v>0</v>
      </c>
      <c r="X162" s="257">
        <v>2393</v>
      </c>
      <c r="Y162" s="257">
        <v>0</v>
      </c>
      <c r="Z162" s="257">
        <v>3192</v>
      </c>
      <c r="AA162" s="257">
        <v>0</v>
      </c>
      <c r="AB162" s="257">
        <v>0</v>
      </c>
      <c r="AC162" s="257">
        <v>0</v>
      </c>
      <c r="AD162" s="257">
        <v>0</v>
      </c>
      <c r="AE162" s="257">
        <v>1327.3315789473684</v>
      </c>
      <c r="AF162" s="257">
        <v>3118.9684210526307</v>
      </c>
      <c r="AG162" s="257">
        <v>1271049</v>
      </c>
      <c r="AH162" s="257">
        <v>602.63468924631593</v>
      </c>
      <c r="AI162" s="257">
        <v>-7700</v>
      </c>
      <c r="AJ162" s="257">
        <v>4014</v>
      </c>
      <c r="AK162" s="257">
        <v>0</v>
      </c>
      <c r="AL162" s="257">
        <v>0</v>
      </c>
      <c r="AM162" s="257">
        <v>0</v>
      </c>
      <c r="AN162" s="257">
        <v>19</v>
      </c>
      <c r="AO162" s="257">
        <v>290931.93</v>
      </c>
      <c r="AP162" s="257">
        <v>0</v>
      </c>
      <c r="AQ162" s="257">
        <v>5427</v>
      </c>
      <c r="AR162" s="257">
        <v>14</v>
      </c>
      <c r="AS162" s="257">
        <v>9</v>
      </c>
      <c r="AT162" s="257">
        <v>68</v>
      </c>
      <c r="AU162" s="257">
        <v>0</v>
      </c>
      <c r="AV162" s="257">
        <v>73</v>
      </c>
      <c r="AW162" s="257">
        <v>0</v>
      </c>
      <c r="AX162" s="257">
        <v>6</v>
      </c>
      <c r="AY162" s="257">
        <v>0</v>
      </c>
      <c r="AZ162" s="257">
        <v>6</v>
      </c>
      <c r="BA162" s="257">
        <v>0</v>
      </c>
      <c r="BB162" s="257">
        <v>2</v>
      </c>
      <c r="BC162" s="257">
        <v>0</v>
      </c>
      <c r="BD162" s="257">
        <v>0</v>
      </c>
      <c r="BE162" s="257">
        <v>0</v>
      </c>
      <c r="BF162" s="257">
        <v>12873.6</v>
      </c>
      <c r="BG162" s="257">
        <v>6371</v>
      </c>
      <c r="BH162" s="257">
        <v>0</v>
      </c>
      <c r="BI162" s="257">
        <v>0</v>
      </c>
      <c r="BJ162" s="257">
        <v>0</v>
      </c>
      <c r="BK162" s="257">
        <v>0</v>
      </c>
      <c r="BL162" s="257">
        <v>0</v>
      </c>
      <c r="BM162" s="257">
        <v>0</v>
      </c>
      <c r="BN162" s="257">
        <v>0</v>
      </c>
      <c r="BO162" s="257">
        <v>25</v>
      </c>
      <c r="BP162" s="257">
        <v>1068316.7587269992</v>
      </c>
      <c r="BQ162" s="257">
        <v>0</v>
      </c>
      <c r="BR162" s="257">
        <v>0</v>
      </c>
      <c r="BS162" s="257">
        <v>0</v>
      </c>
      <c r="BT162" s="257">
        <v>0</v>
      </c>
      <c r="BU162" s="257">
        <v>0</v>
      </c>
      <c r="BV162" s="257">
        <v>0</v>
      </c>
      <c r="BW162" s="257">
        <v>11638.56</v>
      </c>
      <c r="BX162" s="257">
        <v>48226</v>
      </c>
      <c r="BY162" s="257">
        <v>746859</v>
      </c>
      <c r="BZ162" s="257">
        <v>249953</v>
      </c>
      <c r="CA162" s="257">
        <v>665486.38705758459</v>
      </c>
      <c r="CB162" s="257">
        <v>0</v>
      </c>
      <c r="CC162" s="320">
        <v>134244.54999999999</v>
      </c>
      <c r="CD162" s="257">
        <v>6</v>
      </c>
      <c r="CE162" s="257">
        <v>0</v>
      </c>
      <c r="CF162" s="257">
        <v>0</v>
      </c>
      <c r="CG162" s="257">
        <v>0</v>
      </c>
      <c r="CH162" s="257">
        <v>0</v>
      </c>
      <c r="CI162" s="257">
        <v>0</v>
      </c>
      <c r="CJ162" s="257">
        <v>0</v>
      </c>
      <c r="CK162" s="257">
        <v>0</v>
      </c>
      <c r="CL162" s="257">
        <v>0</v>
      </c>
      <c r="CM162" s="257">
        <v>0</v>
      </c>
      <c r="CN162" s="257">
        <v>-14674</v>
      </c>
      <c r="CO162" s="257">
        <v>0</v>
      </c>
      <c r="CP162" s="257">
        <v>0</v>
      </c>
      <c r="CQ162" s="320">
        <v>21485.8</v>
      </c>
      <c r="CR162" s="257">
        <v>4062</v>
      </c>
      <c r="CS162" s="257">
        <v>504.63111111111095</v>
      </c>
      <c r="CT162" s="257">
        <v>20632</v>
      </c>
      <c r="CU162" s="257">
        <v>0</v>
      </c>
      <c r="CV162" s="257">
        <v>0</v>
      </c>
      <c r="CW162" s="257">
        <v>0</v>
      </c>
      <c r="CX162" s="257">
        <v>60</v>
      </c>
      <c r="CY162" s="257">
        <v>9</v>
      </c>
      <c r="CZ162" s="257">
        <v>0</v>
      </c>
      <c r="DA162" s="257">
        <v>0</v>
      </c>
      <c r="DB162" s="257">
        <v>0</v>
      </c>
      <c r="DC162" s="257">
        <v>0</v>
      </c>
      <c r="DD162" s="257">
        <v>0</v>
      </c>
      <c r="DE162" s="257">
        <v>20050</v>
      </c>
      <c r="DF162" s="257">
        <v>0</v>
      </c>
      <c r="DG162" s="257">
        <v>0</v>
      </c>
      <c r="DH162" s="257">
        <v>66</v>
      </c>
      <c r="DI162" s="257">
        <v>1252.6524677098439</v>
      </c>
      <c r="DJ162" s="257">
        <v>458.07894736842076</v>
      </c>
      <c r="DK162" s="257">
        <v>494.90526315789447</v>
      </c>
      <c r="DL162" s="257">
        <v>374.34736842105247</v>
      </c>
      <c r="DM162" s="257">
        <v>476190</v>
      </c>
      <c r="DN162" s="257">
        <v>418824</v>
      </c>
      <c r="DO162" s="257">
        <v>376035</v>
      </c>
      <c r="DP162" s="257">
        <v>1167.9473684210527</v>
      </c>
      <c r="DQ162" s="257">
        <v>1027.7052631578947</v>
      </c>
      <c r="DR162" s="257">
        <v>923.31578947368416</v>
      </c>
      <c r="DS162" s="257">
        <v>226.80740142648443</v>
      </c>
      <c r="DT162" s="257">
        <v>197.22580226434951</v>
      </c>
      <c r="DU162" s="257">
        <v>178.60148555548182</v>
      </c>
      <c r="DV162" s="257">
        <v>0</v>
      </c>
      <c r="DW162" s="257">
        <v>0</v>
      </c>
      <c r="DX162" s="257">
        <v>0</v>
      </c>
      <c r="DY162" s="257">
        <v>0</v>
      </c>
      <c r="DZ162" s="257">
        <v>1857</v>
      </c>
      <c r="EA162" s="257">
        <v>16679</v>
      </c>
      <c r="EB162" s="257">
        <v>1166</v>
      </c>
      <c r="EC162" s="257">
        <v>1659</v>
      </c>
      <c r="ED162" s="257">
        <v>260</v>
      </c>
      <c r="EE162" s="257">
        <v>461</v>
      </c>
      <c r="EF162" s="257">
        <v>650</v>
      </c>
      <c r="EG162" s="257">
        <v>1784</v>
      </c>
      <c r="EH162" s="257">
        <v>1738</v>
      </c>
      <c r="EI162" s="257">
        <v>3913</v>
      </c>
    </row>
    <row r="164" spans="2:139">
      <c r="B164" s="258" t="s">
        <v>635</v>
      </c>
      <c r="BO164" s="258">
        <v>46</v>
      </c>
    </row>
    <row r="165" spans="2:139">
      <c r="B165" s="258" t="s">
        <v>636</v>
      </c>
      <c r="BO165" s="258">
        <v>2</v>
      </c>
    </row>
    <row r="166" spans="2:139">
      <c r="B166" s="258" t="s">
        <v>637</v>
      </c>
      <c r="BO166" s="258">
        <v>31000</v>
      </c>
    </row>
    <row r="168" spans="2:139">
      <c r="K168" s="258">
        <v>9976306.9106666669</v>
      </c>
    </row>
  </sheetData>
  <mergeCells count="13">
    <mergeCell ref="CJ5:CP5"/>
    <mergeCell ref="AJ5:AP5"/>
    <mergeCell ref="AQ5:AS5"/>
    <mergeCell ref="AT5:BD5"/>
    <mergeCell ref="BE5:BV5"/>
    <mergeCell ref="BW5:CE5"/>
    <mergeCell ref="CF5:CI5"/>
    <mergeCell ref="C5:K5"/>
    <mergeCell ref="O5:R5"/>
    <mergeCell ref="S5:U5"/>
    <mergeCell ref="V5:W5"/>
    <mergeCell ref="X5:Y5"/>
    <mergeCell ref="AD5:AH5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6"/>
  </sheetPr>
  <dimension ref="A1:U217"/>
  <sheetViews>
    <sheetView topLeftCell="C1" zoomScale="75" workbookViewId="0">
      <selection activeCell="P27" sqref="P27"/>
    </sheetView>
  </sheetViews>
  <sheetFormatPr defaultRowHeight="15"/>
  <cols>
    <col min="1" max="1" width="20.28515625" style="331" hidden="1" customWidth="1"/>
    <col min="2" max="2" width="14.42578125" style="331" hidden="1" customWidth="1"/>
    <col min="3" max="3" width="9.140625" style="335"/>
    <col min="4" max="4" width="10" style="335" customWidth="1"/>
    <col min="5" max="5" width="38" style="331" customWidth="1"/>
    <col min="6" max="6" width="15.85546875" style="331" customWidth="1"/>
    <col min="7" max="7" width="15" style="331" customWidth="1"/>
    <col min="8" max="8" width="15.42578125" style="331" bestFit="1" customWidth="1"/>
    <col min="9" max="9" width="16.28515625" style="331" bestFit="1" customWidth="1"/>
    <col min="10" max="10" width="11.7109375" style="331" bestFit="1" customWidth="1"/>
    <col min="11" max="11" width="13.140625" style="331" bestFit="1" customWidth="1"/>
    <col min="12" max="12" width="11.7109375" style="331" bestFit="1" customWidth="1"/>
    <col min="13" max="13" width="13.85546875" style="331" bestFit="1" customWidth="1"/>
    <col min="14" max="14" width="12.7109375" style="331" customWidth="1"/>
    <col min="15" max="15" width="16.28515625" style="331" customWidth="1"/>
    <col min="16" max="16" width="13.5703125" style="331" customWidth="1"/>
    <col min="17" max="17" width="4.5703125" style="331" customWidth="1"/>
    <col min="18" max="18" width="15.42578125" style="331" customWidth="1"/>
    <col min="19" max="19" width="5.5703125" style="335" customWidth="1"/>
    <col min="20" max="20" width="11.7109375" style="331" bestFit="1" customWidth="1"/>
    <col min="21" max="16384" width="9.140625" style="331"/>
  </cols>
  <sheetData>
    <row r="1" spans="1:21" ht="15.75">
      <c r="C1" s="332" t="s">
        <v>645</v>
      </c>
      <c r="D1" s="332"/>
      <c r="M1" s="333" t="s">
        <v>646</v>
      </c>
      <c r="N1" s="334">
        <v>40982</v>
      </c>
    </row>
    <row r="2" spans="1:21" ht="15.75">
      <c r="C2" s="336" t="s">
        <v>647</v>
      </c>
      <c r="D2" s="336"/>
      <c r="M2" s="333" t="s">
        <v>648</v>
      </c>
      <c r="N2" s="334">
        <v>40983</v>
      </c>
    </row>
    <row r="3" spans="1:21">
      <c r="C3" s="331"/>
      <c r="D3" s="331"/>
    </row>
    <row r="4" spans="1:21">
      <c r="C4" s="337" t="s">
        <v>649</v>
      </c>
      <c r="D4" s="337"/>
    </row>
    <row r="5" spans="1:21">
      <c r="C5" s="335">
        <v>1</v>
      </c>
      <c r="D5" s="335">
        <v>2</v>
      </c>
      <c r="E5" s="335">
        <v>3</v>
      </c>
      <c r="F5" s="335">
        <v>4</v>
      </c>
      <c r="G5" s="335">
        <v>5</v>
      </c>
      <c r="H5" s="335">
        <v>6</v>
      </c>
      <c r="I5" s="335">
        <v>7</v>
      </c>
      <c r="J5" s="335">
        <v>8</v>
      </c>
      <c r="K5" s="335">
        <v>9</v>
      </c>
      <c r="L5" s="335">
        <v>10</v>
      </c>
      <c r="M5" s="335">
        <v>11</v>
      </c>
      <c r="N5" s="335">
        <v>12</v>
      </c>
      <c r="O5" s="335">
        <v>13</v>
      </c>
      <c r="P5" s="335">
        <v>14</v>
      </c>
      <c r="Q5" s="335">
        <v>15</v>
      </c>
      <c r="R5" s="335">
        <v>16</v>
      </c>
      <c r="S5" s="335">
        <v>17</v>
      </c>
      <c r="T5" s="335">
        <v>18</v>
      </c>
    </row>
    <row r="6" spans="1:21">
      <c r="A6" s="331" t="s">
        <v>650</v>
      </c>
      <c r="F6" s="331" t="s">
        <v>651</v>
      </c>
      <c r="G6" s="677" t="s">
        <v>220</v>
      </c>
      <c r="H6" s="678"/>
      <c r="I6" s="679"/>
      <c r="O6" s="331" t="s">
        <v>652</v>
      </c>
      <c r="R6" s="339" t="s">
        <v>454</v>
      </c>
    </row>
    <row r="7" spans="1:21" ht="39.75" customHeight="1">
      <c r="A7" s="331" t="s">
        <v>653</v>
      </c>
      <c r="B7" s="331" t="s">
        <v>654</v>
      </c>
      <c r="C7" s="335" t="s">
        <v>588</v>
      </c>
      <c r="D7" s="340" t="s">
        <v>147</v>
      </c>
      <c r="E7" s="341" t="s">
        <v>148</v>
      </c>
      <c r="F7" s="335" t="s">
        <v>653</v>
      </c>
      <c r="G7" s="342" t="s">
        <v>653</v>
      </c>
      <c r="H7" s="343" t="s">
        <v>655</v>
      </c>
      <c r="I7" s="344" t="s">
        <v>656</v>
      </c>
      <c r="J7" s="345" t="s">
        <v>221</v>
      </c>
      <c r="K7" s="345" t="s">
        <v>222</v>
      </c>
      <c r="L7" s="346" t="s">
        <v>223</v>
      </c>
      <c r="M7" s="335" t="s">
        <v>224</v>
      </c>
      <c r="N7" s="335" t="s">
        <v>392</v>
      </c>
      <c r="O7" s="331" t="s">
        <v>653</v>
      </c>
      <c r="P7" s="331" t="s">
        <v>657</v>
      </c>
      <c r="R7" s="339" t="s">
        <v>658</v>
      </c>
      <c r="S7" s="335" t="s">
        <v>659</v>
      </c>
      <c r="T7" s="680" t="s">
        <v>660</v>
      </c>
      <c r="U7" s="680"/>
    </row>
    <row r="8" spans="1:21" ht="13.5" customHeight="1">
      <c r="E8" s="341"/>
      <c r="F8" s="335"/>
      <c r="G8" s="347"/>
      <c r="H8" s="348"/>
      <c r="I8" s="349">
        <v>543970</v>
      </c>
      <c r="J8" s="350">
        <v>543971</v>
      </c>
      <c r="K8" s="350">
        <v>543972</v>
      </c>
      <c r="L8" s="351">
        <v>543973</v>
      </c>
      <c r="M8" s="335"/>
      <c r="N8" s="335"/>
      <c r="R8" s="339"/>
      <c r="T8" s="335"/>
      <c r="U8" s="335"/>
    </row>
    <row r="9" spans="1:21">
      <c r="E9" s="337" t="s">
        <v>661</v>
      </c>
      <c r="G9" s="352"/>
      <c r="H9" s="353"/>
      <c r="I9" s="349"/>
      <c r="J9" s="354"/>
      <c r="K9" s="354"/>
      <c r="L9" s="351"/>
      <c r="R9" s="355"/>
    </row>
    <row r="10" spans="1:21">
      <c r="A10" s="356">
        <v>477106.3016037285</v>
      </c>
      <c r="B10" s="356">
        <v>477674.69306628918</v>
      </c>
      <c r="C10" s="335">
        <v>1000</v>
      </c>
      <c r="D10" s="335">
        <v>10130</v>
      </c>
      <c r="E10" s="331" t="s">
        <v>28</v>
      </c>
      <c r="F10" s="356">
        <v>497711.2269368408</v>
      </c>
      <c r="G10" s="357">
        <v>466643.15334243816</v>
      </c>
      <c r="H10" s="358">
        <v>98578</v>
      </c>
      <c r="I10" s="359">
        <f>G10-H10</f>
        <v>368065.15334243816</v>
      </c>
      <c r="J10" s="360">
        <v>0</v>
      </c>
      <c r="K10" s="360">
        <v>23242.649367345119</v>
      </c>
      <c r="L10" s="361">
        <v>3001.9242270574791</v>
      </c>
      <c r="M10" s="356">
        <v>0</v>
      </c>
      <c r="N10" s="356">
        <v>4823.5</v>
      </c>
      <c r="O10" s="356">
        <v>20604.925333112304</v>
      </c>
      <c r="P10" s="356">
        <v>20036.533870551619</v>
      </c>
      <c r="R10" s="362">
        <f>G10+J10+K10+L10</f>
        <v>492887.7269368408</v>
      </c>
      <c r="S10" s="363" t="s">
        <v>604</v>
      </c>
      <c r="T10" s="356">
        <f>SUM(G10:N10)-I10-H10</f>
        <v>497711.2269368408</v>
      </c>
      <c r="U10" s="356">
        <f>F10-T10</f>
        <v>0</v>
      </c>
    </row>
    <row r="11" spans="1:21">
      <c r="A11" s="356">
        <v>480754.54518897808</v>
      </c>
      <c r="B11" s="356">
        <v>486720.82328249945</v>
      </c>
      <c r="C11" s="335">
        <v>1001</v>
      </c>
      <c r="D11" s="335">
        <v>10131</v>
      </c>
      <c r="E11" s="331" t="s">
        <v>29</v>
      </c>
      <c r="F11" s="356">
        <v>450817.02303354902</v>
      </c>
      <c r="G11" s="357">
        <v>434574.95508774044</v>
      </c>
      <c r="H11" s="358">
        <v>89231</v>
      </c>
      <c r="I11" s="359">
        <f>G11-H11</f>
        <v>345343.95508774044</v>
      </c>
      <c r="J11" s="360">
        <v>0</v>
      </c>
      <c r="K11" s="360">
        <v>10079.605832279902</v>
      </c>
      <c r="L11" s="361">
        <v>1500.9621135287396</v>
      </c>
      <c r="M11" s="356">
        <v>0</v>
      </c>
      <c r="N11" s="356">
        <v>4661.5</v>
      </c>
      <c r="O11" s="356">
        <v>-29937.522155429062</v>
      </c>
      <c r="P11" s="356">
        <v>-35903.800248950429</v>
      </c>
      <c r="R11" s="362">
        <f>G11+J11+K11+L11</f>
        <v>446155.52303354908</v>
      </c>
      <c r="S11" s="363" t="s">
        <v>604</v>
      </c>
      <c r="T11" s="356">
        <f>SUM(G11:N11)-I11-H11</f>
        <v>450817.02303354908</v>
      </c>
      <c r="U11" s="356">
        <f>F11-T11</f>
        <v>0</v>
      </c>
    </row>
    <row r="12" spans="1:21">
      <c r="A12" s="356">
        <v>564618.2777808751</v>
      </c>
      <c r="B12" s="356">
        <v>570878.99897861178</v>
      </c>
      <c r="C12" s="335">
        <v>1002</v>
      </c>
      <c r="D12" s="335">
        <v>10132</v>
      </c>
      <c r="E12" s="331" t="s">
        <v>30</v>
      </c>
      <c r="F12" s="356">
        <v>540851.48261657718</v>
      </c>
      <c r="G12" s="357">
        <v>502729.24031324027</v>
      </c>
      <c r="H12" s="358">
        <v>107179</v>
      </c>
      <c r="I12" s="359">
        <f>G12-H12</f>
        <v>395550.24031324027</v>
      </c>
      <c r="J12" s="360">
        <v>0</v>
      </c>
      <c r="K12" s="360">
        <v>32113.068823866855</v>
      </c>
      <c r="L12" s="361">
        <v>1050.6734794701176</v>
      </c>
      <c r="M12" s="356">
        <v>0</v>
      </c>
      <c r="N12" s="356">
        <v>4958.5</v>
      </c>
      <c r="O12" s="356">
        <v>-23766.795164297917</v>
      </c>
      <c r="P12" s="356">
        <v>-30027.516362034599</v>
      </c>
      <c r="R12" s="362">
        <f>G12+J12+K12+L12</f>
        <v>535892.98261657718</v>
      </c>
      <c r="S12" s="363" t="s">
        <v>604</v>
      </c>
      <c r="T12" s="356">
        <f>SUM(G12:N12)-I12-H12</f>
        <v>540851.4826165773</v>
      </c>
      <c r="U12" s="356">
        <f>F12-T12</f>
        <v>0</v>
      </c>
    </row>
    <row r="13" spans="1:21">
      <c r="A13" s="356">
        <v>599716.3642584848</v>
      </c>
      <c r="B13" s="356">
        <v>571554.72296713525</v>
      </c>
      <c r="C13" s="335">
        <v>1003</v>
      </c>
      <c r="D13" s="335">
        <v>10133</v>
      </c>
      <c r="E13" s="331" t="s">
        <v>31</v>
      </c>
      <c r="F13" s="356">
        <v>539961.11766369757</v>
      </c>
      <c r="G13" s="357">
        <v>509546.33653385867</v>
      </c>
      <c r="H13" s="358">
        <v>107010</v>
      </c>
      <c r="I13" s="359">
        <f>G13-H13</f>
        <v>402536.33653385867</v>
      </c>
      <c r="J13" s="360">
        <v>0</v>
      </c>
      <c r="K13" s="360">
        <v>20100.067521135446</v>
      </c>
      <c r="L13" s="361">
        <v>5403.4636087034623</v>
      </c>
      <c r="M13" s="356">
        <v>0</v>
      </c>
      <c r="N13" s="356">
        <v>4911.25</v>
      </c>
      <c r="O13" s="356">
        <v>-59755.246594787226</v>
      </c>
      <c r="P13" s="356">
        <v>-31593.605303437682</v>
      </c>
      <c r="R13" s="362">
        <f>G13+J13+K13+L13</f>
        <v>535049.86766369757</v>
      </c>
      <c r="S13" s="363" t="s">
        <v>604</v>
      </c>
      <c r="T13" s="356">
        <f>SUM(G13:N13)-I13-H13</f>
        <v>539961.11766369757</v>
      </c>
      <c r="U13" s="356">
        <f>F13-T13</f>
        <v>0</v>
      </c>
    </row>
    <row r="14" spans="1:21">
      <c r="A14" s="364">
        <f>SUM(A10:A13)</f>
        <v>2122195.4888320663</v>
      </c>
      <c r="B14" s="364">
        <f>SUM(B10:B13)</f>
        <v>2106829.2382945358</v>
      </c>
      <c r="C14" s="338"/>
      <c r="D14" s="338"/>
      <c r="E14" s="365" t="s">
        <v>662</v>
      </c>
      <c r="F14" s="364">
        <f>SUM(F10:F13)</f>
        <v>2029340.8502506644</v>
      </c>
      <c r="G14" s="366">
        <f>SUM(G10:G13)</f>
        <v>1913493.6852772776</v>
      </c>
      <c r="H14" s="367">
        <f>SUM(H10:H13)</f>
        <v>401998</v>
      </c>
      <c r="I14" s="368">
        <f>SUM(I10:I13)</f>
        <v>1511495.6852772776</v>
      </c>
      <c r="J14" s="369">
        <f t="shared" ref="J14:R14" si="0">SUM(J10:J13)</f>
        <v>0</v>
      </c>
      <c r="K14" s="369">
        <f t="shared" si="0"/>
        <v>85535.391544627317</v>
      </c>
      <c r="L14" s="370">
        <f t="shared" si="0"/>
        <v>10957.0234287598</v>
      </c>
      <c r="M14" s="364">
        <f t="shared" si="0"/>
        <v>0</v>
      </c>
      <c r="N14" s="364">
        <f t="shared" si="0"/>
        <v>19354.75</v>
      </c>
      <c r="O14" s="364">
        <f t="shared" si="0"/>
        <v>-92854.638581401901</v>
      </c>
      <c r="P14" s="364">
        <f t="shared" si="0"/>
        <v>-77488.388043871091</v>
      </c>
      <c r="R14" s="371">
        <f t="shared" si="0"/>
        <v>2009986.1002506646</v>
      </c>
    </row>
    <row r="15" spans="1:21">
      <c r="A15" s="356"/>
      <c r="B15" s="356"/>
      <c r="F15" s="356"/>
      <c r="G15" s="357"/>
      <c r="H15" s="358"/>
      <c r="I15" s="359"/>
      <c r="J15" s="360"/>
      <c r="K15" s="360"/>
      <c r="L15" s="361"/>
      <c r="M15" s="356"/>
      <c r="N15" s="356"/>
      <c r="O15" s="356"/>
      <c r="P15" s="356"/>
      <c r="R15" s="355"/>
    </row>
    <row r="16" spans="1:21">
      <c r="A16" s="356"/>
      <c r="B16" s="356"/>
      <c r="E16" s="337" t="s">
        <v>663</v>
      </c>
      <c r="G16" s="352"/>
      <c r="H16" s="353"/>
      <c r="I16" s="372"/>
      <c r="J16" s="373"/>
      <c r="K16" s="373"/>
      <c r="L16" s="374"/>
      <c r="R16" s="355"/>
    </row>
    <row r="17" spans="1:21">
      <c r="A17" s="356">
        <v>1364161.7293942117</v>
      </c>
      <c r="B17" s="356">
        <v>1387451.1901714075</v>
      </c>
      <c r="C17" s="335">
        <v>3520</v>
      </c>
      <c r="D17" s="335">
        <v>11094</v>
      </c>
      <c r="E17" s="331" t="s">
        <v>327</v>
      </c>
      <c r="F17" s="356">
        <v>1517592.3544252913</v>
      </c>
      <c r="G17" s="357">
        <v>1421007.9766174778</v>
      </c>
      <c r="H17" s="358">
        <v>0</v>
      </c>
      <c r="I17" s="359">
        <f t="shared" ref="I17:I80" si="1">G17-H17</f>
        <v>1421007.9766174778</v>
      </c>
      <c r="J17" s="360">
        <v>0</v>
      </c>
      <c r="K17" s="360">
        <v>91034.75130804356</v>
      </c>
      <c r="L17" s="361">
        <v>149.62649976991625</v>
      </c>
      <c r="M17" s="356">
        <v>5400</v>
      </c>
      <c r="N17" s="356">
        <v>0</v>
      </c>
      <c r="O17" s="356">
        <v>153430.62503107963</v>
      </c>
      <c r="P17" s="356">
        <v>130141.16425388376</v>
      </c>
      <c r="R17" s="362">
        <f>G17+J17+K17+L17</f>
        <v>1512192.3544252913</v>
      </c>
      <c r="S17" s="335" t="s">
        <v>214</v>
      </c>
      <c r="T17" s="356">
        <f t="shared" ref="T17:T80" si="2">SUM(G17:N17)-I17-H17</f>
        <v>1517592.3544252911</v>
      </c>
      <c r="U17" s="356">
        <f t="shared" ref="U17:U80" si="3">F17-T17</f>
        <v>0</v>
      </c>
    </row>
    <row r="18" spans="1:21">
      <c r="A18" s="356">
        <v>974327.16243310913</v>
      </c>
      <c r="B18" s="356">
        <v>1002686.7765634295</v>
      </c>
      <c r="C18" s="335">
        <v>3317</v>
      </c>
      <c r="D18" s="335">
        <v>10042</v>
      </c>
      <c r="E18" s="331" t="s">
        <v>328</v>
      </c>
      <c r="F18" s="356">
        <v>1065238.6506082306</v>
      </c>
      <c r="G18" s="357">
        <v>933966.29969904479</v>
      </c>
      <c r="H18" s="358">
        <v>208438</v>
      </c>
      <c r="I18" s="359">
        <f t="shared" si="1"/>
        <v>725528.29969904479</v>
      </c>
      <c r="J18" s="360">
        <v>0</v>
      </c>
      <c r="K18" s="360">
        <v>105903.14016275205</v>
      </c>
      <c r="L18" s="361">
        <v>2319.2107464337018</v>
      </c>
      <c r="M18" s="356">
        <v>23050</v>
      </c>
      <c r="N18" s="356">
        <v>0</v>
      </c>
      <c r="O18" s="356">
        <v>90911.488175121485</v>
      </c>
      <c r="P18" s="356">
        <v>62551.874044801109</v>
      </c>
      <c r="R18" s="362">
        <f>G18+J18+K18+L18</f>
        <v>1042188.6506082305</v>
      </c>
      <c r="S18" s="335" t="s">
        <v>604</v>
      </c>
      <c r="T18" s="356">
        <f t="shared" si="2"/>
        <v>1065238.6506082304</v>
      </c>
      <c r="U18" s="356">
        <f t="shared" si="3"/>
        <v>0</v>
      </c>
    </row>
    <row r="19" spans="1:21">
      <c r="A19" s="356">
        <v>1007396.5071507657</v>
      </c>
      <c r="B19" s="356">
        <v>1043377.1441012244</v>
      </c>
      <c r="C19" s="335">
        <v>3300</v>
      </c>
      <c r="D19" s="335">
        <v>10040</v>
      </c>
      <c r="E19" s="331" t="s">
        <v>329</v>
      </c>
      <c r="F19" s="356">
        <v>1079366.942926487</v>
      </c>
      <c r="G19" s="357">
        <v>809344.61981939222</v>
      </c>
      <c r="H19" s="358">
        <v>205193</v>
      </c>
      <c r="I19" s="359">
        <f t="shared" si="1"/>
        <v>604151.61981939222</v>
      </c>
      <c r="J19" s="360">
        <v>0</v>
      </c>
      <c r="K19" s="360">
        <v>207794.35962066965</v>
      </c>
      <c r="L19" s="361">
        <v>8827.9634864250584</v>
      </c>
      <c r="M19" s="356">
        <v>53400</v>
      </c>
      <c r="N19" s="356">
        <v>0</v>
      </c>
      <c r="O19" s="356">
        <v>71970.435775721213</v>
      </c>
      <c r="P19" s="356">
        <v>35989.79882526258</v>
      </c>
      <c r="R19" s="362">
        <f>G19+J19+K19+L19</f>
        <v>1025966.942926487</v>
      </c>
      <c r="S19" s="335" t="s">
        <v>604</v>
      </c>
      <c r="T19" s="356">
        <f t="shared" si="2"/>
        <v>1079366.942926487</v>
      </c>
      <c r="U19" s="356">
        <f t="shared" si="3"/>
        <v>0</v>
      </c>
    </row>
    <row r="20" spans="1:21">
      <c r="A20" s="356">
        <v>2408433.4569384186</v>
      </c>
      <c r="B20" s="356">
        <v>2506765.7807579832</v>
      </c>
      <c r="C20" s="335">
        <v>2002</v>
      </c>
      <c r="D20" s="335">
        <v>10044</v>
      </c>
      <c r="E20" s="331" t="s">
        <v>330</v>
      </c>
      <c r="F20" s="356">
        <v>2673161.8877350069</v>
      </c>
      <c r="G20" s="357">
        <v>1982025.7231774256</v>
      </c>
      <c r="H20" s="358">
        <v>0</v>
      </c>
      <c r="I20" s="359">
        <f t="shared" si="1"/>
        <v>1982025.7231774256</v>
      </c>
      <c r="J20" s="360">
        <v>0</v>
      </c>
      <c r="K20" s="360">
        <v>493520.04809462401</v>
      </c>
      <c r="L20" s="361">
        <v>24089.866462956517</v>
      </c>
      <c r="M20" s="356">
        <v>163800</v>
      </c>
      <c r="N20" s="356">
        <v>9726.25</v>
      </c>
      <c r="O20" s="356">
        <v>264728.43079658831</v>
      </c>
      <c r="P20" s="356">
        <v>166396.10697702365</v>
      </c>
      <c r="R20" s="362">
        <f>G20+J20+K20+L20</f>
        <v>2499635.6377350064</v>
      </c>
      <c r="S20" s="335" t="s">
        <v>664</v>
      </c>
      <c r="T20" s="356">
        <f t="shared" si="2"/>
        <v>2673161.8877350055</v>
      </c>
      <c r="U20" s="356">
        <f t="shared" si="3"/>
        <v>0</v>
      </c>
    </row>
    <row r="21" spans="1:21">
      <c r="A21" s="356">
        <v>1773845.7665297762</v>
      </c>
      <c r="B21" s="356">
        <v>1792979.5589142574</v>
      </c>
      <c r="C21" s="335">
        <v>2079</v>
      </c>
      <c r="D21" s="335">
        <v>10128</v>
      </c>
      <c r="E21" s="331" t="s">
        <v>331</v>
      </c>
      <c r="F21" s="356">
        <v>1871318.1682408671</v>
      </c>
      <c r="G21" s="357">
        <v>1751022.2810771414</v>
      </c>
      <c r="H21" s="358">
        <v>293986</v>
      </c>
      <c r="I21" s="359">
        <f t="shared" si="1"/>
        <v>1457036.2810771414</v>
      </c>
      <c r="J21" s="360">
        <v>0</v>
      </c>
      <c r="K21" s="360">
        <v>109495.88716372565</v>
      </c>
      <c r="L21" s="361">
        <v>0</v>
      </c>
      <c r="M21" s="356">
        <v>10800</v>
      </c>
      <c r="N21" s="356">
        <v>0</v>
      </c>
      <c r="O21" s="356">
        <v>97472.401711090934</v>
      </c>
      <c r="P21" s="356">
        <v>78338.609326609643</v>
      </c>
      <c r="R21" s="362">
        <f>G21+J21+K21+L21</f>
        <v>1860518.1682408671</v>
      </c>
      <c r="S21" s="335" t="s">
        <v>604</v>
      </c>
      <c r="T21" s="356">
        <f t="shared" si="2"/>
        <v>1871318.1682408671</v>
      </c>
      <c r="U21" s="356">
        <f t="shared" si="3"/>
        <v>0</v>
      </c>
    </row>
    <row r="22" spans="1:21">
      <c r="A22" s="356">
        <v>2007906.9342542074</v>
      </c>
      <c r="B22" s="356">
        <v>2021595.2226381165</v>
      </c>
      <c r="C22" s="335">
        <v>2003</v>
      </c>
      <c r="D22" s="335">
        <v>10045</v>
      </c>
      <c r="E22" s="331" t="s">
        <v>332</v>
      </c>
      <c r="F22" s="356">
        <v>2097896.72131385</v>
      </c>
      <c r="G22" s="357">
        <v>1588369.6582398806</v>
      </c>
      <c r="H22" s="358">
        <v>398559</v>
      </c>
      <c r="I22" s="359">
        <f t="shared" si="1"/>
        <v>1189810.6582398806</v>
      </c>
      <c r="J22" s="360">
        <v>0</v>
      </c>
      <c r="K22" s="360">
        <v>388414.77759858832</v>
      </c>
      <c r="L22" s="361">
        <v>16010.035475381039</v>
      </c>
      <c r="M22" s="356">
        <v>96600</v>
      </c>
      <c r="N22" s="356">
        <v>8502.25</v>
      </c>
      <c r="O22" s="356">
        <v>89989.787059642607</v>
      </c>
      <c r="P22" s="356">
        <v>76301.498675733572</v>
      </c>
      <c r="R22" s="362">
        <f t="shared" ref="R22:R85" si="4">G22+J22+K22+L22</f>
        <v>1992794.4713138498</v>
      </c>
      <c r="S22" s="335" t="s">
        <v>604</v>
      </c>
      <c r="T22" s="356">
        <f t="shared" si="2"/>
        <v>2097896.72131385</v>
      </c>
      <c r="U22" s="356">
        <f t="shared" si="3"/>
        <v>0</v>
      </c>
    </row>
    <row r="23" spans="1:21">
      <c r="A23" s="356">
        <v>1050641.7007842429</v>
      </c>
      <c r="B23" s="356">
        <v>1172042.5548330513</v>
      </c>
      <c r="C23" s="335">
        <v>3511</v>
      </c>
      <c r="D23" s="335">
        <v>10115</v>
      </c>
      <c r="E23" s="331" t="s">
        <v>40</v>
      </c>
      <c r="F23" s="356">
        <v>1261864.0762851606</v>
      </c>
      <c r="G23" s="357">
        <v>990293.22427984281</v>
      </c>
      <c r="H23" s="358">
        <v>243733</v>
      </c>
      <c r="I23" s="359">
        <f t="shared" si="1"/>
        <v>746560.22427984281</v>
      </c>
      <c r="J23" s="360">
        <v>0</v>
      </c>
      <c r="K23" s="360">
        <v>216999.23802280406</v>
      </c>
      <c r="L23" s="361">
        <v>11371.613982513634</v>
      </c>
      <c r="M23" s="356">
        <v>43200</v>
      </c>
      <c r="N23" s="356">
        <v>0</v>
      </c>
      <c r="O23" s="356">
        <v>211222.37550091767</v>
      </c>
      <c r="P23" s="356">
        <v>89821.521452109329</v>
      </c>
      <c r="R23" s="362">
        <f t="shared" si="4"/>
        <v>1218664.0762851604</v>
      </c>
      <c r="S23" s="335" t="s">
        <v>604</v>
      </c>
      <c r="T23" s="356">
        <f t="shared" si="2"/>
        <v>1261864.0762851606</v>
      </c>
      <c r="U23" s="356">
        <f t="shared" si="3"/>
        <v>0</v>
      </c>
    </row>
    <row r="24" spans="1:21">
      <c r="A24" s="356">
        <v>2779347.6732278415</v>
      </c>
      <c r="B24" s="356">
        <v>2857953.7630700027</v>
      </c>
      <c r="C24" s="335">
        <v>3519</v>
      </c>
      <c r="D24" s="335">
        <v>10134</v>
      </c>
      <c r="E24" s="331" t="s">
        <v>41</v>
      </c>
      <c r="F24" s="356">
        <v>3194538.8156241719</v>
      </c>
      <c r="G24" s="357">
        <v>2151411.9273688011</v>
      </c>
      <c r="H24" s="358">
        <v>610392</v>
      </c>
      <c r="I24" s="359">
        <f t="shared" si="1"/>
        <v>1541019.9273688011</v>
      </c>
      <c r="J24" s="360">
        <v>0</v>
      </c>
      <c r="K24" s="360">
        <v>878700.91928896226</v>
      </c>
      <c r="L24" s="361">
        <v>21845.468966407774</v>
      </c>
      <c r="M24" s="356">
        <v>132600</v>
      </c>
      <c r="N24" s="356">
        <v>9980.5</v>
      </c>
      <c r="O24" s="356">
        <v>415191.14239633037</v>
      </c>
      <c r="P24" s="356">
        <v>336585.0525541692</v>
      </c>
      <c r="R24" s="362">
        <f t="shared" si="4"/>
        <v>3051958.3156241709</v>
      </c>
      <c r="S24" s="335" t="s">
        <v>604</v>
      </c>
      <c r="T24" s="356">
        <f t="shared" si="2"/>
        <v>3194538.8156241709</v>
      </c>
      <c r="U24" s="356">
        <f t="shared" si="3"/>
        <v>0</v>
      </c>
    </row>
    <row r="25" spans="1:21">
      <c r="A25" s="356">
        <v>1264880.1582254916</v>
      </c>
      <c r="B25" s="356">
        <v>1260248.8499086616</v>
      </c>
      <c r="C25" s="335">
        <v>2008</v>
      </c>
      <c r="D25" s="335">
        <v>10047</v>
      </c>
      <c r="E25" s="331" t="s">
        <v>333</v>
      </c>
      <c r="F25" s="356">
        <v>1311404.4594889949</v>
      </c>
      <c r="G25" s="357">
        <v>1125986.2283811001</v>
      </c>
      <c r="H25" s="358">
        <v>256603</v>
      </c>
      <c r="I25" s="359">
        <f t="shared" si="1"/>
        <v>869383.22838110011</v>
      </c>
      <c r="J25" s="360">
        <v>0</v>
      </c>
      <c r="K25" s="360">
        <v>154560.89386169106</v>
      </c>
      <c r="L25" s="361">
        <v>2468.8372462036182</v>
      </c>
      <c r="M25" s="356">
        <v>21000</v>
      </c>
      <c r="N25" s="356">
        <v>7388.5</v>
      </c>
      <c r="O25" s="356">
        <v>46524.301263503265</v>
      </c>
      <c r="P25" s="356">
        <v>51155.609580333345</v>
      </c>
      <c r="R25" s="362">
        <f t="shared" si="4"/>
        <v>1283015.9594889947</v>
      </c>
      <c r="S25" s="335" t="s">
        <v>604</v>
      </c>
      <c r="T25" s="356">
        <f t="shared" si="2"/>
        <v>1311404.4594889949</v>
      </c>
      <c r="U25" s="356">
        <f t="shared" si="3"/>
        <v>0</v>
      </c>
    </row>
    <row r="26" spans="1:21">
      <c r="A26" s="356">
        <v>1448780.2942396039</v>
      </c>
      <c r="B26" s="356">
        <v>1481614.8521715666</v>
      </c>
      <c r="C26" s="335">
        <v>2007</v>
      </c>
      <c r="D26" s="335">
        <v>10046</v>
      </c>
      <c r="E26" s="331" t="s">
        <v>43</v>
      </c>
      <c r="F26" s="356">
        <v>1509142.1527443493</v>
      </c>
      <c r="G26" s="357">
        <v>1296331.9424401142</v>
      </c>
      <c r="H26" s="358">
        <v>294578</v>
      </c>
      <c r="I26" s="359">
        <f t="shared" si="1"/>
        <v>1001753.9424401142</v>
      </c>
      <c r="J26" s="360">
        <v>0</v>
      </c>
      <c r="K26" s="360">
        <v>174166.18630791613</v>
      </c>
      <c r="L26" s="361">
        <v>2394.02399631866</v>
      </c>
      <c r="M26" s="356">
        <v>28200</v>
      </c>
      <c r="N26" s="356">
        <v>8050</v>
      </c>
      <c r="O26" s="356">
        <v>60361.858504745411</v>
      </c>
      <c r="P26" s="356">
        <v>27527.300572782755</v>
      </c>
      <c r="R26" s="362">
        <f t="shared" si="4"/>
        <v>1472892.1527443491</v>
      </c>
      <c r="S26" s="335" t="s">
        <v>604</v>
      </c>
      <c r="T26" s="356">
        <f t="shared" si="2"/>
        <v>1509142.1527443489</v>
      </c>
      <c r="U26" s="356">
        <f t="shared" si="3"/>
        <v>0</v>
      </c>
    </row>
    <row r="27" spans="1:21">
      <c r="A27" s="356">
        <v>1320655.2065167157</v>
      </c>
      <c r="B27" s="356">
        <v>1347007.8732537364</v>
      </c>
      <c r="C27" s="335">
        <v>2009</v>
      </c>
      <c r="D27" s="335">
        <v>10048</v>
      </c>
      <c r="E27" s="331" t="s">
        <v>334</v>
      </c>
      <c r="F27" s="356">
        <v>1469397.4933462939</v>
      </c>
      <c r="G27" s="357">
        <v>1144686.3659364046</v>
      </c>
      <c r="H27" s="358">
        <v>280507</v>
      </c>
      <c r="I27" s="359">
        <f t="shared" si="1"/>
        <v>864179.36593640456</v>
      </c>
      <c r="J27" s="360">
        <v>0</v>
      </c>
      <c r="K27" s="360">
        <v>250290.7391715082</v>
      </c>
      <c r="L27" s="361">
        <v>7556.1382383807704</v>
      </c>
      <c r="M27" s="356">
        <v>60000</v>
      </c>
      <c r="N27" s="356">
        <v>6864.25</v>
      </c>
      <c r="O27" s="356">
        <v>148742.28682957822</v>
      </c>
      <c r="P27" s="356">
        <v>122389.62009255751</v>
      </c>
      <c r="R27" s="362">
        <f t="shared" si="4"/>
        <v>1402533.2433462935</v>
      </c>
      <c r="S27" s="335" t="s">
        <v>604</v>
      </c>
      <c r="T27" s="356">
        <f t="shared" si="2"/>
        <v>1469397.4933462935</v>
      </c>
      <c r="U27" s="356">
        <f t="shared" si="3"/>
        <v>0</v>
      </c>
    </row>
    <row r="28" spans="1:21">
      <c r="A28" s="356">
        <v>1051816.5087772293</v>
      </c>
      <c r="B28" s="356">
        <v>993713.50640408369</v>
      </c>
      <c r="C28" s="335">
        <v>2067</v>
      </c>
      <c r="D28" s="335">
        <v>10118</v>
      </c>
      <c r="E28" s="331" t="s">
        <v>335</v>
      </c>
      <c r="F28" s="356">
        <v>1002184.2987869217</v>
      </c>
      <c r="G28" s="357">
        <v>821261.01544462575</v>
      </c>
      <c r="H28" s="358">
        <v>191690</v>
      </c>
      <c r="I28" s="359">
        <f t="shared" si="1"/>
        <v>629571.01544462575</v>
      </c>
      <c r="J28" s="360">
        <v>0</v>
      </c>
      <c r="K28" s="360">
        <v>134795.50934597731</v>
      </c>
      <c r="L28" s="361">
        <v>2394.02399631866</v>
      </c>
      <c r="M28" s="356">
        <v>37450</v>
      </c>
      <c r="N28" s="356">
        <v>6283.75</v>
      </c>
      <c r="O28" s="356">
        <v>-49632.209990307689</v>
      </c>
      <c r="P28" s="356">
        <v>8470.7923828379717</v>
      </c>
      <c r="R28" s="362">
        <f t="shared" si="4"/>
        <v>958450.54878692178</v>
      </c>
      <c r="S28" s="335" t="s">
        <v>604</v>
      </c>
      <c r="T28" s="356">
        <f t="shared" si="2"/>
        <v>1002184.2987869219</v>
      </c>
      <c r="U28" s="356">
        <f t="shared" si="3"/>
        <v>0</v>
      </c>
    </row>
    <row r="29" spans="1:21">
      <c r="A29" s="356">
        <v>2183291.9573144</v>
      </c>
      <c r="B29" s="356">
        <v>2209582.5106653655</v>
      </c>
      <c r="C29" s="335">
        <v>2010</v>
      </c>
      <c r="D29" s="335">
        <v>10049</v>
      </c>
      <c r="E29" s="331" t="s">
        <v>46</v>
      </c>
      <c r="F29" s="356">
        <v>2318942.984521287</v>
      </c>
      <c r="G29" s="357">
        <v>1483202.1914825069</v>
      </c>
      <c r="H29" s="358">
        <v>441914</v>
      </c>
      <c r="I29" s="359">
        <f t="shared" si="1"/>
        <v>1041288.1914825069</v>
      </c>
      <c r="J29" s="360">
        <v>0</v>
      </c>
      <c r="K29" s="360">
        <v>713050.53455925663</v>
      </c>
      <c r="L29" s="361">
        <v>13316.758479522547</v>
      </c>
      <c r="M29" s="356">
        <v>101400</v>
      </c>
      <c r="N29" s="356">
        <v>7973.5</v>
      </c>
      <c r="O29" s="356">
        <v>135651.02720688703</v>
      </c>
      <c r="P29" s="356">
        <v>109360.47385592153</v>
      </c>
      <c r="R29" s="362">
        <f t="shared" si="4"/>
        <v>2209569.4845212861</v>
      </c>
      <c r="S29" s="335" t="s">
        <v>604</v>
      </c>
      <c r="T29" s="356">
        <f t="shared" si="2"/>
        <v>2318942.9845212866</v>
      </c>
      <c r="U29" s="356">
        <f t="shared" si="3"/>
        <v>0</v>
      </c>
    </row>
    <row r="30" spans="1:21">
      <c r="A30" s="356">
        <v>935833.02479171881</v>
      </c>
      <c r="B30" s="356">
        <v>958881.10343529214</v>
      </c>
      <c r="C30" s="335">
        <v>3302</v>
      </c>
      <c r="D30" s="335">
        <v>10050</v>
      </c>
      <c r="E30" s="331" t="s">
        <v>336</v>
      </c>
      <c r="F30" s="356">
        <v>972241.23740373086</v>
      </c>
      <c r="G30" s="357">
        <v>883271.61149181856</v>
      </c>
      <c r="H30" s="358">
        <v>0</v>
      </c>
      <c r="I30" s="359">
        <f t="shared" si="1"/>
        <v>883271.61149181856</v>
      </c>
      <c r="J30" s="360">
        <v>0</v>
      </c>
      <c r="K30" s="360">
        <v>74871.866913292979</v>
      </c>
      <c r="L30" s="361">
        <v>897.75899861949756</v>
      </c>
      <c r="M30" s="356">
        <v>13200</v>
      </c>
      <c r="N30" s="356">
        <v>0</v>
      </c>
      <c r="O30" s="356">
        <v>36408.212612012052</v>
      </c>
      <c r="P30" s="356">
        <v>13360.13396843872</v>
      </c>
      <c r="R30" s="362">
        <f t="shared" si="4"/>
        <v>959041.23740373109</v>
      </c>
      <c r="S30" s="335" t="s">
        <v>664</v>
      </c>
      <c r="T30" s="356">
        <f t="shared" si="2"/>
        <v>972241.23740373098</v>
      </c>
      <c r="U30" s="356">
        <f t="shared" si="3"/>
        <v>0</v>
      </c>
    </row>
    <row r="31" spans="1:21">
      <c r="A31" s="356">
        <v>924286.9731151989</v>
      </c>
      <c r="B31" s="356">
        <v>984347.87994203495</v>
      </c>
      <c r="C31" s="335">
        <v>2011</v>
      </c>
      <c r="D31" s="335">
        <v>10051</v>
      </c>
      <c r="E31" s="331" t="s">
        <v>48</v>
      </c>
      <c r="F31" s="356">
        <v>1015622.5580542058</v>
      </c>
      <c r="G31" s="357">
        <v>886697.91653115582</v>
      </c>
      <c r="H31" s="358">
        <v>198341</v>
      </c>
      <c r="I31" s="359">
        <f t="shared" si="1"/>
        <v>688356.91653115582</v>
      </c>
      <c r="J31" s="360">
        <v>0</v>
      </c>
      <c r="K31" s="360">
        <v>104181.69577431552</v>
      </c>
      <c r="L31" s="361">
        <v>822.94574873453939</v>
      </c>
      <c r="M31" s="356">
        <v>17400</v>
      </c>
      <c r="N31" s="356">
        <v>6520</v>
      </c>
      <c r="O31" s="356">
        <v>91335.584939006949</v>
      </c>
      <c r="P31" s="356">
        <v>31274.678112170892</v>
      </c>
      <c r="R31" s="362">
        <f t="shared" si="4"/>
        <v>991702.55805420585</v>
      </c>
      <c r="S31" s="335" t="s">
        <v>604</v>
      </c>
      <c r="T31" s="356">
        <f t="shared" si="2"/>
        <v>1015622.558054206</v>
      </c>
      <c r="U31" s="356">
        <f t="shared" si="3"/>
        <v>0</v>
      </c>
    </row>
    <row r="32" spans="1:21">
      <c r="A32" s="356">
        <v>2006204.521487128</v>
      </c>
      <c r="B32" s="356">
        <v>2105877.0413120515</v>
      </c>
      <c r="C32" s="335">
        <v>3522</v>
      </c>
      <c r="D32" s="335">
        <v>10953</v>
      </c>
      <c r="E32" s="331" t="s">
        <v>337</v>
      </c>
      <c r="F32" s="356">
        <v>2240136.0915159611</v>
      </c>
      <c r="G32" s="357">
        <v>1666116.1590298312</v>
      </c>
      <c r="H32" s="358">
        <v>420773</v>
      </c>
      <c r="I32" s="359">
        <f t="shared" si="1"/>
        <v>1245343.1590298312</v>
      </c>
      <c r="J32" s="360">
        <v>0</v>
      </c>
      <c r="K32" s="360">
        <v>424654.61375626206</v>
      </c>
      <c r="L32" s="361">
        <v>13092.318729867671</v>
      </c>
      <c r="M32" s="356">
        <v>127800</v>
      </c>
      <c r="N32" s="356">
        <v>8473</v>
      </c>
      <c r="O32" s="356">
        <v>233931.57002883311</v>
      </c>
      <c r="P32" s="356">
        <v>134259.05020390963</v>
      </c>
      <c r="R32" s="362">
        <f t="shared" si="4"/>
        <v>2103863.0915159606</v>
      </c>
      <c r="S32" s="335" t="s">
        <v>604</v>
      </c>
      <c r="T32" s="356">
        <f t="shared" si="2"/>
        <v>2240136.0915159611</v>
      </c>
      <c r="U32" s="356">
        <f t="shared" si="3"/>
        <v>0</v>
      </c>
    </row>
    <row r="33" spans="1:21">
      <c r="A33" s="356">
        <v>2513398.1606664341</v>
      </c>
      <c r="B33" s="356">
        <v>2552342.0093377442</v>
      </c>
      <c r="C33" s="335">
        <v>2014</v>
      </c>
      <c r="D33" s="335">
        <v>10054</v>
      </c>
      <c r="E33" s="331" t="s">
        <v>338</v>
      </c>
      <c r="F33" s="356">
        <v>2687414.5443238434</v>
      </c>
      <c r="G33" s="357">
        <v>2060702.7880909781</v>
      </c>
      <c r="H33" s="358">
        <v>517674</v>
      </c>
      <c r="I33" s="359">
        <f t="shared" si="1"/>
        <v>1543028.7880909781</v>
      </c>
      <c r="J33" s="360">
        <v>0</v>
      </c>
      <c r="K33" s="360">
        <v>514947.50375242298</v>
      </c>
      <c r="L33" s="361">
        <v>12718.252480442881</v>
      </c>
      <c r="M33" s="356">
        <v>88800</v>
      </c>
      <c r="N33" s="356">
        <v>10246</v>
      </c>
      <c r="O33" s="356">
        <v>174016.38365740934</v>
      </c>
      <c r="P33" s="356">
        <v>135072.53498609923</v>
      </c>
      <c r="R33" s="362">
        <f t="shared" si="4"/>
        <v>2588368.5443238444</v>
      </c>
      <c r="S33" s="335" t="s">
        <v>604</v>
      </c>
      <c r="T33" s="356">
        <f t="shared" si="2"/>
        <v>2687414.5443238439</v>
      </c>
      <c r="U33" s="356">
        <f t="shared" si="3"/>
        <v>0</v>
      </c>
    </row>
    <row r="34" spans="1:21">
      <c r="A34" s="356">
        <v>1657457.2802150834</v>
      </c>
      <c r="B34" s="356">
        <v>1636122.1413351286</v>
      </c>
      <c r="C34" s="335">
        <v>2015</v>
      </c>
      <c r="D34" s="335">
        <v>10055</v>
      </c>
      <c r="E34" s="331" t="s">
        <v>339</v>
      </c>
      <c r="F34" s="356">
        <v>1596264.8198154075</v>
      </c>
      <c r="G34" s="357">
        <v>1078891.7441243115</v>
      </c>
      <c r="H34" s="358">
        <v>306644</v>
      </c>
      <c r="I34" s="359">
        <f t="shared" si="1"/>
        <v>772247.74412431149</v>
      </c>
      <c r="J34" s="360">
        <v>0</v>
      </c>
      <c r="K34" s="360">
        <v>445573.92545455566</v>
      </c>
      <c r="L34" s="361">
        <v>8753.1502365401011</v>
      </c>
      <c r="M34" s="356">
        <v>56400</v>
      </c>
      <c r="N34" s="356">
        <v>6646</v>
      </c>
      <c r="O34" s="356">
        <v>-61192.460399675881</v>
      </c>
      <c r="P34" s="356">
        <v>-39857.321519721067</v>
      </c>
      <c r="R34" s="362">
        <f t="shared" si="4"/>
        <v>1533218.819815407</v>
      </c>
      <c r="S34" s="335" t="s">
        <v>604</v>
      </c>
      <c r="T34" s="356">
        <f t="shared" si="2"/>
        <v>1596264.819815407</v>
      </c>
      <c r="U34" s="356">
        <f t="shared" si="3"/>
        <v>0</v>
      </c>
    </row>
    <row r="35" spans="1:21">
      <c r="A35" s="356">
        <v>921755.02462617226</v>
      </c>
      <c r="B35" s="356">
        <v>942641.62297525769</v>
      </c>
      <c r="C35" s="335">
        <v>2016</v>
      </c>
      <c r="D35" s="335">
        <v>10056</v>
      </c>
      <c r="E35" s="331" t="s">
        <v>53</v>
      </c>
      <c r="F35" s="356">
        <v>985374.57893510675</v>
      </c>
      <c r="G35" s="357">
        <v>845451.82805902453</v>
      </c>
      <c r="H35" s="358">
        <v>192395</v>
      </c>
      <c r="I35" s="359">
        <f t="shared" si="1"/>
        <v>653056.82805902453</v>
      </c>
      <c r="J35" s="360">
        <v>0</v>
      </c>
      <c r="K35" s="360">
        <v>113605.28413056883</v>
      </c>
      <c r="L35" s="361">
        <v>2917.7167455133667</v>
      </c>
      <c r="M35" s="356">
        <v>23400</v>
      </c>
      <c r="N35" s="356">
        <v>-0.25</v>
      </c>
      <c r="O35" s="356">
        <v>63619.554308934486</v>
      </c>
      <c r="P35" s="356">
        <v>42732.95595984906</v>
      </c>
      <c r="R35" s="362">
        <f t="shared" si="4"/>
        <v>961974.82893510675</v>
      </c>
      <c r="S35" s="335" t="s">
        <v>604</v>
      </c>
      <c r="T35" s="356">
        <f t="shared" si="2"/>
        <v>985374.57893510675</v>
      </c>
      <c r="U35" s="356">
        <f t="shared" si="3"/>
        <v>0</v>
      </c>
    </row>
    <row r="36" spans="1:21">
      <c r="A36" s="356">
        <v>1658064.2866403405</v>
      </c>
      <c r="B36" s="356">
        <v>1685869.4388662442</v>
      </c>
      <c r="C36" s="335">
        <v>2017</v>
      </c>
      <c r="D36" s="335">
        <v>10057</v>
      </c>
      <c r="E36" s="331" t="s">
        <v>340</v>
      </c>
      <c r="F36" s="356">
        <v>1763128.7245766053</v>
      </c>
      <c r="G36" s="357">
        <v>1476849.9061860254</v>
      </c>
      <c r="H36" s="358">
        <v>337132</v>
      </c>
      <c r="I36" s="359">
        <f t="shared" si="1"/>
        <v>1139717.9061860254</v>
      </c>
      <c r="J36" s="360">
        <v>0</v>
      </c>
      <c r="K36" s="360">
        <v>204099.33364782776</v>
      </c>
      <c r="L36" s="361">
        <v>4713.2347427523619</v>
      </c>
      <c r="M36" s="356">
        <v>69000</v>
      </c>
      <c r="N36" s="356">
        <v>8466.25</v>
      </c>
      <c r="O36" s="356">
        <v>105064.43793626479</v>
      </c>
      <c r="P36" s="356">
        <v>77259.285710361088</v>
      </c>
      <c r="R36" s="362">
        <f t="shared" si="4"/>
        <v>1685662.4745766055</v>
      </c>
      <c r="S36" s="335" t="s">
        <v>604</v>
      </c>
      <c r="T36" s="356">
        <f t="shared" si="2"/>
        <v>1763128.7245766055</v>
      </c>
      <c r="U36" s="356">
        <f t="shared" si="3"/>
        <v>0</v>
      </c>
    </row>
    <row r="37" spans="1:21">
      <c r="A37" s="356">
        <v>2767696.7006716635</v>
      </c>
      <c r="B37" s="356">
        <v>2770286.2804341866</v>
      </c>
      <c r="C37" s="335">
        <v>2073</v>
      </c>
      <c r="D37" s="335">
        <v>10083</v>
      </c>
      <c r="E37" s="331" t="s">
        <v>341</v>
      </c>
      <c r="F37" s="356">
        <v>2840399.8459062716</v>
      </c>
      <c r="G37" s="357">
        <v>2314123.8025982119</v>
      </c>
      <c r="H37" s="358">
        <v>0</v>
      </c>
      <c r="I37" s="359">
        <f t="shared" si="1"/>
        <v>2314123.8025982119</v>
      </c>
      <c r="J37" s="360">
        <v>0</v>
      </c>
      <c r="K37" s="360">
        <v>398051.71258003241</v>
      </c>
      <c r="L37" s="361">
        <v>14289.330728027002</v>
      </c>
      <c r="M37" s="356">
        <v>102600</v>
      </c>
      <c r="N37" s="356">
        <v>11335</v>
      </c>
      <c r="O37" s="356">
        <v>72703.145234608091</v>
      </c>
      <c r="P37" s="356">
        <v>70113.565472085029</v>
      </c>
      <c r="R37" s="362">
        <f t="shared" si="4"/>
        <v>2726464.8459062716</v>
      </c>
      <c r="S37" s="335" t="s">
        <v>665</v>
      </c>
      <c r="T37" s="356">
        <f t="shared" si="2"/>
        <v>2840399.8459062716</v>
      </c>
      <c r="U37" s="356">
        <f t="shared" si="3"/>
        <v>0</v>
      </c>
    </row>
    <row r="38" spans="1:21">
      <c r="A38" s="356">
        <v>1736632.913473848</v>
      </c>
      <c r="B38" s="356">
        <v>1766298.6983123492</v>
      </c>
      <c r="C38" s="335">
        <v>2019</v>
      </c>
      <c r="D38" s="335">
        <v>10059</v>
      </c>
      <c r="E38" s="331" t="s">
        <v>56</v>
      </c>
      <c r="F38" s="356">
        <v>1774800.149226849</v>
      </c>
      <c r="G38" s="357">
        <v>1357041.0938755928</v>
      </c>
      <c r="H38" s="358">
        <v>336706</v>
      </c>
      <c r="I38" s="359">
        <f t="shared" si="1"/>
        <v>1020335.0938755928</v>
      </c>
      <c r="J38" s="360">
        <v>0</v>
      </c>
      <c r="K38" s="360">
        <v>311079.77587495482</v>
      </c>
      <c r="L38" s="361">
        <v>15411.529476301374</v>
      </c>
      <c r="M38" s="356">
        <v>83400</v>
      </c>
      <c r="N38" s="356">
        <v>7867.75</v>
      </c>
      <c r="O38" s="356">
        <v>38167.235753000947</v>
      </c>
      <c r="P38" s="356">
        <v>8501.4509144998156</v>
      </c>
      <c r="R38" s="362">
        <f t="shared" si="4"/>
        <v>1683532.399226849</v>
      </c>
      <c r="S38" s="335" t="s">
        <v>604</v>
      </c>
      <c r="T38" s="356">
        <f t="shared" si="2"/>
        <v>1774800.149226849</v>
      </c>
      <c r="U38" s="356">
        <f t="shared" si="3"/>
        <v>0</v>
      </c>
    </row>
    <row r="39" spans="1:21">
      <c r="A39" s="356">
        <v>1715198.9600178141</v>
      </c>
      <c r="B39" s="356">
        <v>1747155.0386416642</v>
      </c>
      <c r="C39" s="335">
        <v>2018</v>
      </c>
      <c r="D39" s="335">
        <v>10058</v>
      </c>
      <c r="E39" s="331" t="s">
        <v>57</v>
      </c>
      <c r="F39" s="356">
        <v>1926816.5025814041</v>
      </c>
      <c r="G39" s="357">
        <v>1430224.9511822604</v>
      </c>
      <c r="H39" s="358">
        <v>0</v>
      </c>
      <c r="I39" s="359">
        <f t="shared" si="1"/>
        <v>1430224.9511822604</v>
      </c>
      <c r="J39" s="360">
        <v>0</v>
      </c>
      <c r="K39" s="360">
        <v>358022.85316996626</v>
      </c>
      <c r="L39" s="361">
        <v>13541.19822917742</v>
      </c>
      <c r="M39" s="356">
        <v>117000</v>
      </c>
      <c r="N39" s="356">
        <v>8027.5</v>
      </c>
      <c r="O39" s="356">
        <v>211617.54256358999</v>
      </c>
      <c r="P39" s="356">
        <v>179661.46393973986</v>
      </c>
      <c r="R39" s="362">
        <f t="shared" si="4"/>
        <v>1801789.0025814041</v>
      </c>
      <c r="S39" s="335" t="s">
        <v>664</v>
      </c>
      <c r="T39" s="356">
        <f t="shared" si="2"/>
        <v>1926816.5025814038</v>
      </c>
      <c r="U39" s="356">
        <f t="shared" si="3"/>
        <v>0</v>
      </c>
    </row>
    <row r="40" spans="1:21">
      <c r="A40" s="356">
        <v>1622764.6720126485</v>
      </c>
      <c r="B40" s="356">
        <v>1700972.0173713695</v>
      </c>
      <c r="C40" s="335">
        <v>2021</v>
      </c>
      <c r="D40" s="335">
        <v>10061</v>
      </c>
      <c r="E40" s="331" t="s">
        <v>58</v>
      </c>
      <c r="F40" s="356">
        <v>1632442.4186894153</v>
      </c>
      <c r="G40" s="357">
        <v>1198370.9902050709</v>
      </c>
      <c r="H40" s="358">
        <v>310586</v>
      </c>
      <c r="I40" s="359">
        <f t="shared" si="1"/>
        <v>887784.99020507094</v>
      </c>
      <c r="J40" s="360">
        <v>0</v>
      </c>
      <c r="K40" s="360">
        <v>340419.47425608669</v>
      </c>
      <c r="L40" s="361">
        <v>14139.704228257086</v>
      </c>
      <c r="M40" s="356">
        <v>72000</v>
      </c>
      <c r="N40" s="356">
        <v>7512.25</v>
      </c>
      <c r="O40" s="356">
        <v>9677.7466767667793</v>
      </c>
      <c r="P40" s="356">
        <v>-68529.598681954201</v>
      </c>
      <c r="R40" s="362">
        <f t="shared" si="4"/>
        <v>1552930.1686894146</v>
      </c>
      <c r="S40" s="335" t="s">
        <v>604</v>
      </c>
      <c r="T40" s="356">
        <f t="shared" si="2"/>
        <v>1632442.4186894149</v>
      </c>
      <c r="U40" s="356">
        <f t="shared" si="3"/>
        <v>0</v>
      </c>
    </row>
    <row r="41" spans="1:21">
      <c r="A41" s="356">
        <v>1703898.5155016575</v>
      </c>
      <c r="B41" s="356">
        <v>1723799.5856926928</v>
      </c>
      <c r="C41" s="335">
        <v>5200</v>
      </c>
      <c r="D41" s="335">
        <v>10060</v>
      </c>
      <c r="E41" s="331" t="s">
        <v>59</v>
      </c>
      <c r="F41" s="356">
        <v>1768693.6339527129</v>
      </c>
      <c r="G41" s="357">
        <v>1250860.23063306</v>
      </c>
      <c r="H41" s="358">
        <v>0</v>
      </c>
      <c r="I41" s="359">
        <f t="shared" si="1"/>
        <v>1250860.23063306</v>
      </c>
      <c r="J41" s="360">
        <v>0</v>
      </c>
      <c r="K41" s="360">
        <v>391824.20209093532</v>
      </c>
      <c r="L41" s="361">
        <v>13840.451228717253</v>
      </c>
      <c r="M41" s="356">
        <v>104400</v>
      </c>
      <c r="N41" s="356">
        <v>7768.75</v>
      </c>
      <c r="O41" s="356">
        <v>64795.118451055372</v>
      </c>
      <c r="P41" s="356">
        <v>44894.048260020092</v>
      </c>
      <c r="R41" s="362">
        <f t="shared" si="4"/>
        <v>1656524.8839527126</v>
      </c>
      <c r="S41" s="335" t="s">
        <v>665</v>
      </c>
      <c r="T41" s="356">
        <f t="shared" si="2"/>
        <v>1768693.6339527126</v>
      </c>
      <c r="U41" s="356">
        <f t="shared" si="3"/>
        <v>0</v>
      </c>
    </row>
    <row r="42" spans="1:21">
      <c r="A42" s="356">
        <v>1690622.836396687</v>
      </c>
      <c r="B42" s="356">
        <v>1694369.8330400228</v>
      </c>
      <c r="C42" s="335">
        <v>2023</v>
      </c>
      <c r="D42" s="335">
        <v>10063</v>
      </c>
      <c r="E42" s="331" t="s">
        <v>60</v>
      </c>
      <c r="F42" s="356">
        <v>1691647.8313684305</v>
      </c>
      <c r="G42" s="357">
        <v>1291613.9158899724</v>
      </c>
      <c r="H42" s="358">
        <v>324812</v>
      </c>
      <c r="I42" s="359">
        <f t="shared" si="1"/>
        <v>966801.91588997236</v>
      </c>
      <c r="J42" s="360">
        <v>0</v>
      </c>
      <c r="K42" s="360">
        <v>323469.8254922629</v>
      </c>
      <c r="L42" s="361">
        <v>8977.5899861949747</v>
      </c>
      <c r="M42" s="356">
        <v>60000</v>
      </c>
      <c r="N42" s="356">
        <v>7586.5</v>
      </c>
      <c r="O42" s="356">
        <v>1024.994971743552</v>
      </c>
      <c r="P42" s="356">
        <v>-2722.0016715922393</v>
      </c>
      <c r="R42" s="362">
        <f t="shared" si="4"/>
        <v>1624061.3313684303</v>
      </c>
      <c r="S42" s="335" t="s">
        <v>604</v>
      </c>
      <c r="T42" s="356">
        <f t="shared" si="2"/>
        <v>1691647.8313684301</v>
      </c>
      <c r="U42" s="356">
        <f t="shared" si="3"/>
        <v>0</v>
      </c>
    </row>
    <row r="43" spans="1:21">
      <c r="A43" s="356">
        <v>1749663.1922368472</v>
      </c>
      <c r="B43" s="356">
        <v>1749494.5005924448</v>
      </c>
      <c r="C43" s="335">
        <v>2022</v>
      </c>
      <c r="D43" s="335">
        <v>10062</v>
      </c>
      <c r="E43" s="331" t="s">
        <v>61</v>
      </c>
      <c r="F43" s="356">
        <v>1772777.9794822</v>
      </c>
      <c r="G43" s="357">
        <v>1288092.4385532856</v>
      </c>
      <c r="H43" s="358">
        <v>334787</v>
      </c>
      <c r="I43" s="359">
        <f t="shared" si="1"/>
        <v>953305.43855328555</v>
      </c>
      <c r="J43" s="360">
        <v>0</v>
      </c>
      <c r="K43" s="360">
        <v>374244.48719674582</v>
      </c>
      <c r="L43" s="361">
        <v>11596.05373216851</v>
      </c>
      <c r="M43" s="356">
        <v>91200</v>
      </c>
      <c r="N43" s="356">
        <v>7645</v>
      </c>
      <c r="O43" s="356">
        <v>23114.787245352753</v>
      </c>
      <c r="P43" s="356">
        <v>23283.478889755206</v>
      </c>
      <c r="R43" s="362">
        <f t="shared" si="4"/>
        <v>1673932.9794821998</v>
      </c>
      <c r="S43" s="335" t="s">
        <v>604</v>
      </c>
      <c r="T43" s="356">
        <f t="shared" si="2"/>
        <v>1772777.9794822</v>
      </c>
      <c r="U43" s="356">
        <f t="shared" si="3"/>
        <v>0</v>
      </c>
    </row>
    <row r="44" spans="1:21">
      <c r="A44" s="356">
        <v>642794.58087931632</v>
      </c>
      <c r="B44" s="356">
        <v>648800.14082699828</v>
      </c>
      <c r="C44" s="335">
        <v>3524</v>
      </c>
      <c r="D44" s="335">
        <v>11278</v>
      </c>
      <c r="E44" s="331" t="s">
        <v>602</v>
      </c>
      <c r="F44" s="356">
        <v>814967.07753938681</v>
      </c>
      <c r="G44" s="357">
        <v>764604.21322892327</v>
      </c>
      <c r="H44" s="358">
        <v>161073</v>
      </c>
      <c r="I44" s="359">
        <f t="shared" si="1"/>
        <v>603531.21322892327</v>
      </c>
      <c r="J44" s="360">
        <v>0</v>
      </c>
      <c r="K44" s="360">
        <v>40762.864310463563</v>
      </c>
      <c r="L44" s="361">
        <v>0</v>
      </c>
      <c r="M44" s="356">
        <v>9600</v>
      </c>
      <c r="N44" s="356">
        <v>0</v>
      </c>
      <c r="O44" s="356">
        <v>172172.49666007049</v>
      </c>
      <c r="P44" s="356">
        <v>166166.93671238853</v>
      </c>
      <c r="R44" s="362">
        <f t="shared" si="4"/>
        <v>805367.07753938681</v>
      </c>
      <c r="S44" s="335" t="s">
        <v>604</v>
      </c>
      <c r="T44" s="356">
        <f t="shared" si="2"/>
        <v>814967.07753938693</v>
      </c>
      <c r="U44" s="356">
        <f t="shared" si="3"/>
        <v>0</v>
      </c>
    </row>
    <row r="45" spans="1:21">
      <c r="A45" s="356">
        <v>1229698.6139123659</v>
      </c>
      <c r="B45" s="356">
        <v>1233025.4881904903</v>
      </c>
      <c r="C45" s="335">
        <v>2024</v>
      </c>
      <c r="D45" s="335">
        <v>10064</v>
      </c>
      <c r="E45" s="375" t="s">
        <v>342</v>
      </c>
      <c r="F45" s="362">
        <v>1236143</v>
      </c>
      <c r="G45" s="376">
        <f>977734.356789393+7956</f>
        <v>985690.356789393</v>
      </c>
      <c r="H45" s="377">
        <v>0</v>
      </c>
      <c r="I45" s="359">
        <f t="shared" si="1"/>
        <v>985690.356789393</v>
      </c>
      <c r="J45" s="360">
        <v>0</v>
      </c>
      <c r="K45" s="360">
        <v>187449.9847748779</v>
      </c>
      <c r="L45" s="361">
        <v>7107.2587390710223</v>
      </c>
      <c r="M45" s="356">
        <v>49200</v>
      </c>
      <c r="N45" s="356">
        <v>6695.5</v>
      </c>
      <c r="O45" s="356">
        <v>-1511.5136090235319</v>
      </c>
      <c r="P45" s="356">
        <v>-4838.3878871479537</v>
      </c>
      <c r="R45" s="362">
        <f t="shared" si="4"/>
        <v>1180247.6003033419</v>
      </c>
      <c r="S45" s="335" t="s">
        <v>664</v>
      </c>
      <c r="T45" s="356">
        <f t="shared" si="2"/>
        <v>1236143.1003033421</v>
      </c>
      <c r="U45" s="356">
        <f t="shared" si="3"/>
        <v>-0.10030334210023284</v>
      </c>
    </row>
    <row r="46" spans="1:21">
      <c r="A46" s="356">
        <v>1228096.0255259925</v>
      </c>
      <c r="B46" s="356">
        <v>1243117.0001225204</v>
      </c>
      <c r="C46" s="335">
        <v>2025</v>
      </c>
      <c r="D46" s="335">
        <v>10065</v>
      </c>
      <c r="E46" s="331" t="s">
        <v>63</v>
      </c>
      <c r="F46" s="356">
        <v>1265986.5367947342</v>
      </c>
      <c r="G46" s="357">
        <v>1176366.0911779092</v>
      </c>
      <c r="H46" s="358">
        <v>249411</v>
      </c>
      <c r="I46" s="359">
        <f t="shared" si="1"/>
        <v>926955.09117790917</v>
      </c>
      <c r="J46" s="360">
        <v>0</v>
      </c>
      <c r="K46" s="360">
        <v>68967.240869470872</v>
      </c>
      <c r="L46" s="361">
        <v>1720.704747354037</v>
      </c>
      <c r="M46" s="356">
        <v>11400</v>
      </c>
      <c r="N46" s="356">
        <v>7532.5</v>
      </c>
      <c r="O46" s="356">
        <v>37890.511268741684</v>
      </c>
      <c r="P46" s="356">
        <v>22869.536672213813</v>
      </c>
      <c r="R46" s="362">
        <f t="shared" si="4"/>
        <v>1247054.0367947342</v>
      </c>
      <c r="S46" s="335" t="s">
        <v>604</v>
      </c>
      <c r="T46" s="356">
        <f t="shared" si="2"/>
        <v>1265986.5367947342</v>
      </c>
      <c r="U46" s="356">
        <f t="shared" si="3"/>
        <v>0</v>
      </c>
    </row>
    <row r="47" spans="1:21">
      <c r="A47" s="356">
        <v>2683207.2885564165</v>
      </c>
      <c r="B47" s="356">
        <v>2737924.5507588424</v>
      </c>
      <c r="C47" s="335">
        <v>2026</v>
      </c>
      <c r="D47" s="335">
        <v>10066</v>
      </c>
      <c r="E47" s="331" t="s">
        <v>343</v>
      </c>
      <c r="F47" s="356">
        <v>2857446.7249285947</v>
      </c>
      <c r="G47" s="357">
        <v>2483487.4475786723</v>
      </c>
      <c r="H47" s="358">
        <v>554541</v>
      </c>
      <c r="I47" s="359">
        <f t="shared" si="1"/>
        <v>1928946.4475786723</v>
      </c>
      <c r="J47" s="360">
        <v>0</v>
      </c>
      <c r="K47" s="360">
        <v>277022.7176186727</v>
      </c>
      <c r="L47" s="361">
        <v>12194.559731248175</v>
      </c>
      <c r="M47" s="356">
        <v>73200</v>
      </c>
      <c r="N47" s="356">
        <v>11542</v>
      </c>
      <c r="O47" s="356">
        <v>174239.43637217814</v>
      </c>
      <c r="P47" s="356">
        <v>119522.17416975228</v>
      </c>
      <c r="R47" s="362">
        <f t="shared" si="4"/>
        <v>2772704.7249285933</v>
      </c>
      <c r="S47" s="335" t="s">
        <v>604</v>
      </c>
      <c r="T47" s="356">
        <f t="shared" si="2"/>
        <v>2857446.7249285933</v>
      </c>
      <c r="U47" s="356">
        <f t="shared" si="3"/>
        <v>0</v>
      </c>
    </row>
    <row r="48" spans="1:21">
      <c r="A48" s="356">
        <v>1097615.3377126658</v>
      </c>
      <c r="B48" s="356">
        <v>1107758.4797549394</v>
      </c>
      <c r="C48" s="335">
        <v>2028</v>
      </c>
      <c r="D48" s="335">
        <v>10068</v>
      </c>
      <c r="E48" s="331" t="s">
        <v>65</v>
      </c>
      <c r="F48" s="356">
        <v>1155017.9773225938</v>
      </c>
      <c r="G48" s="357">
        <v>980517.29875018448</v>
      </c>
      <c r="H48" s="358">
        <v>224796</v>
      </c>
      <c r="I48" s="359">
        <f t="shared" si="1"/>
        <v>755721.29875018448</v>
      </c>
      <c r="J48" s="360">
        <v>0</v>
      </c>
      <c r="K48" s="360">
        <v>140695.08832666575</v>
      </c>
      <c r="L48" s="361">
        <v>2768.0902457434509</v>
      </c>
      <c r="M48" s="356">
        <v>24000</v>
      </c>
      <c r="N48" s="356">
        <v>7037.5</v>
      </c>
      <c r="O48" s="356">
        <v>57402.63960992801</v>
      </c>
      <c r="P48" s="356">
        <v>47259.497567654354</v>
      </c>
      <c r="R48" s="362">
        <f t="shared" si="4"/>
        <v>1123980.4773225938</v>
      </c>
      <c r="S48" s="335" t="s">
        <v>604</v>
      </c>
      <c r="T48" s="356">
        <f t="shared" si="2"/>
        <v>1155017.9773225933</v>
      </c>
      <c r="U48" s="356">
        <f t="shared" si="3"/>
        <v>0</v>
      </c>
    </row>
    <row r="49" spans="1:21">
      <c r="A49" s="356">
        <v>1491783.7010289284</v>
      </c>
      <c r="B49" s="356">
        <v>1509144.5392416778</v>
      </c>
      <c r="C49" s="335">
        <v>2027</v>
      </c>
      <c r="D49" s="335">
        <v>10067</v>
      </c>
      <c r="E49" s="331" t="s">
        <v>66</v>
      </c>
      <c r="F49" s="356">
        <v>1548066.6312638395</v>
      </c>
      <c r="G49" s="357">
        <v>1275738.5975472566</v>
      </c>
      <c r="H49" s="358">
        <v>299612</v>
      </c>
      <c r="I49" s="359">
        <f t="shared" si="1"/>
        <v>976126.59754725662</v>
      </c>
      <c r="J49" s="360">
        <v>0</v>
      </c>
      <c r="K49" s="360">
        <v>218657.18447221993</v>
      </c>
      <c r="L49" s="361">
        <v>3665.849244362948</v>
      </c>
      <c r="M49" s="356">
        <v>42000</v>
      </c>
      <c r="N49" s="356">
        <v>8005</v>
      </c>
      <c r="O49" s="356">
        <v>56282.930234911153</v>
      </c>
      <c r="P49" s="356">
        <v>38922.092022161698</v>
      </c>
      <c r="R49" s="362">
        <f t="shared" si="4"/>
        <v>1498061.6312638395</v>
      </c>
      <c r="S49" s="335" t="s">
        <v>604</v>
      </c>
      <c r="T49" s="356">
        <f t="shared" si="2"/>
        <v>1548066.6312638398</v>
      </c>
      <c r="U49" s="356">
        <f t="shared" si="3"/>
        <v>0</v>
      </c>
    </row>
    <row r="50" spans="1:21">
      <c r="A50" s="356">
        <v>2185225.5294926651</v>
      </c>
      <c r="B50" s="356">
        <v>2216781.5127894096</v>
      </c>
      <c r="C50" s="335">
        <v>2029</v>
      </c>
      <c r="D50" s="335">
        <v>10069</v>
      </c>
      <c r="E50" s="331" t="s">
        <v>344</v>
      </c>
      <c r="F50" s="356">
        <v>2267128.7203248492</v>
      </c>
      <c r="G50" s="357">
        <v>1721434.1811746075</v>
      </c>
      <c r="H50" s="358">
        <v>425367</v>
      </c>
      <c r="I50" s="359">
        <f t="shared" si="1"/>
        <v>1296067.1811746075</v>
      </c>
      <c r="J50" s="360">
        <v>0</v>
      </c>
      <c r="K50" s="360">
        <v>383183.50393440906</v>
      </c>
      <c r="L50" s="361">
        <v>22219.535215832562</v>
      </c>
      <c r="M50" s="356">
        <v>131400</v>
      </c>
      <c r="N50" s="356">
        <v>8891.5</v>
      </c>
      <c r="O50" s="356">
        <v>81903.190832184162</v>
      </c>
      <c r="P50" s="356">
        <v>50347.207535439637</v>
      </c>
      <c r="R50" s="362">
        <f t="shared" si="4"/>
        <v>2126837.2203248492</v>
      </c>
      <c r="S50" s="335" t="s">
        <v>604</v>
      </c>
      <c r="T50" s="356">
        <f t="shared" si="2"/>
        <v>2267128.7203248492</v>
      </c>
      <c r="U50" s="356">
        <f t="shared" si="3"/>
        <v>0</v>
      </c>
    </row>
    <row r="51" spans="1:21">
      <c r="A51" s="356">
        <v>493754.97339742113</v>
      </c>
      <c r="B51" s="356">
        <v>507336.03211564978</v>
      </c>
      <c r="C51" s="335">
        <v>2030</v>
      </c>
      <c r="D51" s="335">
        <v>10070</v>
      </c>
      <c r="E51" s="331" t="s">
        <v>68</v>
      </c>
      <c r="F51" s="356">
        <v>554149.59264141612</v>
      </c>
      <c r="G51" s="357">
        <v>403254.97159969585</v>
      </c>
      <c r="H51" s="358">
        <v>106723</v>
      </c>
      <c r="I51" s="359">
        <f t="shared" si="1"/>
        <v>296531.97159969585</v>
      </c>
      <c r="J51" s="360">
        <v>0</v>
      </c>
      <c r="K51" s="360">
        <v>128490.53979459642</v>
      </c>
      <c r="L51" s="361">
        <v>1870.3312471239531</v>
      </c>
      <c r="M51" s="356">
        <v>15600</v>
      </c>
      <c r="N51" s="356">
        <v>4933.75</v>
      </c>
      <c r="O51" s="356">
        <v>60394.619243994995</v>
      </c>
      <c r="P51" s="356">
        <v>46813.560525766341</v>
      </c>
      <c r="R51" s="362">
        <f t="shared" si="4"/>
        <v>533615.84264141624</v>
      </c>
      <c r="S51" s="335" t="s">
        <v>604</v>
      </c>
      <c r="T51" s="356">
        <f t="shared" si="2"/>
        <v>554149.59264141624</v>
      </c>
      <c r="U51" s="356">
        <f t="shared" si="3"/>
        <v>0</v>
      </c>
    </row>
    <row r="52" spans="1:21">
      <c r="A52" s="356">
        <v>1021515.9354885004</v>
      </c>
      <c r="B52" s="356">
        <v>1044099.5852407308</v>
      </c>
      <c r="C52" s="335">
        <v>3516</v>
      </c>
      <c r="D52" s="335">
        <v>10121</v>
      </c>
      <c r="E52" s="331" t="s">
        <v>69</v>
      </c>
      <c r="F52" s="356">
        <v>1034681.4290569342</v>
      </c>
      <c r="G52" s="357">
        <v>933178.31093056966</v>
      </c>
      <c r="H52" s="358">
        <v>160072</v>
      </c>
      <c r="I52" s="359">
        <f t="shared" si="1"/>
        <v>773106.31093056966</v>
      </c>
      <c r="J52" s="360">
        <v>0</v>
      </c>
      <c r="K52" s="360">
        <v>92503.118126364599</v>
      </c>
      <c r="L52" s="361">
        <v>0</v>
      </c>
      <c r="M52" s="356">
        <v>9000</v>
      </c>
      <c r="N52" s="356">
        <v>0</v>
      </c>
      <c r="O52" s="356">
        <v>13165.493568433798</v>
      </c>
      <c r="P52" s="356">
        <v>-9418.1561837965855</v>
      </c>
      <c r="R52" s="362">
        <f t="shared" si="4"/>
        <v>1025681.4290569343</v>
      </c>
      <c r="S52" s="335" t="s">
        <v>604</v>
      </c>
      <c r="T52" s="356">
        <f t="shared" si="2"/>
        <v>1034681.4290569343</v>
      </c>
      <c r="U52" s="356">
        <f t="shared" si="3"/>
        <v>0</v>
      </c>
    </row>
    <row r="53" spans="1:21">
      <c r="A53" s="356">
        <v>1203011.2968816231</v>
      </c>
      <c r="B53" s="356">
        <v>1235323.3764564774</v>
      </c>
      <c r="C53" s="335">
        <v>2031</v>
      </c>
      <c r="D53" s="335">
        <v>10071</v>
      </c>
      <c r="E53" s="331" t="s">
        <v>345</v>
      </c>
      <c r="F53" s="356">
        <v>1239994.4180429475</v>
      </c>
      <c r="G53" s="357">
        <v>922433.6642488488</v>
      </c>
      <c r="H53" s="358">
        <v>234964</v>
      </c>
      <c r="I53" s="359">
        <f t="shared" si="1"/>
        <v>687469.6642488488</v>
      </c>
      <c r="J53" s="360">
        <v>0</v>
      </c>
      <c r="K53" s="360">
        <v>243633.85355755858</v>
      </c>
      <c r="L53" s="361">
        <v>8753.1502365401011</v>
      </c>
      <c r="M53" s="356">
        <v>58800</v>
      </c>
      <c r="N53" s="356">
        <v>6373.75</v>
      </c>
      <c r="O53" s="356">
        <v>36983.121161324438</v>
      </c>
      <c r="P53" s="356">
        <v>4671.0415864700917</v>
      </c>
      <c r="R53" s="362">
        <f t="shared" si="4"/>
        <v>1174820.6680429473</v>
      </c>
      <c r="S53" s="335" t="s">
        <v>604</v>
      </c>
      <c r="T53" s="356">
        <f t="shared" si="2"/>
        <v>1239994.4180429475</v>
      </c>
      <c r="U53" s="356">
        <f t="shared" si="3"/>
        <v>0</v>
      </c>
    </row>
    <row r="54" spans="1:21">
      <c r="A54" s="356">
        <v>2120782.8002593145</v>
      </c>
      <c r="B54" s="356">
        <v>2134459.9466765178</v>
      </c>
      <c r="C54" s="335">
        <v>2032</v>
      </c>
      <c r="D54" s="335">
        <v>10072</v>
      </c>
      <c r="E54" s="331" t="s">
        <v>346</v>
      </c>
      <c r="F54" s="356">
        <v>2256241.2148316447</v>
      </c>
      <c r="G54" s="357">
        <v>1851607.9030430331</v>
      </c>
      <c r="H54" s="358">
        <v>434758</v>
      </c>
      <c r="I54" s="359">
        <f t="shared" si="1"/>
        <v>1416849.9030430331</v>
      </c>
      <c r="J54" s="360">
        <v>0</v>
      </c>
      <c r="K54" s="360">
        <v>311706.95680471766</v>
      </c>
      <c r="L54" s="361">
        <v>10473.854983894138</v>
      </c>
      <c r="M54" s="356">
        <v>72850</v>
      </c>
      <c r="N54" s="356">
        <v>9602.5</v>
      </c>
      <c r="O54" s="356">
        <v>135458.41457233019</v>
      </c>
      <c r="P54" s="356">
        <v>121781.26815512683</v>
      </c>
      <c r="R54" s="362">
        <f t="shared" si="4"/>
        <v>2173788.7148316447</v>
      </c>
      <c r="S54" s="335" t="s">
        <v>604</v>
      </c>
      <c r="T54" s="356">
        <f t="shared" si="2"/>
        <v>2256241.2148316451</v>
      </c>
      <c r="U54" s="356">
        <f t="shared" si="3"/>
        <v>0</v>
      </c>
    </row>
    <row r="55" spans="1:21">
      <c r="A55" s="356">
        <v>984524.97484766634</v>
      </c>
      <c r="B55" s="356">
        <v>1003889.6123327456</v>
      </c>
      <c r="C55" s="335">
        <v>3304</v>
      </c>
      <c r="D55" s="335">
        <v>10073</v>
      </c>
      <c r="E55" s="331" t="s">
        <v>347</v>
      </c>
      <c r="F55" s="356">
        <v>1027610.8997962587</v>
      </c>
      <c r="G55" s="357">
        <v>887435.59226068878</v>
      </c>
      <c r="H55" s="358">
        <v>200002</v>
      </c>
      <c r="I55" s="359">
        <f t="shared" si="1"/>
        <v>687433.59226068878</v>
      </c>
      <c r="J55" s="360">
        <v>0</v>
      </c>
      <c r="K55" s="360">
        <v>108909.45829120696</v>
      </c>
      <c r="L55" s="361">
        <v>3665.849244362948</v>
      </c>
      <c r="M55" s="356">
        <v>27600</v>
      </c>
      <c r="N55" s="356">
        <v>0</v>
      </c>
      <c r="O55" s="356">
        <v>43085.924948592321</v>
      </c>
      <c r="P55" s="356">
        <v>23721.287463513087</v>
      </c>
      <c r="R55" s="362">
        <f t="shared" si="4"/>
        <v>1000010.8997962587</v>
      </c>
      <c r="S55" s="335" t="s">
        <v>604</v>
      </c>
      <c r="T55" s="356">
        <f t="shared" si="2"/>
        <v>1027610.8997962587</v>
      </c>
      <c r="U55" s="356">
        <f t="shared" si="3"/>
        <v>0</v>
      </c>
    </row>
    <row r="56" spans="1:21">
      <c r="A56" s="356">
        <v>1737476.7249598091</v>
      </c>
      <c r="B56" s="356">
        <v>1746180.7765301692</v>
      </c>
      <c r="C56" s="335">
        <v>2036</v>
      </c>
      <c r="D56" s="335">
        <v>10074</v>
      </c>
      <c r="E56" s="331" t="s">
        <v>348</v>
      </c>
      <c r="F56" s="356">
        <v>1778044.0769094334</v>
      </c>
      <c r="G56" s="357">
        <v>985547.18635747198</v>
      </c>
      <c r="H56" s="358">
        <v>342673</v>
      </c>
      <c r="I56" s="359">
        <f t="shared" si="1"/>
        <v>642874.18635747198</v>
      </c>
      <c r="J56" s="360">
        <v>0</v>
      </c>
      <c r="K56" s="360">
        <v>719887.18606415566</v>
      </c>
      <c r="L56" s="361">
        <v>7930.2044878055613</v>
      </c>
      <c r="M56" s="356">
        <v>58200</v>
      </c>
      <c r="N56" s="356">
        <v>6479.5</v>
      </c>
      <c r="O56" s="356">
        <v>40567.351949624252</v>
      </c>
      <c r="P56" s="356">
        <v>31863.300379264168</v>
      </c>
      <c r="R56" s="362">
        <f t="shared" si="4"/>
        <v>1713364.5769094331</v>
      </c>
      <c r="S56" s="335" t="s">
        <v>604</v>
      </c>
      <c r="T56" s="356">
        <f t="shared" si="2"/>
        <v>1778044.0769094336</v>
      </c>
      <c r="U56" s="356">
        <f t="shared" si="3"/>
        <v>0</v>
      </c>
    </row>
    <row r="57" spans="1:21">
      <c r="A57" s="356">
        <v>1340531.5970089799</v>
      </c>
      <c r="B57" s="356">
        <v>1349079.1518374078</v>
      </c>
      <c r="C57" s="335">
        <v>2037</v>
      </c>
      <c r="D57" s="335">
        <v>10075</v>
      </c>
      <c r="E57" s="331" t="s">
        <v>349</v>
      </c>
      <c r="F57" s="356">
        <v>1419400.1696972991</v>
      </c>
      <c r="G57" s="357">
        <v>1115494.2155375532</v>
      </c>
      <c r="H57" s="358">
        <v>272281</v>
      </c>
      <c r="I57" s="359">
        <f t="shared" si="1"/>
        <v>843213.21553755319</v>
      </c>
      <c r="J57" s="360">
        <v>0</v>
      </c>
      <c r="K57" s="360">
        <v>236781.73767378138</v>
      </c>
      <c r="L57" s="361">
        <v>9127.216485964891</v>
      </c>
      <c r="M57" s="356">
        <v>51000</v>
      </c>
      <c r="N57" s="356">
        <v>6997</v>
      </c>
      <c r="O57" s="356">
        <v>78868.572688319255</v>
      </c>
      <c r="P57" s="356">
        <v>70321.01785989129</v>
      </c>
      <c r="R57" s="362">
        <f t="shared" si="4"/>
        <v>1361403.1696972994</v>
      </c>
      <c r="S57" s="335" t="s">
        <v>604</v>
      </c>
      <c r="T57" s="356">
        <f t="shared" si="2"/>
        <v>1419400.1696972996</v>
      </c>
      <c r="U57" s="356">
        <f t="shared" si="3"/>
        <v>0</v>
      </c>
    </row>
    <row r="58" spans="1:21">
      <c r="A58" s="356">
        <v>2150008.8435863978</v>
      </c>
      <c r="B58" s="356">
        <v>2252049.2771550827</v>
      </c>
      <c r="C58" s="335">
        <v>3523</v>
      </c>
      <c r="D58" s="335">
        <v>11093</v>
      </c>
      <c r="E58" s="331" t="s">
        <v>350</v>
      </c>
      <c r="F58" s="356">
        <v>2350867.1203796677</v>
      </c>
      <c r="G58" s="357">
        <v>1883412.4220748313</v>
      </c>
      <c r="H58" s="358">
        <v>0</v>
      </c>
      <c r="I58" s="359">
        <f t="shared" si="1"/>
        <v>1883412.4220748313</v>
      </c>
      <c r="J58" s="360">
        <v>0</v>
      </c>
      <c r="K58" s="360">
        <v>341985.13257450913</v>
      </c>
      <c r="L58" s="361">
        <v>12793.065730327839</v>
      </c>
      <c r="M58" s="356">
        <v>103200</v>
      </c>
      <c r="N58" s="356">
        <v>9476.5</v>
      </c>
      <c r="O58" s="356">
        <v>200858.27679326991</v>
      </c>
      <c r="P58" s="356">
        <v>98817.843224585056</v>
      </c>
      <c r="R58" s="362">
        <f t="shared" si="4"/>
        <v>2238190.6203796682</v>
      </c>
      <c r="S58" s="335" t="s">
        <v>664</v>
      </c>
      <c r="T58" s="356">
        <f t="shared" si="2"/>
        <v>2350867.1203796687</v>
      </c>
      <c r="U58" s="356">
        <f t="shared" si="3"/>
        <v>0</v>
      </c>
    </row>
    <row r="59" spans="1:21">
      <c r="A59" s="356">
        <v>937175.23219185357</v>
      </c>
      <c r="B59" s="356">
        <v>946518.33393988758</v>
      </c>
      <c r="C59" s="335">
        <v>5948</v>
      </c>
      <c r="D59" s="335">
        <v>10125</v>
      </c>
      <c r="E59" s="331" t="s">
        <v>351</v>
      </c>
      <c r="F59" s="356">
        <v>946419.98545083008</v>
      </c>
      <c r="G59" s="357">
        <v>828220.74525895657</v>
      </c>
      <c r="H59" s="358">
        <v>0</v>
      </c>
      <c r="I59" s="359">
        <f t="shared" si="1"/>
        <v>828220.74525895657</v>
      </c>
      <c r="J59" s="360">
        <v>0</v>
      </c>
      <c r="K59" s="360">
        <v>110399.24019187364</v>
      </c>
      <c r="L59" s="361">
        <v>0</v>
      </c>
      <c r="M59" s="356">
        <v>7800</v>
      </c>
      <c r="N59" s="356">
        <v>0</v>
      </c>
      <c r="O59" s="356">
        <v>9244.7532589765033</v>
      </c>
      <c r="P59" s="356">
        <v>-98.348489057505503</v>
      </c>
      <c r="R59" s="362">
        <f t="shared" si="4"/>
        <v>938619.98545083019</v>
      </c>
      <c r="S59" s="335" t="s">
        <v>665</v>
      </c>
      <c r="T59" s="356">
        <f t="shared" si="2"/>
        <v>946419.98545083019</v>
      </c>
      <c r="U59" s="356">
        <f t="shared" si="3"/>
        <v>0</v>
      </c>
    </row>
    <row r="60" spans="1:21">
      <c r="A60" s="356">
        <v>1061488.9689630868</v>
      </c>
      <c r="B60" s="356">
        <v>1051653.5998357979</v>
      </c>
      <c r="C60" s="335">
        <v>5949</v>
      </c>
      <c r="D60" s="335">
        <v>10126</v>
      </c>
      <c r="E60" s="331" t="s">
        <v>78</v>
      </c>
      <c r="F60" s="356">
        <v>1031036.6905328663</v>
      </c>
      <c r="G60" s="357">
        <v>932567.43821376015</v>
      </c>
      <c r="H60" s="358">
        <v>0</v>
      </c>
      <c r="I60" s="359">
        <f t="shared" si="1"/>
        <v>932567.43821376015</v>
      </c>
      <c r="J60" s="360">
        <v>0</v>
      </c>
      <c r="K60" s="360">
        <v>94269.252319106134</v>
      </c>
      <c r="L60" s="361">
        <v>0</v>
      </c>
      <c r="M60" s="356">
        <v>4200</v>
      </c>
      <c r="N60" s="356">
        <v>0</v>
      </c>
      <c r="O60" s="356">
        <v>-30452.278430220555</v>
      </c>
      <c r="P60" s="356">
        <v>-20616.909302931628</v>
      </c>
      <c r="R60" s="362">
        <f t="shared" si="4"/>
        <v>1026836.6905328663</v>
      </c>
      <c r="S60" s="335" t="s">
        <v>665</v>
      </c>
      <c r="T60" s="356">
        <f t="shared" si="2"/>
        <v>1031036.6905328663</v>
      </c>
      <c r="U60" s="356">
        <f t="shared" si="3"/>
        <v>0</v>
      </c>
    </row>
    <row r="61" spans="1:21">
      <c r="A61" s="356">
        <v>1649887.5197425561</v>
      </c>
      <c r="B61" s="356">
        <v>1680342.8005953545</v>
      </c>
      <c r="C61" s="335">
        <v>3513</v>
      </c>
      <c r="D61" s="335">
        <v>10114</v>
      </c>
      <c r="E61" s="331" t="s">
        <v>79</v>
      </c>
      <c r="F61" s="356">
        <v>1752791.6832832263</v>
      </c>
      <c r="G61" s="357">
        <v>1569652.2030908517</v>
      </c>
      <c r="H61" s="358">
        <v>348878</v>
      </c>
      <c r="I61" s="359">
        <f t="shared" si="1"/>
        <v>1220774.2030908517</v>
      </c>
      <c r="J61" s="360">
        <v>0</v>
      </c>
      <c r="K61" s="360">
        <v>174739.48019237476</v>
      </c>
      <c r="L61" s="361">
        <v>0</v>
      </c>
      <c r="M61" s="356">
        <v>8400</v>
      </c>
      <c r="N61" s="356">
        <v>0</v>
      </c>
      <c r="O61" s="356">
        <v>102904.16354067018</v>
      </c>
      <c r="P61" s="356">
        <v>72448.88268787181</v>
      </c>
      <c r="R61" s="362">
        <f t="shared" si="4"/>
        <v>1744391.6832832263</v>
      </c>
      <c r="S61" s="335" t="s">
        <v>604</v>
      </c>
      <c r="T61" s="356">
        <f t="shared" si="2"/>
        <v>1752791.6832832266</v>
      </c>
      <c r="U61" s="356">
        <f t="shared" si="3"/>
        <v>0</v>
      </c>
    </row>
    <row r="62" spans="1:21">
      <c r="A62" s="356">
        <v>618208.03344154893</v>
      </c>
      <c r="B62" s="356">
        <v>633042.15865021944</v>
      </c>
      <c r="C62" s="335">
        <v>3305</v>
      </c>
      <c r="D62" s="335">
        <v>10078</v>
      </c>
      <c r="E62" s="331" t="s">
        <v>352</v>
      </c>
      <c r="F62" s="356">
        <v>641125.05214870663</v>
      </c>
      <c r="G62" s="357">
        <v>593687.48437532526</v>
      </c>
      <c r="H62" s="358">
        <v>127865</v>
      </c>
      <c r="I62" s="359">
        <f t="shared" si="1"/>
        <v>465822.48437532526</v>
      </c>
      <c r="J62" s="360">
        <v>0</v>
      </c>
      <c r="K62" s="360">
        <v>45637.567773381321</v>
      </c>
      <c r="L62" s="361">
        <v>0</v>
      </c>
      <c r="M62" s="356">
        <v>1800</v>
      </c>
      <c r="N62" s="356">
        <v>0</v>
      </c>
      <c r="O62" s="356">
        <v>22917.018707157695</v>
      </c>
      <c r="P62" s="356">
        <v>8082.8934984871885</v>
      </c>
      <c r="R62" s="362">
        <f t="shared" si="4"/>
        <v>639325.05214870663</v>
      </c>
      <c r="S62" s="335" t="s">
        <v>604</v>
      </c>
      <c r="T62" s="356">
        <f t="shared" si="2"/>
        <v>641125.05214870651</v>
      </c>
      <c r="U62" s="356">
        <f t="shared" si="3"/>
        <v>0</v>
      </c>
    </row>
    <row r="63" spans="1:21">
      <c r="A63" s="356">
        <v>1067533.106548493</v>
      </c>
      <c r="B63" s="356">
        <v>1067420.7235490326</v>
      </c>
      <c r="C63" s="335">
        <v>2042</v>
      </c>
      <c r="D63" s="335">
        <v>10079</v>
      </c>
      <c r="E63" s="331" t="s">
        <v>353</v>
      </c>
      <c r="F63" s="356">
        <v>1087215.2652327411</v>
      </c>
      <c r="G63" s="357">
        <v>934906.44362667296</v>
      </c>
      <c r="H63" s="358">
        <v>0</v>
      </c>
      <c r="I63" s="359">
        <f t="shared" si="1"/>
        <v>934906.44362667296</v>
      </c>
      <c r="J63" s="360">
        <v>0</v>
      </c>
      <c r="K63" s="360">
        <v>126743.86385917457</v>
      </c>
      <c r="L63" s="361">
        <v>2019.9577468938694</v>
      </c>
      <c r="M63" s="356">
        <v>16800</v>
      </c>
      <c r="N63" s="356">
        <v>6745</v>
      </c>
      <c r="O63" s="356">
        <v>19682.158684248105</v>
      </c>
      <c r="P63" s="356">
        <v>19794.54168370855</v>
      </c>
      <c r="R63" s="362">
        <f t="shared" si="4"/>
        <v>1063670.2652327414</v>
      </c>
      <c r="S63" s="335" t="s">
        <v>664</v>
      </c>
      <c r="T63" s="356">
        <f t="shared" si="2"/>
        <v>1087215.2652327414</v>
      </c>
      <c r="U63" s="356">
        <f t="shared" si="3"/>
        <v>0</v>
      </c>
    </row>
    <row r="64" spans="1:21">
      <c r="A64" s="356">
        <v>1363112.5815089485</v>
      </c>
      <c r="B64" s="356">
        <v>1340808.1574790629</v>
      </c>
      <c r="C64" s="335">
        <v>2044</v>
      </c>
      <c r="D64" s="335">
        <v>10081</v>
      </c>
      <c r="E64" s="331" t="s">
        <v>82</v>
      </c>
      <c r="F64" s="356">
        <v>1373393.3726221961</v>
      </c>
      <c r="G64" s="357">
        <v>1105908.6026996216</v>
      </c>
      <c r="H64" s="358">
        <v>266486</v>
      </c>
      <c r="I64" s="359">
        <f t="shared" si="1"/>
        <v>839422.60269962158</v>
      </c>
      <c r="J64" s="360">
        <v>0</v>
      </c>
      <c r="K64" s="360">
        <v>224276.62242602554</v>
      </c>
      <c r="L64" s="361">
        <v>2244.3974965487437</v>
      </c>
      <c r="M64" s="356">
        <v>33600</v>
      </c>
      <c r="N64" s="356">
        <v>7363.75</v>
      </c>
      <c r="O64" s="356">
        <v>10280.791113247629</v>
      </c>
      <c r="P64" s="356">
        <v>32585.215143133188</v>
      </c>
      <c r="R64" s="362">
        <f t="shared" si="4"/>
        <v>1332429.6226221959</v>
      </c>
      <c r="S64" s="335" t="s">
        <v>604</v>
      </c>
      <c r="T64" s="356">
        <f t="shared" si="2"/>
        <v>1373393.3726221961</v>
      </c>
      <c r="U64" s="356">
        <f t="shared" si="3"/>
        <v>0</v>
      </c>
    </row>
    <row r="65" spans="1:21">
      <c r="A65" s="356">
        <v>1659419.3698609821</v>
      </c>
      <c r="B65" s="356">
        <v>1631784.5511909511</v>
      </c>
      <c r="C65" s="335">
        <v>2043</v>
      </c>
      <c r="D65" s="335">
        <v>10080</v>
      </c>
      <c r="E65" s="331" t="s">
        <v>83</v>
      </c>
      <c r="F65" s="356">
        <v>1706627.1533212056</v>
      </c>
      <c r="G65" s="357">
        <v>1383960.2388509365</v>
      </c>
      <c r="H65" s="358">
        <v>332805</v>
      </c>
      <c r="I65" s="359">
        <f t="shared" si="1"/>
        <v>1051155.2388509365</v>
      </c>
      <c r="J65" s="360">
        <v>0</v>
      </c>
      <c r="K65" s="360">
        <v>276924.75797510042</v>
      </c>
      <c r="L65" s="361">
        <v>3142.1564951682412</v>
      </c>
      <c r="M65" s="356">
        <v>42600</v>
      </c>
      <c r="N65" s="356">
        <v>0</v>
      </c>
      <c r="O65" s="356">
        <v>47207.783460223582</v>
      </c>
      <c r="P65" s="356">
        <v>74842.602130254498</v>
      </c>
      <c r="R65" s="362">
        <f t="shared" si="4"/>
        <v>1664027.1533212052</v>
      </c>
      <c r="S65" s="335" t="s">
        <v>604</v>
      </c>
      <c r="T65" s="356">
        <f t="shared" si="2"/>
        <v>1706627.1533212054</v>
      </c>
      <c r="U65" s="356">
        <f t="shared" si="3"/>
        <v>0</v>
      </c>
    </row>
    <row r="66" spans="1:21">
      <c r="A66" s="356">
        <v>1288257.5622713256</v>
      </c>
      <c r="B66" s="356">
        <v>1304491.4756925001</v>
      </c>
      <c r="C66" s="335">
        <v>2045</v>
      </c>
      <c r="D66" s="335">
        <v>10082</v>
      </c>
      <c r="E66" s="331" t="s">
        <v>354</v>
      </c>
      <c r="F66" s="356">
        <v>1310590.5397679745</v>
      </c>
      <c r="G66" s="357">
        <v>1076325.806828029</v>
      </c>
      <c r="H66" s="358">
        <v>252375</v>
      </c>
      <c r="I66" s="359">
        <f t="shared" si="1"/>
        <v>823950.80682802899</v>
      </c>
      <c r="J66" s="360">
        <v>0</v>
      </c>
      <c r="K66" s="360">
        <v>180314.30544799802</v>
      </c>
      <c r="L66" s="361">
        <v>5236.927491947069</v>
      </c>
      <c r="M66" s="356">
        <v>42000</v>
      </c>
      <c r="N66" s="356">
        <v>6713.5</v>
      </c>
      <c r="O66" s="356">
        <v>22332.977496648906</v>
      </c>
      <c r="P66" s="356">
        <v>6099.0640754743945</v>
      </c>
      <c r="R66" s="362">
        <f t="shared" si="4"/>
        <v>1261877.0397679741</v>
      </c>
      <c r="S66" s="335" t="s">
        <v>604</v>
      </c>
      <c r="T66" s="356">
        <f t="shared" si="2"/>
        <v>1310590.5397679741</v>
      </c>
      <c r="U66" s="356">
        <f t="shared" si="3"/>
        <v>0</v>
      </c>
    </row>
    <row r="67" spans="1:21">
      <c r="A67" s="356">
        <v>1691649.0573138734</v>
      </c>
      <c r="B67" s="356">
        <v>1704956.4015078708</v>
      </c>
      <c r="C67" s="335">
        <v>5201</v>
      </c>
      <c r="D67" s="335">
        <v>10084</v>
      </c>
      <c r="E67" s="331" t="s">
        <v>355</v>
      </c>
      <c r="F67" s="356">
        <v>1748212.772880279</v>
      </c>
      <c r="G67" s="357">
        <v>1480886.6975693675</v>
      </c>
      <c r="H67" s="358">
        <v>0</v>
      </c>
      <c r="I67" s="359">
        <f t="shared" si="1"/>
        <v>1480886.6975693675</v>
      </c>
      <c r="J67" s="360">
        <v>0</v>
      </c>
      <c r="K67" s="360">
        <v>217970.91581620357</v>
      </c>
      <c r="L67" s="361">
        <v>3441.4094947080739</v>
      </c>
      <c r="M67" s="356">
        <v>37200</v>
      </c>
      <c r="N67" s="356">
        <v>8713.75</v>
      </c>
      <c r="O67" s="356">
        <v>56563.715566405561</v>
      </c>
      <c r="P67" s="356">
        <v>43256.371372408234</v>
      </c>
      <c r="R67" s="362">
        <f t="shared" si="4"/>
        <v>1702299.0228802792</v>
      </c>
      <c r="S67" s="335" t="s">
        <v>665</v>
      </c>
      <c r="T67" s="356">
        <f t="shared" si="2"/>
        <v>1748212.7728802795</v>
      </c>
      <c r="U67" s="356">
        <f t="shared" si="3"/>
        <v>0</v>
      </c>
    </row>
    <row r="68" spans="1:21">
      <c r="A68" s="356">
        <v>1064500.534239775</v>
      </c>
      <c r="B68" s="356">
        <v>1087916.2190255434</v>
      </c>
      <c r="C68" s="335">
        <v>3501</v>
      </c>
      <c r="D68" s="335">
        <v>10085</v>
      </c>
      <c r="E68" s="331" t="s">
        <v>87</v>
      </c>
      <c r="F68" s="356">
        <v>1066549.0654178723</v>
      </c>
      <c r="G68" s="357">
        <v>909970.76747227856</v>
      </c>
      <c r="H68" s="358">
        <v>207910</v>
      </c>
      <c r="I68" s="359">
        <f t="shared" si="1"/>
        <v>702060.76747227856</v>
      </c>
      <c r="J68" s="360">
        <v>0</v>
      </c>
      <c r="K68" s="360">
        <v>122471.03920652272</v>
      </c>
      <c r="L68" s="361">
        <v>7107.2587390710223</v>
      </c>
      <c r="M68" s="356">
        <v>27000</v>
      </c>
      <c r="N68" s="356">
        <v>0</v>
      </c>
      <c r="O68" s="356">
        <v>2048.5311780972406</v>
      </c>
      <c r="P68" s="356">
        <v>-21367.153607671149</v>
      </c>
      <c r="R68" s="362">
        <f t="shared" si="4"/>
        <v>1039549.0654178723</v>
      </c>
      <c r="S68" s="335" t="s">
        <v>604</v>
      </c>
      <c r="T68" s="356">
        <f t="shared" si="2"/>
        <v>1066549.0654178723</v>
      </c>
      <c r="U68" s="356">
        <f t="shared" si="3"/>
        <v>0</v>
      </c>
    </row>
    <row r="69" spans="1:21">
      <c r="A69" s="356">
        <v>774351.53519474959</v>
      </c>
      <c r="B69" s="356">
        <v>756250.28346233733</v>
      </c>
      <c r="C69" s="335">
        <v>2078</v>
      </c>
      <c r="D69" s="335">
        <v>10129</v>
      </c>
      <c r="E69" s="331" t="s">
        <v>356</v>
      </c>
      <c r="F69" s="356">
        <v>865320.85180943436</v>
      </c>
      <c r="G69" s="357">
        <v>778892.8190529393</v>
      </c>
      <c r="H69" s="358">
        <v>169944</v>
      </c>
      <c r="I69" s="359">
        <f t="shared" si="1"/>
        <v>608948.8190529393</v>
      </c>
      <c r="J69" s="360">
        <v>0</v>
      </c>
      <c r="K69" s="360">
        <v>70828.032756495217</v>
      </c>
      <c r="L69" s="361">
        <v>0</v>
      </c>
      <c r="M69" s="356">
        <v>15600</v>
      </c>
      <c r="N69" s="356">
        <v>0</v>
      </c>
      <c r="O69" s="356">
        <v>90969.316614684765</v>
      </c>
      <c r="P69" s="356">
        <v>109070.56834709703</v>
      </c>
      <c r="R69" s="362">
        <f t="shared" si="4"/>
        <v>849720.85180943448</v>
      </c>
      <c r="S69" s="335" t="s">
        <v>604</v>
      </c>
      <c r="T69" s="356">
        <f t="shared" si="2"/>
        <v>865320.85180943459</v>
      </c>
      <c r="U69" s="356">
        <f t="shared" si="3"/>
        <v>0</v>
      </c>
    </row>
    <row r="70" spans="1:21">
      <c r="A70" s="356">
        <v>1566741.2443237097</v>
      </c>
      <c r="B70" s="356">
        <v>1587152.3189599195</v>
      </c>
      <c r="C70" s="335">
        <v>2000</v>
      </c>
      <c r="D70" s="335">
        <v>10120</v>
      </c>
      <c r="E70" s="331" t="s">
        <v>357</v>
      </c>
      <c r="F70" s="356">
        <v>1733874.0625438648</v>
      </c>
      <c r="G70" s="357">
        <v>1457607.2468638183</v>
      </c>
      <c r="H70" s="358">
        <v>0</v>
      </c>
      <c r="I70" s="359">
        <f t="shared" si="1"/>
        <v>1457607.2468638183</v>
      </c>
      <c r="J70" s="360">
        <v>0</v>
      </c>
      <c r="K70" s="360">
        <v>206456.07193867461</v>
      </c>
      <c r="L70" s="361">
        <v>5610.993741371859</v>
      </c>
      <c r="M70" s="356">
        <v>64200</v>
      </c>
      <c r="N70" s="356">
        <v>-0.25</v>
      </c>
      <c r="O70" s="356">
        <v>167132.81822015508</v>
      </c>
      <c r="P70" s="356">
        <v>146721.74358394532</v>
      </c>
      <c r="R70" s="362">
        <f t="shared" si="4"/>
        <v>1669674.3125438648</v>
      </c>
      <c r="S70" s="335" t="s">
        <v>664</v>
      </c>
      <c r="T70" s="356">
        <f t="shared" si="2"/>
        <v>1733874.0625438644</v>
      </c>
      <c r="U70" s="356">
        <f t="shared" si="3"/>
        <v>0</v>
      </c>
    </row>
    <row r="71" spans="1:21">
      <c r="A71" s="356">
        <v>1497445.5129506011</v>
      </c>
      <c r="B71" s="356">
        <v>1566853.4007721753</v>
      </c>
      <c r="C71" s="335">
        <v>2071</v>
      </c>
      <c r="D71" s="335">
        <v>10119</v>
      </c>
      <c r="E71" s="331" t="s">
        <v>90</v>
      </c>
      <c r="F71" s="356">
        <v>1638717.6590528484</v>
      </c>
      <c r="G71" s="357">
        <v>1198592.6785596667</v>
      </c>
      <c r="H71" s="358">
        <v>313551</v>
      </c>
      <c r="I71" s="359">
        <f t="shared" si="1"/>
        <v>885041.67855966673</v>
      </c>
      <c r="J71" s="360">
        <v>0</v>
      </c>
      <c r="K71" s="360">
        <v>360633.52000629611</v>
      </c>
      <c r="L71" s="361">
        <v>8528.7104868852257</v>
      </c>
      <c r="M71" s="356">
        <v>63500</v>
      </c>
      <c r="N71" s="356">
        <v>7462.75</v>
      </c>
      <c r="O71" s="356">
        <v>141272.14610224729</v>
      </c>
      <c r="P71" s="356">
        <v>71864.258280673064</v>
      </c>
      <c r="R71" s="362">
        <f t="shared" si="4"/>
        <v>1567754.9090528479</v>
      </c>
      <c r="S71" s="335" t="s">
        <v>604</v>
      </c>
      <c r="T71" s="356">
        <f t="shared" si="2"/>
        <v>1638717.6590528481</v>
      </c>
      <c r="U71" s="356">
        <f t="shared" si="3"/>
        <v>0</v>
      </c>
    </row>
    <row r="72" spans="1:21">
      <c r="A72" s="356">
        <v>1708364.0065160803</v>
      </c>
      <c r="B72" s="356">
        <v>1655303.8463973419</v>
      </c>
      <c r="C72" s="335">
        <v>2072</v>
      </c>
      <c r="D72" s="335">
        <v>10086</v>
      </c>
      <c r="E72" s="331" t="s">
        <v>91</v>
      </c>
      <c r="F72" s="356">
        <v>1589094.1157168068</v>
      </c>
      <c r="G72" s="357">
        <v>1117434.143979531</v>
      </c>
      <c r="H72" s="358">
        <v>297756</v>
      </c>
      <c r="I72" s="359">
        <f t="shared" si="1"/>
        <v>819678.14397953101</v>
      </c>
      <c r="J72" s="360">
        <v>0</v>
      </c>
      <c r="K72" s="360">
        <v>360872.36675338168</v>
      </c>
      <c r="L72" s="361">
        <v>10473.854983894138</v>
      </c>
      <c r="M72" s="356">
        <v>92950</v>
      </c>
      <c r="N72" s="356">
        <v>7363.75</v>
      </c>
      <c r="O72" s="356">
        <v>-119269.8907992735</v>
      </c>
      <c r="P72" s="356">
        <v>-66209.730680535082</v>
      </c>
      <c r="R72" s="362">
        <f t="shared" si="4"/>
        <v>1488780.3657168068</v>
      </c>
      <c r="S72" s="335" t="s">
        <v>604</v>
      </c>
      <c r="T72" s="356">
        <f t="shared" si="2"/>
        <v>1589094.1157168068</v>
      </c>
      <c r="U72" s="356">
        <f t="shared" si="3"/>
        <v>0</v>
      </c>
    </row>
    <row r="73" spans="1:21">
      <c r="A73" s="356">
        <v>1785672.69230059</v>
      </c>
      <c r="B73" s="356">
        <v>1826319.7730466595</v>
      </c>
      <c r="C73" s="335">
        <v>3512</v>
      </c>
      <c r="D73" s="335">
        <v>10112</v>
      </c>
      <c r="E73" s="331" t="s">
        <v>358</v>
      </c>
      <c r="F73" s="356">
        <v>1882997.4275600836</v>
      </c>
      <c r="G73" s="357">
        <v>1716968.0811863507</v>
      </c>
      <c r="H73" s="358">
        <v>374799</v>
      </c>
      <c r="I73" s="359">
        <f t="shared" si="1"/>
        <v>1342169.0811863507</v>
      </c>
      <c r="J73" s="360">
        <v>0</v>
      </c>
      <c r="K73" s="360">
        <v>157029.34637373258</v>
      </c>
      <c r="L73" s="361">
        <v>0</v>
      </c>
      <c r="M73" s="356">
        <v>9000</v>
      </c>
      <c r="N73" s="356">
        <v>0</v>
      </c>
      <c r="O73" s="356">
        <v>97324.73525949358</v>
      </c>
      <c r="P73" s="356">
        <v>56677.65451342403</v>
      </c>
      <c r="R73" s="362">
        <f t="shared" si="4"/>
        <v>1873997.4275600833</v>
      </c>
      <c r="S73" s="335" t="s">
        <v>604</v>
      </c>
      <c r="T73" s="356">
        <f t="shared" si="2"/>
        <v>1882997.4275600836</v>
      </c>
      <c r="U73" s="356">
        <f t="shared" si="3"/>
        <v>0</v>
      </c>
    </row>
    <row r="74" spans="1:21">
      <c r="A74" s="356">
        <v>1591866.9833003134</v>
      </c>
      <c r="B74" s="356">
        <v>1603182.5005512573</v>
      </c>
      <c r="C74" s="335">
        <v>3510</v>
      </c>
      <c r="D74" s="335">
        <v>10110</v>
      </c>
      <c r="E74" s="331" t="s">
        <v>359</v>
      </c>
      <c r="F74" s="356">
        <v>1633633.9581633604</v>
      </c>
      <c r="G74" s="357">
        <v>1475638.1778274206</v>
      </c>
      <c r="H74" s="358">
        <v>322167</v>
      </c>
      <c r="I74" s="359">
        <f t="shared" si="1"/>
        <v>1153471.1778274206</v>
      </c>
      <c r="J74" s="360">
        <v>0</v>
      </c>
      <c r="K74" s="360">
        <v>131679.55759134659</v>
      </c>
      <c r="L74" s="361">
        <v>3516.2227445930321</v>
      </c>
      <c r="M74" s="356">
        <v>22800</v>
      </c>
      <c r="N74" s="356">
        <v>0</v>
      </c>
      <c r="O74" s="356">
        <v>41766.974863047013</v>
      </c>
      <c r="P74" s="356">
        <v>30451.457612103084</v>
      </c>
      <c r="R74" s="362">
        <f t="shared" si="4"/>
        <v>1610833.9581633601</v>
      </c>
      <c r="S74" s="335" t="s">
        <v>604</v>
      </c>
      <c r="T74" s="356">
        <f t="shared" si="2"/>
        <v>1633633.9581633601</v>
      </c>
      <c r="U74" s="356">
        <f t="shared" si="3"/>
        <v>0</v>
      </c>
    </row>
    <row r="75" spans="1:21">
      <c r="A75" s="356">
        <v>1382418.8704847342</v>
      </c>
      <c r="B75" s="356">
        <v>1409653.5310046314</v>
      </c>
      <c r="C75" s="335">
        <v>3502</v>
      </c>
      <c r="D75" s="335">
        <v>10087</v>
      </c>
      <c r="E75" s="331" t="s">
        <v>360</v>
      </c>
      <c r="F75" s="356">
        <v>1455669.9462784159</v>
      </c>
      <c r="G75" s="357">
        <v>1243293.6914362314</v>
      </c>
      <c r="H75" s="358">
        <v>282614</v>
      </c>
      <c r="I75" s="359">
        <f t="shared" si="1"/>
        <v>960679.69143623137</v>
      </c>
      <c r="J75" s="360">
        <v>0</v>
      </c>
      <c r="K75" s="360">
        <v>162444.55635345815</v>
      </c>
      <c r="L75" s="361">
        <v>7331.6984887258959</v>
      </c>
      <c r="M75" s="356">
        <v>42600</v>
      </c>
      <c r="N75" s="356">
        <v>0</v>
      </c>
      <c r="O75" s="356">
        <v>73251.075793681666</v>
      </c>
      <c r="P75" s="356">
        <v>46016.415273784427</v>
      </c>
      <c r="R75" s="362">
        <f t="shared" si="4"/>
        <v>1413069.9462784154</v>
      </c>
      <c r="S75" s="335" t="s">
        <v>604</v>
      </c>
      <c r="T75" s="356">
        <f t="shared" si="2"/>
        <v>1455669.9462784154</v>
      </c>
      <c r="U75" s="356">
        <f t="shared" si="3"/>
        <v>0</v>
      </c>
    </row>
    <row r="76" spans="1:21">
      <c r="A76" s="356">
        <v>845495.15124942292</v>
      </c>
      <c r="B76" s="356">
        <v>882520.47015128157</v>
      </c>
      <c r="C76" s="335">
        <v>3315</v>
      </c>
      <c r="D76" s="335">
        <v>10099</v>
      </c>
      <c r="E76" s="331" t="s">
        <v>605</v>
      </c>
      <c r="F76" s="356">
        <v>892964.41981217708</v>
      </c>
      <c r="G76" s="357">
        <v>800603.48158458364</v>
      </c>
      <c r="H76" s="358">
        <v>177273</v>
      </c>
      <c r="I76" s="359">
        <f t="shared" si="1"/>
        <v>623330.48158458364</v>
      </c>
      <c r="J76" s="360">
        <v>0</v>
      </c>
      <c r="K76" s="360">
        <v>84115.046730124479</v>
      </c>
      <c r="L76" s="361">
        <v>1645.8914974690788</v>
      </c>
      <c r="M76" s="356">
        <v>6600</v>
      </c>
      <c r="N76" s="356">
        <v>0</v>
      </c>
      <c r="O76" s="356">
        <v>47469.26856275415</v>
      </c>
      <c r="P76" s="356">
        <v>10443.949660895509</v>
      </c>
      <c r="R76" s="362">
        <f t="shared" si="4"/>
        <v>886364.41981217719</v>
      </c>
      <c r="S76" s="335" t="s">
        <v>604</v>
      </c>
      <c r="T76" s="356">
        <f t="shared" si="2"/>
        <v>892964.41981217708</v>
      </c>
      <c r="U76" s="356">
        <f t="shared" si="3"/>
        <v>0</v>
      </c>
    </row>
    <row r="77" spans="1:21">
      <c r="A77" s="356">
        <v>1554645.4755782359</v>
      </c>
      <c r="B77" s="356">
        <v>1554964.4765356211</v>
      </c>
      <c r="C77" s="335">
        <v>3504</v>
      </c>
      <c r="D77" s="335">
        <v>10088</v>
      </c>
      <c r="E77" s="331" t="s">
        <v>361</v>
      </c>
      <c r="F77" s="356">
        <v>1651317.8055612019</v>
      </c>
      <c r="G77" s="357">
        <v>1446287.8908512639</v>
      </c>
      <c r="H77" s="358">
        <v>324024</v>
      </c>
      <c r="I77" s="359">
        <f t="shared" si="1"/>
        <v>1122263.8908512639</v>
      </c>
      <c r="J77" s="360">
        <v>0</v>
      </c>
      <c r="K77" s="360">
        <v>168368.54746833624</v>
      </c>
      <c r="L77" s="361">
        <v>5461.3672416019435</v>
      </c>
      <c r="M77" s="356">
        <v>31200</v>
      </c>
      <c r="N77" s="356">
        <v>0</v>
      </c>
      <c r="O77" s="356">
        <v>96672.329982965952</v>
      </c>
      <c r="P77" s="356">
        <v>96353.329025580781</v>
      </c>
      <c r="R77" s="362">
        <f t="shared" si="4"/>
        <v>1620117.8055612021</v>
      </c>
      <c r="S77" s="335" t="s">
        <v>604</v>
      </c>
      <c r="T77" s="356">
        <f t="shared" si="2"/>
        <v>1651317.8055612021</v>
      </c>
      <c r="U77" s="356">
        <f t="shared" si="3"/>
        <v>0</v>
      </c>
    </row>
    <row r="78" spans="1:21">
      <c r="A78" s="356">
        <v>949755.58528003341</v>
      </c>
      <c r="B78" s="356">
        <v>952036.56330778904</v>
      </c>
      <c r="C78" s="335">
        <v>3307</v>
      </c>
      <c r="D78" s="335">
        <v>10089</v>
      </c>
      <c r="E78" s="331" t="s">
        <v>606</v>
      </c>
      <c r="F78" s="356">
        <v>982570.49470380158</v>
      </c>
      <c r="G78" s="357">
        <v>900801.80206837668</v>
      </c>
      <c r="H78" s="358">
        <v>193034</v>
      </c>
      <c r="I78" s="359">
        <f t="shared" si="1"/>
        <v>707767.80206837668</v>
      </c>
      <c r="J78" s="360">
        <v>0</v>
      </c>
      <c r="K78" s="360">
        <v>60702.843391062066</v>
      </c>
      <c r="L78" s="361">
        <v>3665.849244362948</v>
      </c>
      <c r="M78" s="356">
        <v>17400</v>
      </c>
      <c r="N78" s="356">
        <v>0</v>
      </c>
      <c r="O78" s="356">
        <v>32814.909423768171</v>
      </c>
      <c r="P78" s="356">
        <v>30533.931396012544</v>
      </c>
      <c r="R78" s="362">
        <f t="shared" si="4"/>
        <v>965170.4947038017</v>
      </c>
      <c r="S78" s="335" t="s">
        <v>604</v>
      </c>
      <c r="T78" s="356">
        <f t="shared" si="2"/>
        <v>982570.49470380158</v>
      </c>
      <c r="U78" s="356">
        <f t="shared" si="3"/>
        <v>0</v>
      </c>
    </row>
    <row r="79" spans="1:21">
      <c r="A79" s="356">
        <v>1076342.299547822</v>
      </c>
      <c r="B79" s="356">
        <v>1090057.6309979006</v>
      </c>
      <c r="C79" s="335">
        <v>3309</v>
      </c>
      <c r="D79" s="335">
        <v>10116</v>
      </c>
      <c r="E79" s="331" t="s">
        <v>607</v>
      </c>
      <c r="F79" s="356">
        <v>1067409.1218077489</v>
      </c>
      <c r="G79" s="357">
        <v>887649.46883600263</v>
      </c>
      <c r="H79" s="358">
        <v>208602</v>
      </c>
      <c r="I79" s="359">
        <f t="shared" si="1"/>
        <v>679047.46883600263</v>
      </c>
      <c r="J79" s="360">
        <v>0</v>
      </c>
      <c r="K79" s="360">
        <v>153713.76147427765</v>
      </c>
      <c r="L79" s="361">
        <v>1645.8914974690788</v>
      </c>
      <c r="M79" s="356">
        <v>24400</v>
      </c>
      <c r="N79" s="356">
        <v>0</v>
      </c>
      <c r="O79" s="356">
        <v>-8933.1777400730643</v>
      </c>
      <c r="P79" s="356">
        <v>-22648.509190151701</v>
      </c>
      <c r="R79" s="362">
        <f t="shared" si="4"/>
        <v>1043009.1218077494</v>
      </c>
      <c r="S79" s="335" t="s">
        <v>604</v>
      </c>
      <c r="T79" s="356">
        <f t="shared" si="2"/>
        <v>1067409.1218077489</v>
      </c>
      <c r="U79" s="356">
        <f t="shared" si="3"/>
        <v>0</v>
      </c>
    </row>
    <row r="80" spans="1:21">
      <c r="A80" s="356">
        <v>927609.35084315191</v>
      </c>
      <c r="B80" s="356">
        <v>948935.65258014866</v>
      </c>
      <c r="C80" s="335">
        <v>3508</v>
      </c>
      <c r="D80" s="335">
        <v>10111</v>
      </c>
      <c r="E80" s="331" t="s">
        <v>362</v>
      </c>
      <c r="F80" s="356">
        <v>979924.23197994789</v>
      </c>
      <c r="G80" s="357">
        <v>850390.89364920591</v>
      </c>
      <c r="H80" s="358">
        <v>192265</v>
      </c>
      <c r="I80" s="359">
        <f t="shared" si="1"/>
        <v>658125.89364920591</v>
      </c>
      <c r="J80" s="360">
        <v>0</v>
      </c>
      <c r="K80" s="360">
        <v>105621.59758890999</v>
      </c>
      <c r="L80" s="361">
        <v>5311.7407418320272</v>
      </c>
      <c r="M80" s="356">
        <v>18600</v>
      </c>
      <c r="N80" s="356">
        <v>0</v>
      </c>
      <c r="O80" s="356">
        <v>52314.881136795972</v>
      </c>
      <c r="P80" s="356">
        <v>30988.57939979923</v>
      </c>
      <c r="R80" s="362">
        <f t="shared" si="4"/>
        <v>961324.231979948</v>
      </c>
      <c r="S80" s="335" t="s">
        <v>604</v>
      </c>
      <c r="T80" s="356">
        <f t="shared" si="2"/>
        <v>979924.231979948</v>
      </c>
      <c r="U80" s="356">
        <f t="shared" si="3"/>
        <v>0</v>
      </c>
    </row>
    <row r="81" spans="1:21">
      <c r="A81" s="356">
        <v>1100439.1874825656</v>
      </c>
      <c r="B81" s="356">
        <v>1136631.9389386787</v>
      </c>
      <c r="C81" s="335">
        <v>3509</v>
      </c>
      <c r="D81" s="335">
        <v>10107</v>
      </c>
      <c r="E81" s="331" t="s">
        <v>363</v>
      </c>
      <c r="F81" s="356">
        <v>1132501.0453200107</v>
      </c>
      <c r="G81" s="357">
        <v>940996.61031569773</v>
      </c>
      <c r="H81" s="358">
        <v>220980</v>
      </c>
      <c r="I81" s="359">
        <f t="shared" ref="I81:I102" si="5">G81-H81</f>
        <v>720016.61031569773</v>
      </c>
      <c r="J81" s="360">
        <v>0</v>
      </c>
      <c r="K81" s="360">
        <v>156049.04376639207</v>
      </c>
      <c r="L81" s="361">
        <v>7855.3912379206031</v>
      </c>
      <c r="M81" s="356">
        <v>27600</v>
      </c>
      <c r="N81" s="356">
        <v>0</v>
      </c>
      <c r="O81" s="356">
        <v>32061.857837445103</v>
      </c>
      <c r="P81" s="356">
        <v>-4130.8936186679639</v>
      </c>
      <c r="R81" s="362">
        <f t="shared" si="4"/>
        <v>1104901.0453200105</v>
      </c>
      <c r="S81" s="335" t="s">
        <v>604</v>
      </c>
      <c r="T81" s="356">
        <f t="shared" ref="T81:T102" si="6">SUM(G81:N81)-I81-H81</f>
        <v>1132501.0453200105</v>
      </c>
      <c r="U81" s="356">
        <f t="shared" ref="U81:U102" si="7">F81-T81</f>
        <v>0</v>
      </c>
    </row>
    <row r="82" spans="1:21">
      <c r="A82" s="356">
        <v>1894065.4949495946</v>
      </c>
      <c r="B82" s="356">
        <v>1899960.6841496108</v>
      </c>
      <c r="C82" s="335">
        <v>3521</v>
      </c>
      <c r="D82" s="335">
        <v>10698</v>
      </c>
      <c r="E82" s="331" t="s">
        <v>364</v>
      </c>
      <c r="F82" s="356">
        <v>1977424.1955857514</v>
      </c>
      <c r="G82" s="357">
        <v>1646816.7688457284</v>
      </c>
      <c r="H82" s="358">
        <v>0</v>
      </c>
      <c r="I82" s="359">
        <f t="shared" si="5"/>
        <v>1646816.7688457284</v>
      </c>
      <c r="J82" s="360">
        <v>0</v>
      </c>
      <c r="K82" s="360">
        <v>258263.24050900477</v>
      </c>
      <c r="L82" s="361">
        <v>12344.186231018091</v>
      </c>
      <c r="M82" s="356">
        <v>60000</v>
      </c>
      <c r="N82" s="356">
        <v>0</v>
      </c>
      <c r="O82" s="356">
        <v>83358.700636156835</v>
      </c>
      <c r="P82" s="356">
        <v>77463.51143614063</v>
      </c>
      <c r="R82" s="362">
        <f t="shared" si="4"/>
        <v>1917424.1955857512</v>
      </c>
      <c r="S82" s="335" t="s">
        <v>664</v>
      </c>
      <c r="T82" s="356">
        <f t="shared" si="6"/>
        <v>1977424.1955857512</v>
      </c>
      <c r="U82" s="356">
        <f t="shared" si="7"/>
        <v>0</v>
      </c>
    </row>
    <row r="83" spans="1:21">
      <c r="A83" s="356">
        <v>1692090.3739668294</v>
      </c>
      <c r="B83" s="356">
        <v>1710561.1462613582</v>
      </c>
      <c r="C83" s="335">
        <v>3311</v>
      </c>
      <c r="D83" s="335">
        <v>10092</v>
      </c>
      <c r="E83" s="331" t="s">
        <v>608</v>
      </c>
      <c r="F83" s="356">
        <v>1784461.9389582891</v>
      </c>
      <c r="G83" s="357">
        <v>1634890.4506492165</v>
      </c>
      <c r="H83" s="358">
        <v>352932</v>
      </c>
      <c r="I83" s="359">
        <f t="shared" si="5"/>
        <v>1281958.4506492165</v>
      </c>
      <c r="J83" s="360">
        <v>0</v>
      </c>
      <c r="K83" s="360">
        <v>126778.95831367426</v>
      </c>
      <c r="L83" s="361">
        <v>2992.5299953983249</v>
      </c>
      <c r="M83" s="356">
        <v>19800</v>
      </c>
      <c r="N83" s="356">
        <v>0</v>
      </c>
      <c r="O83" s="356">
        <v>92371.564991459716</v>
      </c>
      <c r="P83" s="356">
        <v>73900.792696930934</v>
      </c>
      <c r="R83" s="362">
        <f t="shared" si="4"/>
        <v>1764661.9389582891</v>
      </c>
      <c r="S83" s="335" t="s">
        <v>604</v>
      </c>
      <c r="T83" s="356">
        <f t="shared" si="6"/>
        <v>1784461.9389582891</v>
      </c>
      <c r="U83" s="356">
        <f t="shared" si="7"/>
        <v>0</v>
      </c>
    </row>
    <row r="84" spans="1:21">
      <c r="A84" s="356">
        <v>895816.77521679678</v>
      </c>
      <c r="B84" s="356">
        <v>918858.60439504217</v>
      </c>
      <c r="C84" s="335">
        <v>3312</v>
      </c>
      <c r="D84" s="335">
        <v>10093</v>
      </c>
      <c r="E84" s="331" t="s">
        <v>365</v>
      </c>
      <c r="F84" s="356">
        <v>958658.69863836432</v>
      </c>
      <c r="G84" s="357">
        <v>798217.25066965166</v>
      </c>
      <c r="H84" s="358">
        <v>188082</v>
      </c>
      <c r="I84" s="359">
        <f t="shared" si="5"/>
        <v>610135.25066965166</v>
      </c>
      <c r="J84" s="360">
        <v>0</v>
      </c>
      <c r="K84" s="360">
        <v>140844.80947078369</v>
      </c>
      <c r="L84" s="361">
        <v>1346.6384979292463</v>
      </c>
      <c r="M84" s="356">
        <v>18250</v>
      </c>
      <c r="N84" s="356">
        <v>0</v>
      </c>
      <c r="O84" s="356">
        <v>62841.923421567539</v>
      </c>
      <c r="P84" s="356">
        <v>39800.09424332215</v>
      </c>
      <c r="R84" s="362">
        <f t="shared" si="4"/>
        <v>940408.69863836456</v>
      </c>
      <c r="S84" s="335" t="s">
        <v>604</v>
      </c>
      <c r="T84" s="356">
        <f t="shared" si="6"/>
        <v>958658.69863836467</v>
      </c>
      <c r="U84" s="356">
        <f t="shared" si="7"/>
        <v>0</v>
      </c>
    </row>
    <row r="85" spans="1:21">
      <c r="A85" s="356">
        <v>989057.67287322634</v>
      </c>
      <c r="B85" s="356">
        <v>1009794.6368954631</v>
      </c>
      <c r="C85" s="335">
        <v>3313</v>
      </c>
      <c r="D85" s="335">
        <v>10094</v>
      </c>
      <c r="E85" s="331" t="s">
        <v>366</v>
      </c>
      <c r="F85" s="356">
        <v>1054320.9016014698</v>
      </c>
      <c r="G85" s="357">
        <v>870224.56481774477</v>
      </c>
      <c r="H85" s="358">
        <v>204024</v>
      </c>
      <c r="I85" s="359">
        <f t="shared" si="5"/>
        <v>666200.56481774477</v>
      </c>
      <c r="J85" s="360">
        <v>0</v>
      </c>
      <c r="K85" s="360">
        <v>142863.89129453877</v>
      </c>
      <c r="L85" s="361">
        <v>7032.4454891860642</v>
      </c>
      <c r="M85" s="356">
        <v>34200</v>
      </c>
      <c r="N85" s="356">
        <v>0</v>
      </c>
      <c r="O85" s="356">
        <v>65263.228728243499</v>
      </c>
      <c r="P85" s="356">
        <v>44526.264706006739</v>
      </c>
      <c r="R85" s="362">
        <f t="shared" si="4"/>
        <v>1020120.9016014696</v>
      </c>
      <c r="S85" s="335" t="s">
        <v>604</v>
      </c>
      <c r="T85" s="356">
        <f t="shared" si="6"/>
        <v>1054320.9016014696</v>
      </c>
      <c r="U85" s="356">
        <f t="shared" si="7"/>
        <v>0</v>
      </c>
    </row>
    <row r="86" spans="1:21">
      <c r="A86" s="356">
        <v>845848.16111366707</v>
      </c>
      <c r="B86" s="356">
        <v>863018.59305577877</v>
      </c>
      <c r="C86" s="335">
        <v>3314</v>
      </c>
      <c r="D86" s="335">
        <v>10095</v>
      </c>
      <c r="E86" s="331" t="s">
        <v>609</v>
      </c>
      <c r="F86" s="356">
        <v>917503.67912065063</v>
      </c>
      <c r="G86" s="357">
        <v>798687.77119814709</v>
      </c>
      <c r="H86" s="358">
        <v>0</v>
      </c>
      <c r="I86" s="359">
        <f t="shared" si="5"/>
        <v>798687.77119814709</v>
      </c>
      <c r="J86" s="360">
        <v>0</v>
      </c>
      <c r="K86" s="360">
        <v>104201.92617929087</v>
      </c>
      <c r="L86" s="361">
        <v>4413.9817432125292</v>
      </c>
      <c r="M86" s="356">
        <v>10200</v>
      </c>
      <c r="N86" s="356">
        <v>0</v>
      </c>
      <c r="O86" s="356">
        <v>71655.518006983562</v>
      </c>
      <c r="P86" s="356">
        <v>54485.086064871866</v>
      </c>
      <c r="R86" s="362">
        <f t="shared" ref="R86:R102" si="8">G86+J86+K86+L86</f>
        <v>907303.67912065051</v>
      </c>
      <c r="S86" s="335" t="s">
        <v>665</v>
      </c>
      <c r="T86" s="356">
        <f t="shared" si="6"/>
        <v>917503.67912065063</v>
      </c>
      <c r="U86" s="356">
        <f t="shared" si="7"/>
        <v>0</v>
      </c>
    </row>
    <row r="87" spans="1:21">
      <c r="A87" s="356">
        <v>797714.34389642451</v>
      </c>
      <c r="B87" s="356">
        <v>807135.23110657604</v>
      </c>
      <c r="C87" s="335">
        <v>3507</v>
      </c>
      <c r="D87" s="335">
        <v>10108</v>
      </c>
      <c r="E87" s="331" t="s">
        <v>367</v>
      </c>
      <c r="F87" s="356">
        <v>904919.82000362128</v>
      </c>
      <c r="G87" s="357">
        <v>824123.0108057321</v>
      </c>
      <c r="H87" s="358">
        <v>177504</v>
      </c>
      <c r="I87" s="359">
        <f t="shared" si="5"/>
        <v>646619.0108057321</v>
      </c>
      <c r="J87" s="360">
        <v>0</v>
      </c>
      <c r="K87" s="360">
        <v>59805.773203411176</v>
      </c>
      <c r="L87" s="361">
        <v>3591.0359944779902</v>
      </c>
      <c r="M87" s="356">
        <v>17400</v>
      </c>
      <c r="N87" s="356">
        <v>0</v>
      </c>
      <c r="O87" s="356">
        <v>107205.47610719677</v>
      </c>
      <c r="P87" s="356">
        <v>97784.588897045236</v>
      </c>
      <c r="R87" s="362">
        <f t="shared" si="8"/>
        <v>887519.82000362128</v>
      </c>
      <c r="S87" s="335" t="s">
        <v>604</v>
      </c>
      <c r="T87" s="356">
        <f t="shared" si="6"/>
        <v>904919.82000362128</v>
      </c>
      <c r="U87" s="356">
        <f t="shared" si="7"/>
        <v>0</v>
      </c>
    </row>
    <row r="88" spans="1:21">
      <c r="A88" s="356">
        <v>1301834.19434681</v>
      </c>
      <c r="B88" s="356">
        <v>1314092.194504458</v>
      </c>
      <c r="C88" s="335">
        <v>3506</v>
      </c>
      <c r="D88" s="335">
        <v>10096</v>
      </c>
      <c r="E88" s="331" t="s">
        <v>368</v>
      </c>
      <c r="F88" s="356">
        <v>1360190.6024954163</v>
      </c>
      <c r="G88" s="357">
        <v>1159075.0249211735</v>
      </c>
      <c r="H88" s="358">
        <v>267118</v>
      </c>
      <c r="I88" s="359">
        <f t="shared" si="5"/>
        <v>891957.02492117346</v>
      </c>
      <c r="J88" s="360">
        <v>0</v>
      </c>
      <c r="K88" s="360">
        <v>168660.18633632199</v>
      </c>
      <c r="L88" s="361">
        <v>7855.3912379206031</v>
      </c>
      <c r="M88" s="356">
        <v>24600</v>
      </c>
      <c r="N88" s="356">
        <v>0</v>
      </c>
      <c r="O88" s="356">
        <v>58356.408148606308</v>
      </c>
      <c r="P88" s="356">
        <v>46098.407990958309</v>
      </c>
      <c r="R88" s="362">
        <f t="shared" si="8"/>
        <v>1335590.6024954161</v>
      </c>
      <c r="S88" s="335" t="s">
        <v>604</v>
      </c>
      <c r="T88" s="356">
        <f t="shared" si="6"/>
        <v>1360190.6024954163</v>
      </c>
      <c r="U88" s="356">
        <f t="shared" si="7"/>
        <v>0</v>
      </c>
    </row>
    <row r="89" spans="1:21">
      <c r="A89" s="356">
        <v>2137939.7924271156</v>
      </c>
      <c r="B89" s="356">
        <v>2202643.1156283282</v>
      </c>
      <c r="C89" s="335">
        <v>2052</v>
      </c>
      <c r="D89" s="335">
        <v>10098</v>
      </c>
      <c r="E89" s="331" t="s">
        <v>369</v>
      </c>
      <c r="F89" s="356">
        <v>2219191.1504575573</v>
      </c>
      <c r="G89" s="357">
        <v>1576884.0820560795</v>
      </c>
      <c r="H89" s="358">
        <v>425221</v>
      </c>
      <c r="I89" s="359">
        <f t="shared" si="5"/>
        <v>1151663.0820560795</v>
      </c>
      <c r="J89" s="360">
        <v>0</v>
      </c>
      <c r="K89" s="360">
        <v>538223.02066838846</v>
      </c>
      <c r="L89" s="361">
        <v>10997.547733088844</v>
      </c>
      <c r="M89" s="356">
        <v>84600</v>
      </c>
      <c r="N89" s="356">
        <v>8486.5</v>
      </c>
      <c r="O89" s="356">
        <v>81251.358030441683</v>
      </c>
      <c r="P89" s="356">
        <v>16548.034829229116</v>
      </c>
      <c r="R89" s="362">
        <f t="shared" si="8"/>
        <v>2126104.6504575568</v>
      </c>
      <c r="S89" s="335" t="s">
        <v>604</v>
      </c>
      <c r="T89" s="356">
        <f t="shared" si="6"/>
        <v>2219191.1504575568</v>
      </c>
      <c r="U89" s="356">
        <f t="shared" si="7"/>
        <v>0</v>
      </c>
    </row>
    <row r="90" spans="1:21">
      <c r="A90" s="356">
        <v>1237494.889270074</v>
      </c>
      <c r="B90" s="356">
        <v>1253555.5455760979</v>
      </c>
      <c r="C90" s="335">
        <v>2070</v>
      </c>
      <c r="D90" s="335">
        <v>10097</v>
      </c>
      <c r="E90" s="331" t="s">
        <v>370</v>
      </c>
      <c r="F90" s="356">
        <v>1260475.986693569</v>
      </c>
      <c r="G90" s="357">
        <v>938840.49821514275</v>
      </c>
      <c r="H90" s="358">
        <v>240804</v>
      </c>
      <c r="I90" s="359">
        <f t="shared" si="5"/>
        <v>698036.49821514275</v>
      </c>
      <c r="J90" s="360">
        <v>0</v>
      </c>
      <c r="K90" s="360">
        <v>257921.35323958506</v>
      </c>
      <c r="L90" s="361">
        <v>7256.8852388409377</v>
      </c>
      <c r="M90" s="356">
        <v>49800</v>
      </c>
      <c r="N90" s="356">
        <v>6657.25</v>
      </c>
      <c r="O90" s="356">
        <v>22981.097423495026</v>
      </c>
      <c r="P90" s="356">
        <v>6920.441117471084</v>
      </c>
      <c r="R90" s="362">
        <f t="shared" si="8"/>
        <v>1204018.7366935688</v>
      </c>
      <c r="S90" s="335" t="s">
        <v>604</v>
      </c>
      <c r="T90" s="356">
        <f t="shared" si="6"/>
        <v>1260475.9866935685</v>
      </c>
      <c r="U90" s="356">
        <f t="shared" si="7"/>
        <v>0</v>
      </c>
    </row>
    <row r="91" spans="1:21">
      <c r="A91" s="356">
        <v>921600.42698119534</v>
      </c>
      <c r="B91" s="356">
        <v>938957.23402510665</v>
      </c>
      <c r="C91" s="335">
        <v>3500</v>
      </c>
      <c r="D91" s="335">
        <v>10043</v>
      </c>
      <c r="E91" s="331" t="s">
        <v>371</v>
      </c>
      <c r="F91" s="356">
        <v>961722.05066004104</v>
      </c>
      <c r="G91" s="357">
        <v>829712.92949404533</v>
      </c>
      <c r="H91" s="358">
        <v>189584</v>
      </c>
      <c r="I91" s="359">
        <f t="shared" si="5"/>
        <v>640128.92949404533</v>
      </c>
      <c r="J91" s="360">
        <v>0</v>
      </c>
      <c r="K91" s="360">
        <v>110952.23592715479</v>
      </c>
      <c r="L91" s="361">
        <v>7256.8852388409377</v>
      </c>
      <c r="M91" s="356">
        <v>13800</v>
      </c>
      <c r="N91" s="356">
        <v>0</v>
      </c>
      <c r="O91" s="356">
        <v>40121.623678845703</v>
      </c>
      <c r="P91" s="356">
        <v>22764.816634934396</v>
      </c>
      <c r="R91" s="362">
        <f t="shared" si="8"/>
        <v>947922.05066004104</v>
      </c>
      <c r="S91" s="335" t="s">
        <v>604</v>
      </c>
      <c r="T91" s="356">
        <f t="shared" si="6"/>
        <v>961722.05066004116</v>
      </c>
      <c r="U91" s="356">
        <f t="shared" si="7"/>
        <v>0</v>
      </c>
    </row>
    <row r="92" spans="1:21">
      <c r="A92" s="356">
        <v>937697.04854181106</v>
      </c>
      <c r="B92" s="356">
        <v>965529.78134646988</v>
      </c>
      <c r="C92" s="335">
        <v>3514</v>
      </c>
      <c r="D92" s="335">
        <v>10117</v>
      </c>
      <c r="E92" s="331" t="s">
        <v>372</v>
      </c>
      <c r="F92" s="356">
        <v>965420.7781768943</v>
      </c>
      <c r="G92" s="357">
        <v>826437.694478972</v>
      </c>
      <c r="H92" s="358">
        <v>186964</v>
      </c>
      <c r="I92" s="359">
        <f t="shared" si="5"/>
        <v>639473.694478972</v>
      </c>
      <c r="J92" s="360">
        <v>0</v>
      </c>
      <c r="K92" s="360">
        <v>98881.800962532536</v>
      </c>
      <c r="L92" s="361">
        <v>9501.2827353896828</v>
      </c>
      <c r="M92" s="356">
        <v>30600</v>
      </c>
      <c r="N92" s="356">
        <v>0</v>
      </c>
      <c r="O92" s="356">
        <v>27723.729635083233</v>
      </c>
      <c r="P92" s="356">
        <v>-109.00316957558971</v>
      </c>
      <c r="R92" s="362">
        <f t="shared" si="8"/>
        <v>934820.77817689418</v>
      </c>
      <c r="S92" s="335" t="s">
        <v>604</v>
      </c>
      <c r="T92" s="356">
        <f t="shared" si="6"/>
        <v>965420.77817689441</v>
      </c>
      <c r="U92" s="356">
        <f t="shared" si="7"/>
        <v>0</v>
      </c>
    </row>
    <row r="93" spans="1:21">
      <c r="A93" s="356">
        <v>2082529.5166340552</v>
      </c>
      <c r="B93" s="356">
        <v>2109454.7838369156</v>
      </c>
      <c r="C93" s="335">
        <v>2074</v>
      </c>
      <c r="D93" s="335">
        <v>10122</v>
      </c>
      <c r="E93" s="331" t="s">
        <v>373</v>
      </c>
      <c r="F93" s="356">
        <v>2190464.6238047341</v>
      </c>
      <c r="G93" s="357">
        <v>1748972.024064193</v>
      </c>
      <c r="H93" s="358">
        <v>418051</v>
      </c>
      <c r="I93" s="359">
        <f t="shared" si="5"/>
        <v>1330921.024064193</v>
      </c>
      <c r="J93" s="360">
        <v>0</v>
      </c>
      <c r="K93" s="360">
        <v>331481.31400561187</v>
      </c>
      <c r="L93" s="361">
        <v>9800.5357349295136</v>
      </c>
      <c r="M93" s="356">
        <v>91200</v>
      </c>
      <c r="N93" s="356">
        <v>9010.75</v>
      </c>
      <c r="O93" s="356">
        <v>107935.10717067891</v>
      </c>
      <c r="P93" s="356">
        <v>81009.839967818465</v>
      </c>
      <c r="R93" s="362">
        <f t="shared" si="8"/>
        <v>2090253.8738047346</v>
      </c>
      <c r="S93" s="335" t="s">
        <v>604</v>
      </c>
      <c r="T93" s="356">
        <f t="shared" si="6"/>
        <v>2190464.6238047346</v>
      </c>
      <c r="U93" s="356">
        <f t="shared" si="7"/>
        <v>0</v>
      </c>
    </row>
    <row r="94" spans="1:21">
      <c r="A94" s="356">
        <v>2430517.8157757116</v>
      </c>
      <c r="B94" s="356">
        <v>2482248.0620492003</v>
      </c>
      <c r="C94" s="335">
        <v>2077</v>
      </c>
      <c r="D94" s="335">
        <v>10127</v>
      </c>
      <c r="E94" s="331" t="s">
        <v>374</v>
      </c>
      <c r="F94" s="356">
        <v>2718535.3242001166</v>
      </c>
      <c r="G94" s="357">
        <v>1915641.8001521574</v>
      </c>
      <c r="H94" s="358">
        <v>510517</v>
      </c>
      <c r="I94" s="359">
        <f t="shared" si="5"/>
        <v>1405124.8001521574</v>
      </c>
      <c r="J94" s="360">
        <v>0</v>
      </c>
      <c r="K94" s="360">
        <v>602755.61885053315</v>
      </c>
      <c r="L94" s="361">
        <v>34189.655197425862</v>
      </c>
      <c r="M94" s="356">
        <v>156600</v>
      </c>
      <c r="N94" s="356">
        <v>9348.25</v>
      </c>
      <c r="O94" s="356">
        <v>288017.50842440501</v>
      </c>
      <c r="P94" s="356">
        <v>236287.26215091627</v>
      </c>
      <c r="R94" s="362">
        <f t="shared" si="8"/>
        <v>2552587.0742001161</v>
      </c>
      <c r="S94" s="335" t="s">
        <v>604</v>
      </c>
      <c r="T94" s="356">
        <f t="shared" si="6"/>
        <v>2718535.3242001161</v>
      </c>
      <c r="U94" s="356">
        <f t="shared" si="7"/>
        <v>0</v>
      </c>
    </row>
    <row r="95" spans="1:21">
      <c r="A95" s="356">
        <v>790652.74075324985</v>
      </c>
      <c r="B95" s="356">
        <v>800244.04437037511</v>
      </c>
      <c r="C95" s="335">
        <v>3316</v>
      </c>
      <c r="D95" s="335">
        <v>10100</v>
      </c>
      <c r="E95" s="331" t="s">
        <v>375</v>
      </c>
      <c r="F95" s="356">
        <v>843834.24192025908</v>
      </c>
      <c r="G95" s="357">
        <v>801830.98383485631</v>
      </c>
      <c r="H95" s="358">
        <v>166967</v>
      </c>
      <c r="I95" s="359">
        <f t="shared" si="5"/>
        <v>634863.98383485631</v>
      </c>
      <c r="J95" s="360">
        <v>0</v>
      </c>
      <c r="K95" s="360">
        <v>33003.258085402747</v>
      </c>
      <c r="L95" s="361">
        <v>0</v>
      </c>
      <c r="M95" s="356">
        <v>9000</v>
      </c>
      <c r="N95" s="356">
        <v>0</v>
      </c>
      <c r="O95" s="356">
        <v>53181.501167009235</v>
      </c>
      <c r="P95" s="356">
        <v>43590.197549883975</v>
      </c>
      <c r="R95" s="362">
        <f t="shared" si="8"/>
        <v>834834.24192025908</v>
      </c>
      <c r="S95" s="335" t="s">
        <v>604</v>
      </c>
      <c r="T95" s="356">
        <f t="shared" si="6"/>
        <v>843834.24192025897</v>
      </c>
      <c r="U95" s="356">
        <f t="shared" si="7"/>
        <v>0</v>
      </c>
    </row>
    <row r="96" spans="1:21">
      <c r="A96" s="356">
        <v>1303687.0008769566</v>
      </c>
      <c r="B96" s="356">
        <v>1350684.0638128663</v>
      </c>
      <c r="C96" s="335">
        <v>2055</v>
      </c>
      <c r="D96" s="335">
        <v>10101</v>
      </c>
      <c r="E96" s="331" t="s">
        <v>376</v>
      </c>
      <c r="F96" s="356">
        <v>1273700.8038160247</v>
      </c>
      <c r="G96" s="357">
        <v>969352.53765363409</v>
      </c>
      <c r="H96" s="358">
        <v>243585</v>
      </c>
      <c r="I96" s="359">
        <f t="shared" si="5"/>
        <v>725767.53765363409</v>
      </c>
      <c r="J96" s="360">
        <v>0</v>
      </c>
      <c r="K96" s="360">
        <v>240267.745425161</v>
      </c>
      <c r="L96" s="361">
        <v>8304.2707372303521</v>
      </c>
      <c r="M96" s="356">
        <v>49200</v>
      </c>
      <c r="N96" s="356">
        <v>6576.25</v>
      </c>
      <c r="O96" s="356">
        <v>-29986.19706093194</v>
      </c>
      <c r="P96" s="356">
        <v>-76983.259996841662</v>
      </c>
      <c r="R96" s="362">
        <f t="shared" si="8"/>
        <v>1217924.5538160254</v>
      </c>
      <c r="S96" s="335" t="s">
        <v>604</v>
      </c>
      <c r="T96" s="356">
        <f t="shared" si="6"/>
        <v>1273700.8038160254</v>
      </c>
      <c r="U96" s="356">
        <f t="shared" si="7"/>
        <v>0</v>
      </c>
    </row>
    <row r="97" spans="1:21">
      <c r="A97" s="356">
        <v>953142.44093857158</v>
      </c>
      <c r="B97" s="356">
        <v>958085.37076378334</v>
      </c>
      <c r="C97" s="335">
        <v>2057</v>
      </c>
      <c r="D97" s="335">
        <v>10103</v>
      </c>
      <c r="E97" s="331" t="s">
        <v>112</v>
      </c>
      <c r="F97" s="356">
        <v>1015373.7977668371</v>
      </c>
      <c r="G97" s="357">
        <v>761866.06994359486</v>
      </c>
      <c r="H97" s="358">
        <v>192985</v>
      </c>
      <c r="I97" s="359">
        <f t="shared" si="5"/>
        <v>568881.06994359486</v>
      </c>
      <c r="J97" s="360">
        <v>0</v>
      </c>
      <c r="K97" s="360">
        <v>195354.4630850915</v>
      </c>
      <c r="L97" s="361">
        <v>7705.7647381506868</v>
      </c>
      <c r="M97" s="356">
        <v>44400</v>
      </c>
      <c r="N97" s="356">
        <v>6047.5</v>
      </c>
      <c r="O97" s="356">
        <v>62231.356828265474</v>
      </c>
      <c r="P97" s="356">
        <v>57288.427003053715</v>
      </c>
      <c r="R97" s="362">
        <f t="shared" si="8"/>
        <v>964926.29776683706</v>
      </c>
      <c r="S97" s="335" t="s">
        <v>604</v>
      </c>
      <c r="T97" s="356">
        <f t="shared" si="6"/>
        <v>1015373.7977668368</v>
      </c>
      <c r="U97" s="356">
        <f t="shared" si="7"/>
        <v>0</v>
      </c>
    </row>
    <row r="98" spans="1:21">
      <c r="A98" s="356">
        <v>1180094.3878870299</v>
      </c>
      <c r="B98" s="356">
        <v>1168687.7037653292</v>
      </c>
      <c r="C98" s="335">
        <v>2056</v>
      </c>
      <c r="D98" s="335">
        <v>10102</v>
      </c>
      <c r="E98" s="331" t="s">
        <v>113</v>
      </c>
      <c r="F98" s="356">
        <v>1242193.5964397604</v>
      </c>
      <c r="G98" s="357">
        <v>958966.22928075329</v>
      </c>
      <c r="H98" s="358">
        <v>234628</v>
      </c>
      <c r="I98" s="359">
        <f t="shared" si="5"/>
        <v>724338.22928075329</v>
      </c>
      <c r="J98" s="360">
        <v>0</v>
      </c>
      <c r="K98" s="360">
        <v>206990.29517005099</v>
      </c>
      <c r="L98" s="361">
        <v>7182.0719889559805</v>
      </c>
      <c r="M98" s="356">
        <v>62400</v>
      </c>
      <c r="N98" s="356">
        <v>6655</v>
      </c>
      <c r="O98" s="356">
        <v>62099.208552730503</v>
      </c>
      <c r="P98" s="356">
        <v>73505.892674431205</v>
      </c>
      <c r="R98" s="362">
        <f t="shared" si="8"/>
        <v>1173138.5964397604</v>
      </c>
      <c r="S98" s="335" t="s">
        <v>604</v>
      </c>
      <c r="T98" s="356">
        <f t="shared" si="6"/>
        <v>1242193.5964397604</v>
      </c>
      <c r="U98" s="356">
        <f t="shared" si="7"/>
        <v>0</v>
      </c>
    </row>
    <row r="99" spans="1:21">
      <c r="A99" s="356">
        <v>2277132.6349168075</v>
      </c>
      <c r="B99" s="356">
        <v>2287939.1684049489</v>
      </c>
      <c r="C99" s="335">
        <v>2076</v>
      </c>
      <c r="D99" s="335">
        <v>10124</v>
      </c>
      <c r="E99" s="331" t="s">
        <v>377</v>
      </c>
      <c r="F99" s="356">
        <v>2366665.0049168761</v>
      </c>
      <c r="G99" s="357">
        <v>1843522.8388331139</v>
      </c>
      <c r="H99" s="358">
        <v>449645</v>
      </c>
      <c r="I99" s="359">
        <f t="shared" si="5"/>
        <v>1393877.8388331139</v>
      </c>
      <c r="J99" s="360">
        <v>0</v>
      </c>
      <c r="K99" s="360">
        <v>385248.22111367376</v>
      </c>
      <c r="L99" s="361">
        <v>19451.444970089113</v>
      </c>
      <c r="M99" s="356">
        <v>109200</v>
      </c>
      <c r="N99" s="356">
        <v>9242.5</v>
      </c>
      <c r="O99" s="356">
        <v>89532.370000068564</v>
      </c>
      <c r="P99" s="356">
        <v>78725.836511927191</v>
      </c>
      <c r="R99" s="362">
        <f t="shared" si="8"/>
        <v>2248222.5049168766</v>
      </c>
      <c r="S99" s="335" t="s">
        <v>604</v>
      </c>
      <c r="T99" s="356">
        <f t="shared" si="6"/>
        <v>2366665.0049168766</v>
      </c>
      <c r="U99" s="356">
        <f t="shared" si="7"/>
        <v>0</v>
      </c>
    </row>
    <row r="100" spans="1:21">
      <c r="A100" s="356">
        <v>1973569.5460440358</v>
      </c>
      <c r="B100" s="356">
        <v>2049977.0321364196</v>
      </c>
      <c r="C100" s="335">
        <v>2060</v>
      </c>
      <c r="D100" s="335">
        <v>10105</v>
      </c>
      <c r="E100" s="331" t="s">
        <v>378</v>
      </c>
      <c r="F100" s="356">
        <v>2208428.3330568569</v>
      </c>
      <c r="G100" s="357">
        <v>1672581.2903404457</v>
      </c>
      <c r="H100" s="358">
        <v>416546</v>
      </c>
      <c r="I100" s="359">
        <f t="shared" si="5"/>
        <v>1256035.2903404457</v>
      </c>
      <c r="J100" s="360">
        <v>0</v>
      </c>
      <c r="K100" s="360">
        <v>394884.63973987958</v>
      </c>
      <c r="L100" s="361">
        <v>15261.902976531457</v>
      </c>
      <c r="M100" s="356">
        <v>117250</v>
      </c>
      <c r="N100" s="356">
        <v>8450.5</v>
      </c>
      <c r="O100" s="356">
        <v>234858.78701282106</v>
      </c>
      <c r="P100" s="356">
        <v>158451.30092043732</v>
      </c>
      <c r="R100" s="362">
        <f t="shared" si="8"/>
        <v>2082727.8330568569</v>
      </c>
      <c r="S100" s="335" t="s">
        <v>604</v>
      </c>
      <c r="T100" s="356">
        <f t="shared" si="6"/>
        <v>2208428.3330568569</v>
      </c>
      <c r="U100" s="356">
        <f t="shared" si="7"/>
        <v>0</v>
      </c>
    </row>
    <row r="101" spans="1:21">
      <c r="A101" s="356">
        <v>2362476.6348374183</v>
      </c>
      <c r="B101" s="356">
        <v>2392820.6249013562</v>
      </c>
      <c r="C101" s="335">
        <v>3518</v>
      </c>
      <c r="D101" s="335">
        <v>10123</v>
      </c>
      <c r="E101" s="331" t="s">
        <v>116</v>
      </c>
      <c r="F101" s="356">
        <v>2409971.1511682435</v>
      </c>
      <c r="G101" s="357">
        <v>1778513.2303198639</v>
      </c>
      <c r="H101" s="358">
        <v>451287</v>
      </c>
      <c r="I101" s="359">
        <f t="shared" si="5"/>
        <v>1327226.2303198639</v>
      </c>
      <c r="J101" s="360">
        <v>0</v>
      </c>
      <c r="K101" s="360">
        <v>455627.07238266175</v>
      </c>
      <c r="L101" s="361">
        <v>22294.348465717521</v>
      </c>
      <c r="M101" s="356">
        <v>144600</v>
      </c>
      <c r="N101" s="356">
        <v>8936.5</v>
      </c>
      <c r="O101" s="356">
        <v>47494.516330825165</v>
      </c>
      <c r="P101" s="356">
        <v>17150.526266887318</v>
      </c>
      <c r="R101" s="362">
        <f t="shared" si="8"/>
        <v>2256434.651168243</v>
      </c>
      <c r="S101" s="335" t="s">
        <v>604</v>
      </c>
      <c r="T101" s="356">
        <f t="shared" si="6"/>
        <v>2409971.151168243</v>
      </c>
      <c r="U101" s="356">
        <f t="shared" si="7"/>
        <v>0</v>
      </c>
    </row>
    <row r="102" spans="1:21">
      <c r="A102" s="356">
        <v>941442.27884333604</v>
      </c>
      <c r="B102" s="356">
        <v>943107.74912712793</v>
      </c>
      <c r="C102" s="335">
        <v>2054</v>
      </c>
      <c r="D102" s="335">
        <v>10109</v>
      </c>
      <c r="E102" s="331" t="s">
        <v>379</v>
      </c>
      <c r="F102" s="356">
        <v>1023600.9309491111</v>
      </c>
      <c r="G102" s="357">
        <v>898458.67763505469</v>
      </c>
      <c r="H102" s="358">
        <v>201347</v>
      </c>
      <c r="I102" s="359">
        <f t="shared" si="5"/>
        <v>697111.67763505469</v>
      </c>
      <c r="J102" s="360">
        <v>0</v>
      </c>
      <c r="K102" s="360">
        <v>107527.87081520681</v>
      </c>
      <c r="L102" s="361">
        <v>748.13249884958122</v>
      </c>
      <c r="M102" s="356">
        <v>10200</v>
      </c>
      <c r="N102" s="356">
        <v>6666.25</v>
      </c>
      <c r="O102" s="356">
        <v>82158.65210577508</v>
      </c>
      <c r="P102" s="356">
        <v>80493.181821983191</v>
      </c>
      <c r="R102" s="362">
        <f t="shared" si="8"/>
        <v>1006734.680949111</v>
      </c>
      <c r="S102" s="335" t="s">
        <v>604</v>
      </c>
      <c r="T102" s="356">
        <f t="shared" si="6"/>
        <v>1023600.930949111</v>
      </c>
      <c r="U102" s="356">
        <f t="shared" si="7"/>
        <v>0</v>
      </c>
    </row>
    <row r="103" spans="1:21">
      <c r="A103" s="364">
        <f>SUM(A17:A102)</f>
        <v>124957774.37340252</v>
      </c>
      <c r="B103" s="364">
        <f>SUM(B17:B102)</f>
        <v>126910598.42305559</v>
      </c>
      <c r="C103" s="338"/>
      <c r="D103" s="338"/>
      <c r="E103" s="365" t="s">
        <v>666</v>
      </c>
      <c r="F103" s="364">
        <f t="shared" ref="F103:P103" si="9">SUM(F17:F102)</f>
        <v>131672569.8428067</v>
      </c>
      <c r="G103" s="366">
        <f t="shared" si="9"/>
        <v>105782280.42512019</v>
      </c>
      <c r="H103" s="367">
        <f>SUM(H17:H102)</f>
        <v>20502835</v>
      </c>
      <c r="I103" s="368">
        <f>SUM(I17:I102)</f>
        <v>85279445.42512019</v>
      </c>
      <c r="J103" s="369">
        <f t="shared" si="9"/>
        <v>0</v>
      </c>
      <c r="K103" s="369">
        <f t="shared" si="9"/>
        <v>20511209.13796863</v>
      </c>
      <c r="L103" s="370">
        <f t="shared" si="9"/>
        <v>636511.13002122368</v>
      </c>
      <c r="M103" s="364">
        <f t="shared" si="9"/>
        <v>4355700</v>
      </c>
      <c r="N103" s="364">
        <f t="shared" si="9"/>
        <v>386869.25</v>
      </c>
      <c r="O103" s="364">
        <f t="shared" si="9"/>
        <v>6706839.5697075501</v>
      </c>
      <c r="P103" s="364">
        <f t="shared" si="9"/>
        <v>4754015.5200544372</v>
      </c>
      <c r="R103" s="371">
        <f>SUM(R17:R102)</f>
        <v>126930000.69311002</v>
      </c>
    </row>
    <row r="104" spans="1:21">
      <c r="A104" s="356"/>
      <c r="B104" s="356"/>
      <c r="G104" s="352"/>
      <c r="H104" s="353"/>
      <c r="I104" s="372"/>
      <c r="J104" s="373"/>
      <c r="K104" s="373"/>
      <c r="L104" s="374"/>
      <c r="R104" s="355"/>
    </row>
    <row r="105" spans="1:21">
      <c r="A105" s="356"/>
      <c r="B105" s="356"/>
      <c r="E105" s="337" t="s">
        <v>667</v>
      </c>
      <c r="G105" s="352"/>
      <c r="H105" s="353"/>
      <c r="I105" s="372"/>
      <c r="J105" s="373"/>
      <c r="K105" s="373"/>
      <c r="L105" s="374"/>
      <c r="R105" s="355"/>
    </row>
    <row r="106" spans="1:21">
      <c r="A106" s="356">
        <v>5046945.2003363948</v>
      </c>
      <c r="B106" s="356">
        <v>5273895.0024543302</v>
      </c>
      <c r="C106" s="335">
        <v>5408</v>
      </c>
      <c r="D106" s="335">
        <v>10137</v>
      </c>
      <c r="E106" s="331" t="s">
        <v>380</v>
      </c>
      <c r="F106" s="356">
        <v>5097680.6227683453</v>
      </c>
      <c r="G106" s="357">
        <v>3155954.9440581556</v>
      </c>
      <c r="H106" s="358">
        <v>0</v>
      </c>
      <c r="I106" s="359">
        <f t="shared" ref="I106:I114" si="10">G106-H106</f>
        <v>3155954.9440581556</v>
      </c>
      <c r="J106" s="360">
        <v>1164400</v>
      </c>
      <c r="K106" s="360">
        <v>592475.66968677973</v>
      </c>
      <c r="L106" s="361">
        <v>37850.009023409424</v>
      </c>
      <c r="M106" s="356">
        <v>147000</v>
      </c>
      <c r="N106" s="356">
        <v>0</v>
      </c>
      <c r="O106" s="356">
        <v>50735.422431950457</v>
      </c>
      <c r="P106" s="356">
        <v>-176214.37968598492</v>
      </c>
      <c r="R106" s="362">
        <f t="shared" ref="R106:R114" si="11">G106+J106+K106+L106</f>
        <v>4950680.6227683444</v>
      </c>
      <c r="S106" s="335" t="s">
        <v>665</v>
      </c>
      <c r="T106" s="356">
        <f t="shared" ref="T106:T114" si="12">SUM(G106:N106)-I106-H106</f>
        <v>5097680.6227683444</v>
      </c>
      <c r="U106" s="356">
        <f t="shared" ref="U106:U114" si="13">F106-T106</f>
        <v>0</v>
      </c>
    </row>
    <row r="107" spans="1:21">
      <c r="A107" s="356">
        <v>6390051.7961134464</v>
      </c>
      <c r="B107" s="356">
        <v>6579781.7634503124</v>
      </c>
      <c r="C107" s="335">
        <v>4210</v>
      </c>
      <c r="D107" s="335">
        <v>10152</v>
      </c>
      <c r="E107" s="331" t="s">
        <v>52</v>
      </c>
      <c r="F107" s="356">
        <v>6734994.8441338204</v>
      </c>
      <c r="G107" s="357">
        <v>4419579.7778905462</v>
      </c>
      <c r="H107" s="358">
        <v>1293994</v>
      </c>
      <c r="I107" s="359">
        <f t="shared" si="10"/>
        <v>3125585.7778905462</v>
      </c>
      <c r="J107" s="360">
        <v>1299500</v>
      </c>
      <c r="K107" s="360">
        <v>722849.12558806362</v>
      </c>
      <c r="L107" s="361">
        <v>28039.620655209554</v>
      </c>
      <c r="M107" s="356">
        <v>241800</v>
      </c>
      <c r="N107" s="356">
        <v>23226.32</v>
      </c>
      <c r="O107" s="356">
        <v>344943.04802037403</v>
      </c>
      <c r="P107" s="356">
        <v>155213.08068350796</v>
      </c>
      <c r="R107" s="362">
        <f t="shared" si="11"/>
        <v>6469968.5241338192</v>
      </c>
      <c r="S107" s="335" t="s">
        <v>604</v>
      </c>
      <c r="T107" s="356">
        <f t="shared" si="12"/>
        <v>6734994.8441338185</v>
      </c>
      <c r="U107" s="356">
        <f t="shared" si="13"/>
        <v>0</v>
      </c>
    </row>
    <row r="108" spans="1:21">
      <c r="A108" s="356">
        <v>6109511.316372294</v>
      </c>
      <c r="B108" s="356">
        <v>6192528.7161378721</v>
      </c>
      <c r="C108" s="335">
        <v>5405</v>
      </c>
      <c r="D108" s="335">
        <v>10145</v>
      </c>
      <c r="E108" s="331" t="s">
        <v>119</v>
      </c>
      <c r="F108" s="356">
        <v>6172793.9134470187</v>
      </c>
      <c r="G108" s="357">
        <v>4032750.7317087734</v>
      </c>
      <c r="H108" s="358">
        <v>0</v>
      </c>
      <c r="I108" s="359">
        <f t="shared" si="10"/>
        <v>4032750.7317087734</v>
      </c>
      <c r="J108" s="360">
        <v>1589728</v>
      </c>
      <c r="K108" s="360">
        <v>457703.96501964919</v>
      </c>
      <c r="L108" s="361">
        <v>14611.21671859555</v>
      </c>
      <c r="M108" s="356">
        <v>78000</v>
      </c>
      <c r="N108" s="356">
        <v>0</v>
      </c>
      <c r="O108" s="356">
        <v>63282.597074724734</v>
      </c>
      <c r="P108" s="356">
        <v>-19734.802690853365</v>
      </c>
      <c r="R108" s="362">
        <f t="shared" si="11"/>
        <v>6094793.9134470178</v>
      </c>
      <c r="S108" s="335" t="s">
        <v>665</v>
      </c>
      <c r="T108" s="356">
        <f t="shared" si="12"/>
        <v>6172793.9134470178</v>
      </c>
      <c r="U108" s="356">
        <f t="shared" si="13"/>
        <v>0</v>
      </c>
    </row>
    <row r="109" spans="1:21">
      <c r="A109" s="356">
        <v>5139919.7756027058</v>
      </c>
      <c r="B109" s="356">
        <v>5227681.1633878462</v>
      </c>
      <c r="C109" s="335">
        <v>4003</v>
      </c>
      <c r="D109" s="335">
        <v>10139</v>
      </c>
      <c r="E109" s="331" t="s">
        <v>120</v>
      </c>
      <c r="F109" s="356">
        <v>5271614.7070827</v>
      </c>
      <c r="G109" s="357">
        <v>4096687.7025916898</v>
      </c>
      <c r="H109" s="358">
        <v>0</v>
      </c>
      <c r="I109" s="359">
        <f t="shared" si="10"/>
        <v>4096687.7025916898</v>
      </c>
      <c r="J109" s="360">
        <v>0</v>
      </c>
      <c r="K109" s="360">
        <v>895393.80330522056</v>
      </c>
      <c r="L109" s="361">
        <v>21012.321185789791</v>
      </c>
      <c r="M109" s="356">
        <v>241000</v>
      </c>
      <c r="N109" s="356">
        <v>17520.88</v>
      </c>
      <c r="O109" s="356">
        <v>131694.93147999421</v>
      </c>
      <c r="P109" s="356">
        <v>43933.543694853783</v>
      </c>
      <c r="R109" s="362">
        <f t="shared" si="11"/>
        <v>5013093.8270827001</v>
      </c>
      <c r="S109" s="335" t="s">
        <v>664</v>
      </c>
      <c r="T109" s="356">
        <f t="shared" si="12"/>
        <v>5271614.7070827018</v>
      </c>
      <c r="U109" s="356">
        <f t="shared" si="13"/>
        <v>0</v>
      </c>
    </row>
    <row r="110" spans="1:21">
      <c r="A110" s="356">
        <v>2113515.4473061478</v>
      </c>
      <c r="B110" s="356">
        <v>2234075.5678445278</v>
      </c>
      <c r="C110" s="335">
        <v>5427</v>
      </c>
      <c r="D110" s="335">
        <v>11174</v>
      </c>
      <c r="E110" s="331" t="s">
        <v>134</v>
      </c>
      <c r="F110" s="356">
        <v>3250797.1923017828</v>
      </c>
      <c r="G110" s="357">
        <v>2594613.5233148104</v>
      </c>
      <c r="H110" s="358">
        <v>645599</v>
      </c>
      <c r="I110" s="359">
        <f t="shared" si="10"/>
        <v>1949014.5233148104</v>
      </c>
      <c r="J110" s="360">
        <v>0</v>
      </c>
      <c r="K110" s="360">
        <v>633035.78287462541</v>
      </c>
      <c r="L110" s="361">
        <v>347.88611234751306</v>
      </c>
      <c r="M110" s="356">
        <v>22800</v>
      </c>
      <c r="N110" s="356">
        <v>0</v>
      </c>
      <c r="O110" s="356">
        <v>1137281.744995635</v>
      </c>
      <c r="P110" s="356">
        <v>1016721.624457255</v>
      </c>
      <c r="R110" s="362">
        <f t="shared" si="11"/>
        <v>3227997.1923017832</v>
      </c>
      <c r="S110" s="335" t="s">
        <v>604</v>
      </c>
      <c r="T110" s="356">
        <f t="shared" si="12"/>
        <v>3250797.1923017828</v>
      </c>
      <c r="U110" s="356">
        <f t="shared" si="13"/>
        <v>0</v>
      </c>
    </row>
    <row r="111" spans="1:21">
      <c r="A111" s="356">
        <v>6168392.5679877819</v>
      </c>
      <c r="B111" s="356">
        <v>6174101.0151532944</v>
      </c>
      <c r="C111" s="335">
        <v>5407</v>
      </c>
      <c r="D111" s="335">
        <v>10142</v>
      </c>
      <c r="E111" s="331" t="s">
        <v>382</v>
      </c>
      <c r="F111" s="356">
        <v>6189790.2433778113</v>
      </c>
      <c r="G111" s="357">
        <v>4318109.8558834661</v>
      </c>
      <c r="H111" s="358">
        <v>0</v>
      </c>
      <c r="I111" s="359">
        <f t="shared" si="10"/>
        <v>4318109.8558834661</v>
      </c>
      <c r="J111" s="360">
        <v>1122464.6666666667</v>
      </c>
      <c r="K111" s="360">
        <v>587316.35908460186</v>
      </c>
      <c r="L111" s="361">
        <v>21499.361743076308</v>
      </c>
      <c r="M111" s="356">
        <v>140400</v>
      </c>
      <c r="N111" s="356">
        <v>0</v>
      </c>
      <c r="O111" s="356">
        <v>21397.675390029326</v>
      </c>
      <c r="P111" s="356">
        <v>15689.228224516846</v>
      </c>
      <c r="R111" s="362">
        <f t="shared" si="11"/>
        <v>6049390.2433778113</v>
      </c>
      <c r="S111" s="335" t="s">
        <v>665</v>
      </c>
      <c r="T111" s="356">
        <f t="shared" si="12"/>
        <v>6189790.2433778103</v>
      </c>
      <c r="U111" s="356">
        <f t="shared" si="13"/>
        <v>0</v>
      </c>
    </row>
    <row r="112" spans="1:21">
      <c r="A112" s="356">
        <v>4848259.2001760984</v>
      </c>
      <c r="B112" s="356">
        <v>4923019.3336335653</v>
      </c>
      <c r="C112" s="335">
        <v>5403</v>
      </c>
      <c r="D112" s="335">
        <v>10143</v>
      </c>
      <c r="E112" s="331" t="s">
        <v>383</v>
      </c>
      <c r="F112" s="356">
        <v>4710597.477548453</v>
      </c>
      <c r="G112" s="357">
        <v>3257255.4368575867</v>
      </c>
      <c r="H112" s="358">
        <v>0</v>
      </c>
      <c r="I112" s="359">
        <f t="shared" si="10"/>
        <v>3257255.4368575867</v>
      </c>
      <c r="J112" s="360">
        <v>706453.66666666663</v>
      </c>
      <c r="K112" s="360">
        <v>574274.94837121468</v>
      </c>
      <c r="L112" s="361">
        <v>27413.425652984031</v>
      </c>
      <c r="M112" s="356">
        <v>145200</v>
      </c>
      <c r="N112" s="356">
        <v>0</v>
      </c>
      <c r="O112" s="356">
        <v>-137661.72262764536</v>
      </c>
      <c r="P112" s="356">
        <v>-212421.85608511232</v>
      </c>
      <c r="R112" s="362">
        <f t="shared" si="11"/>
        <v>4565397.4775484512</v>
      </c>
      <c r="S112" s="335" t="s">
        <v>665</v>
      </c>
      <c r="T112" s="356">
        <f t="shared" si="12"/>
        <v>4710597.4775484521</v>
      </c>
      <c r="U112" s="356">
        <f t="shared" si="13"/>
        <v>0</v>
      </c>
    </row>
    <row r="113" spans="1:21">
      <c r="A113" s="356">
        <v>4134223.5152271446</v>
      </c>
      <c r="B113" s="356">
        <v>4171140.8770295558</v>
      </c>
      <c r="C113" s="335">
        <v>5404</v>
      </c>
      <c r="D113" s="335">
        <v>10148</v>
      </c>
      <c r="E113" s="331" t="s">
        <v>384</v>
      </c>
      <c r="F113" s="356">
        <v>4135147.6279816763</v>
      </c>
      <c r="G113" s="357">
        <v>2514430.7312975209</v>
      </c>
      <c r="H113" s="358">
        <v>0</v>
      </c>
      <c r="I113" s="359">
        <f t="shared" si="10"/>
        <v>2514430.7312975209</v>
      </c>
      <c r="J113" s="360">
        <v>1548193.3333333333</v>
      </c>
      <c r="K113" s="360">
        <v>39269.792762378231</v>
      </c>
      <c r="L113" s="361">
        <v>9253.7705884438474</v>
      </c>
      <c r="M113" s="356">
        <v>24000</v>
      </c>
      <c r="N113" s="356">
        <v>0</v>
      </c>
      <c r="O113" s="356">
        <v>924.11275453167036</v>
      </c>
      <c r="P113" s="356">
        <v>-35993.249047879595</v>
      </c>
      <c r="R113" s="362">
        <f t="shared" si="11"/>
        <v>4111147.6279816758</v>
      </c>
      <c r="S113" s="335" t="s">
        <v>665</v>
      </c>
      <c r="T113" s="356">
        <f t="shared" si="12"/>
        <v>4135147.6279816758</v>
      </c>
      <c r="U113" s="356">
        <f t="shared" si="13"/>
        <v>0</v>
      </c>
    </row>
    <row r="114" spans="1:21">
      <c r="A114" s="356">
        <v>3635286.5472510704</v>
      </c>
      <c r="B114" s="356">
        <v>3635432.1199830496</v>
      </c>
      <c r="C114" s="335">
        <v>4752</v>
      </c>
      <c r="D114" s="335">
        <v>10147</v>
      </c>
      <c r="E114" s="378" t="s">
        <v>385</v>
      </c>
      <c r="F114" s="356">
        <v>3589524.6756906477</v>
      </c>
      <c r="G114" s="357">
        <v>2355797.3207252366</v>
      </c>
      <c r="H114" s="358">
        <v>0</v>
      </c>
      <c r="I114" s="359">
        <f t="shared" si="10"/>
        <v>2355797.3207252366</v>
      </c>
      <c r="J114" s="360">
        <v>1189203.6666666667</v>
      </c>
      <c r="K114" s="360">
        <v>29523.688298744401</v>
      </c>
      <c r="L114" s="361">
        <v>0</v>
      </c>
      <c r="M114" s="356">
        <v>15000</v>
      </c>
      <c r="N114" s="356">
        <v>0</v>
      </c>
      <c r="O114" s="356">
        <v>-45761.871560422704</v>
      </c>
      <c r="P114" s="356">
        <v>-45907.444292401895</v>
      </c>
      <c r="R114" s="362">
        <f t="shared" si="11"/>
        <v>3574524.6756906477</v>
      </c>
      <c r="S114" s="335" t="s">
        <v>604</v>
      </c>
      <c r="T114" s="356">
        <f t="shared" si="12"/>
        <v>3589524.6756906477</v>
      </c>
      <c r="U114" s="356">
        <f t="shared" si="13"/>
        <v>0</v>
      </c>
    </row>
    <row r="115" spans="1:21">
      <c r="A115" s="364">
        <f>SUM(A106:A114)</f>
        <v>43586105.366373084</v>
      </c>
      <c r="B115" s="364">
        <f>SUM(B106:B114)</f>
        <v>44411655.55907435</v>
      </c>
      <c r="C115" s="338"/>
      <c r="D115" s="338"/>
      <c r="E115" s="365" t="s">
        <v>668</v>
      </c>
      <c r="F115" s="364">
        <f t="shared" ref="F115:L115" si="14">SUM(F106:F114)</f>
        <v>45152941.304332264</v>
      </c>
      <c r="G115" s="366">
        <f t="shared" si="14"/>
        <v>30745180.024327789</v>
      </c>
      <c r="H115" s="367">
        <f t="shared" si="14"/>
        <v>1939593</v>
      </c>
      <c r="I115" s="368">
        <f t="shared" si="14"/>
        <v>28805587.024327789</v>
      </c>
      <c r="J115" s="369">
        <f t="shared" si="14"/>
        <v>8619943.333333334</v>
      </c>
      <c r="K115" s="369">
        <f t="shared" si="14"/>
        <v>4531843.134991277</v>
      </c>
      <c r="L115" s="370">
        <f t="shared" si="14"/>
        <v>160027.611679856</v>
      </c>
      <c r="M115" s="364">
        <f>SUM(M106:M114)</f>
        <v>1055200</v>
      </c>
      <c r="N115" s="364">
        <f>SUM(N106:N114)</f>
        <v>40747.199999999997</v>
      </c>
      <c r="O115" s="364">
        <f>SUM(O106:O114)</f>
        <v>1566835.9379591714</v>
      </c>
      <c r="P115" s="364">
        <f>SUM(P106:P114)</f>
        <v>741285.74525790149</v>
      </c>
      <c r="R115" s="371">
        <f>SUM(R106:R114)</f>
        <v>44056994.104332261</v>
      </c>
    </row>
    <row r="116" spans="1:21">
      <c r="A116" s="356"/>
      <c r="B116" s="356"/>
      <c r="G116" s="352"/>
      <c r="H116" s="353"/>
      <c r="I116" s="372"/>
      <c r="J116" s="373"/>
      <c r="K116" s="373"/>
      <c r="L116" s="374"/>
      <c r="R116" s="355"/>
    </row>
    <row r="117" spans="1:21">
      <c r="A117" s="356"/>
      <c r="B117" s="356"/>
      <c r="E117" s="337" t="s">
        <v>669</v>
      </c>
      <c r="G117" s="352"/>
      <c r="H117" s="353"/>
      <c r="I117" s="372"/>
      <c r="J117" s="373"/>
      <c r="K117" s="373"/>
      <c r="L117" s="374"/>
      <c r="R117" s="355"/>
    </row>
    <row r="118" spans="1:21">
      <c r="A118" s="356">
        <v>2662655.5486781085</v>
      </c>
      <c r="B118" s="356">
        <v>2871116.09665913</v>
      </c>
      <c r="C118" s="335">
        <v>7000</v>
      </c>
      <c r="D118" s="335">
        <v>10156</v>
      </c>
      <c r="E118" s="331" t="s">
        <v>131</v>
      </c>
      <c r="F118" s="362">
        <v>2802995</v>
      </c>
      <c r="G118" s="379">
        <v>2717887</v>
      </c>
      <c r="H118" s="358">
        <f>540136+12429</f>
        <v>552565</v>
      </c>
      <c r="I118" s="359">
        <f>G118-H118</f>
        <v>2165322</v>
      </c>
      <c r="J118" s="360">
        <v>0</v>
      </c>
      <c r="K118" s="360">
        <v>30379.596867509303</v>
      </c>
      <c r="L118" s="361">
        <v>14559.666896089713</v>
      </c>
      <c r="M118" s="356">
        <v>30600</v>
      </c>
      <c r="N118" s="356">
        <v>9568.75</v>
      </c>
      <c r="O118" s="356">
        <v>78194.258257613052</v>
      </c>
      <c r="P118" s="356">
        <v>-130266.28972340841</v>
      </c>
      <c r="R118" s="362">
        <f>G118+J118+K118+L118</f>
        <v>2762826.2637635991</v>
      </c>
      <c r="S118" s="363" t="s">
        <v>604</v>
      </c>
      <c r="T118" s="356">
        <f>SUM(G118:N118)-I118-H118</f>
        <v>2802995.0137635991</v>
      </c>
      <c r="U118" s="356">
        <f>F118-T118</f>
        <v>-1.3763599097728729E-2</v>
      </c>
    </row>
    <row r="119" spans="1:21">
      <c r="A119" s="356">
        <v>1458856.9634274158</v>
      </c>
      <c r="B119" s="356">
        <v>1622274.2407998599</v>
      </c>
      <c r="C119" s="335">
        <v>7005</v>
      </c>
      <c r="D119" s="335">
        <v>10157</v>
      </c>
      <c r="E119" s="375" t="s">
        <v>130</v>
      </c>
      <c r="F119" s="362">
        <v>1548604</v>
      </c>
      <c r="G119" s="379">
        <f>1497327.68977192-7956</f>
        <v>1489371.68977192</v>
      </c>
      <c r="H119" s="377">
        <v>303201</v>
      </c>
      <c r="I119" s="359">
        <f>G119-H119</f>
        <v>1186170.68977192</v>
      </c>
      <c r="J119" s="360">
        <v>0</v>
      </c>
      <c r="K119" s="360">
        <v>18689.220899175867</v>
      </c>
      <c r="L119" s="361">
        <v>7941.6364887762074</v>
      </c>
      <c r="M119" s="356">
        <v>25800</v>
      </c>
      <c r="N119" s="356">
        <v>6801.25</v>
      </c>
      <c r="O119" s="356">
        <v>97702.833732451545</v>
      </c>
      <c r="P119" s="356">
        <v>-65714.443639992503</v>
      </c>
      <c r="R119" s="362">
        <f>G119+J119+K119+L119</f>
        <v>1516002.547159872</v>
      </c>
      <c r="S119" s="363" t="s">
        <v>604</v>
      </c>
      <c r="T119" s="356">
        <f>SUM(G119:N119)-I119-H119</f>
        <v>1548603.797159872</v>
      </c>
      <c r="U119" s="356">
        <f>F119-T119</f>
        <v>0.20284012798219919</v>
      </c>
    </row>
    <row r="120" spans="1:21">
      <c r="A120" s="356">
        <v>2120633.6344225407</v>
      </c>
      <c r="B120" s="356">
        <v>2115946.7435731096</v>
      </c>
      <c r="C120" s="335">
        <v>7009</v>
      </c>
      <c r="D120" s="335">
        <v>10158</v>
      </c>
      <c r="E120" s="331" t="s">
        <v>132</v>
      </c>
      <c r="F120" s="356">
        <v>2227542.6956352261</v>
      </c>
      <c r="G120" s="357">
        <v>2182663.1445677546</v>
      </c>
      <c r="H120" s="358">
        <v>441346</v>
      </c>
      <c r="I120" s="359">
        <f>G120-H120</f>
        <v>1741317.1445677546</v>
      </c>
      <c r="J120" s="360">
        <v>0</v>
      </c>
      <c r="K120" s="360">
        <v>17451.020660157854</v>
      </c>
      <c r="L120" s="361">
        <v>6618.0304073135067</v>
      </c>
      <c r="M120" s="356">
        <v>13800</v>
      </c>
      <c r="N120" s="356">
        <v>7010.5</v>
      </c>
      <c r="O120" s="356">
        <v>106909.06121268542</v>
      </c>
      <c r="P120" s="356">
        <v>111595.95206211647</v>
      </c>
      <c r="R120" s="362">
        <f>G120+J120+K120+L120</f>
        <v>2206732.1956352261</v>
      </c>
      <c r="S120" s="363" t="s">
        <v>604</v>
      </c>
      <c r="T120" s="356">
        <f>SUM(G120:N120)-I120-H120</f>
        <v>2227542.6956352261</v>
      </c>
      <c r="U120" s="356">
        <f>F120-T120</f>
        <v>0</v>
      </c>
    </row>
    <row r="121" spans="1:21">
      <c r="A121" s="356">
        <v>1693721.0643343504</v>
      </c>
      <c r="B121" s="356">
        <v>1916936.1031146091</v>
      </c>
      <c r="C121" s="335">
        <v>7010</v>
      </c>
      <c r="D121" s="335">
        <v>10159</v>
      </c>
      <c r="E121" s="331" t="s">
        <v>129</v>
      </c>
      <c r="F121" s="356">
        <v>2034414.2046268457</v>
      </c>
      <c r="G121" s="357">
        <v>1996354.4512756183</v>
      </c>
      <c r="H121" s="358">
        <v>0</v>
      </c>
      <c r="I121" s="359">
        <f>G121-H121</f>
        <v>1996354.4512756183</v>
      </c>
      <c r="J121" s="360">
        <v>0</v>
      </c>
      <c r="K121" s="360">
        <v>12671.230545742408</v>
      </c>
      <c r="L121" s="361">
        <v>4963.5228054851295</v>
      </c>
      <c r="M121" s="356">
        <v>14400</v>
      </c>
      <c r="N121" s="356">
        <v>6025</v>
      </c>
      <c r="O121" s="356">
        <v>340693.14029249526</v>
      </c>
      <c r="P121" s="356">
        <v>117478.10151223652</v>
      </c>
      <c r="R121" s="362">
        <f>G121+J121+K121+L121</f>
        <v>2013989.2046268459</v>
      </c>
      <c r="S121" s="363" t="s">
        <v>664</v>
      </c>
      <c r="T121" s="356">
        <f>SUM(G121:N121)-I121-H121</f>
        <v>2034414.2046268457</v>
      </c>
      <c r="U121" s="356">
        <f>F121-T121</f>
        <v>0</v>
      </c>
    </row>
    <row r="122" spans="1:21">
      <c r="A122" s="364">
        <f>SUM(A118:A121)</f>
        <v>7935867.2108624158</v>
      </c>
      <c r="B122" s="364">
        <f>SUM(B118:B121)</f>
        <v>8526273.1841467079</v>
      </c>
      <c r="C122" s="338"/>
      <c r="D122" s="338"/>
      <c r="E122" s="365" t="s">
        <v>670</v>
      </c>
      <c r="F122" s="364">
        <f t="shared" ref="F122:P122" si="15">SUM(F118:F121)</f>
        <v>8613555.9002620708</v>
      </c>
      <c r="G122" s="366">
        <f t="shared" si="15"/>
        <v>8386276.2856152933</v>
      </c>
      <c r="H122" s="367">
        <f>SUM(H118:H121)</f>
        <v>1297112</v>
      </c>
      <c r="I122" s="368">
        <f>SUM(I118:I121)</f>
        <v>7089164.2856152933</v>
      </c>
      <c r="J122" s="369">
        <f t="shared" si="15"/>
        <v>0</v>
      </c>
      <c r="K122" s="369">
        <f t="shared" si="15"/>
        <v>79191.068972585432</v>
      </c>
      <c r="L122" s="370">
        <f t="shared" si="15"/>
        <v>34082.856597664562</v>
      </c>
      <c r="M122" s="364">
        <f t="shared" si="15"/>
        <v>84600</v>
      </c>
      <c r="N122" s="364">
        <f t="shared" si="15"/>
        <v>29405.5</v>
      </c>
      <c r="O122" s="364">
        <f t="shared" si="15"/>
        <v>623499.29349524528</v>
      </c>
      <c r="P122" s="364">
        <f t="shared" si="15"/>
        <v>33093.320210952079</v>
      </c>
      <c r="R122" s="371">
        <f>SUM(R118:R121)</f>
        <v>8499550.2111855429</v>
      </c>
    </row>
    <row r="123" spans="1:21">
      <c r="A123" s="356"/>
      <c r="B123" s="356"/>
      <c r="F123" s="356"/>
      <c r="G123" s="357"/>
      <c r="H123" s="358"/>
      <c r="I123" s="359"/>
      <c r="J123" s="360"/>
      <c r="K123" s="360"/>
      <c r="L123" s="361"/>
      <c r="M123" s="356"/>
      <c r="N123" s="356"/>
      <c r="O123" s="356"/>
      <c r="P123" s="356"/>
      <c r="R123" s="355"/>
    </row>
    <row r="124" spans="1:21" ht="15.75" thickBot="1">
      <c r="A124" s="380">
        <f>A122+A115+A103+A14</f>
        <v>178601942.43947008</v>
      </c>
      <c r="B124" s="380">
        <f>B122+B115+B103+B14</f>
        <v>181955356.40457118</v>
      </c>
      <c r="C124" s="381"/>
      <c r="D124" s="381"/>
      <c r="E124" s="382" t="s">
        <v>671</v>
      </c>
      <c r="F124" s="380">
        <f t="shared" ref="F124:P124" si="16">F122+F115+F103+F14</f>
        <v>187468407.8976517</v>
      </c>
      <c r="G124" s="383">
        <f t="shared" si="16"/>
        <v>146827230.42034054</v>
      </c>
      <c r="H124" s="384">
        <f t="shared" si="16"/>
        <v>24141538</v>
      </c>
      <c r="I124" s="385">
        <f t="shared" si="16"/>
        <v>122685692.42034055</v>
      </c>
      <c r="J124" s="386">
        <f t="shared" si="16"/>
        <v>8619943.333333334</v>
      </c>
      <c r="K124" s="386">
        <f t="shared" si="16"/>
        <v>25207778.733477119</v>
      </c>
      <c r="L124" s="387">
        <f t="shared" si="16"/>
        <v>841578.62172750407</v>
      </c>
      <c r="M124" s="380">
        <f t="shared" si="16"/>
        <v>5495500</v>
      </c>
      <c r="N124" s="380">
        <f t="shared" si="16"/>
        <v>476376.7</v>
      </c>
      <c r="O124" s="380">
        <f t="shared" si="16"/>
        <v>8804320.1625805646</v>
      </c>
      <c r="P124" s="380">
        <f t="shared" si="16"/>
        <v>5450906.1974794194</v>
      </c>
      <c r="R124" s="388">
        <f>R122+R115+R103+R14</f>
        <v>181496531.10887849</v>
      </c>
    </row>
    <row r="125" spans="1:21" ht="15.75" thickTop="1">
      <c r="A125" s="356"/>
      <c r="B125" s="356"/>
      <c r="E125" s="378" t="s">
        <v>672</v>
      </c>
      <c r="G125" s="389"/>
      <c r="H125" s="390"/>
      <c r="I125" s="391"/>
      <c r="J125" s="392"/>
      <c r="K125" s="392"/>
      <c r="L125" s="393"/>
    </row>
    <row r="126" spans="1:21">
      <c r="A126" s="356">
        <v>253029578.94949156</v>
      </c>
      <c r="B126" s="356">
        <v>256308598.53631845</v>
      </c>
      <c r="F126" s="356">
        <v>248508160.62571552</v>
      </c>
      <c r="G126" s="356">
        <v>197462680.99591023</v>
      </c>
      <c r="H126" s="356">
        <f>24844012-714905</f>
        <v>24129107</v>
      </c>
      <c r="I126" s="356"/>
      <c r="J126" s="356">
        <v>8619943.333333334</v>
      </c>
      <c r="K126" s="356">
        <v>33763779.272926569</v>
      </c>
      <c r="L126" s="356">
        <v>1040430.3235453424</v>
      </c>
      <c r="M126" s="356">
        <v>7144950</v>
      </c>
      <c r="N126" s="356">
        <v>476376.7</v>
      </c>
      <c r="O126" s="356">
        <v>-4521418.3237760039</v>
      </c>
      <c r="P126" s="356">
        <v>-7800437.9106029738</v>
      </c>
    </row>
    <row r="127" spans="1:21">
      <c r="A127" s="356">
        <f>A124-A126</f>
        <v>-74427636.510021478</v>
      </c>
      <c r="B127" s="356">
        <f>B124-B126</f>
        <v>-74353242.131747276</v>
      </c>
      <c r="F127" s="356">
        <f t="shared" ref="F127:P127" si="17">F124-F126</f>
        <v>-61039752.728063822</v>
      </c>
      <c r="G127" s="356">
        <f t="shared" si="17"/>
        <v>-50635450.575569689</v>
      </c>
      <c r="H127" s="356">
        <f t="shared" si="17"/>
        <v>12431</v>
      </c>
      <c r="I127" s="356"/>
      <c r="J127" s="356">
        <f t="shared" si="17"/>
        <v>0</v>
      </c>
      <c r="K127" s="356">
        <f t="shared" si="17"/>
        <v>-8556000.5394494496</v>
      </c>
      <c r="L127" s="356">
        <f t="shared" si="17"/>
        <v>-198851.70181783836</v>
      </c>
      <c r="M127" s="356">
        <f t="shared" si="17"/>
        <v>-1649450</v>
      </c>
      <c r="N127" s="356">
        <f t="shared" si="17"/>
        <v>0</v>
      </c>
      <c r="O127" s="356">
        <f t="shared" si="17"/>
        <v>13325738.486356568</v>
      </c>
      <c r="P127" s="356">
        <f t="shared" si="17"/>
        <v>13251344.108082393</v>
      </c>
      <c r="R127" s="356"/>
    </row>
    <row r="128" spans="1:21">
      <c r="A128" s="356"/>
      <c r="B128" s="356"/>
    </row>
    <row r="129" spans="1:21">
      <c r="A129" s="356"/>
      <c r="B129" s="356"/>
      <c r="E129" s="337" t="s">
        <v>673</v>
      </c>
    </row>
    <row r="130" spans="1:21">
      <c r="A130" s="356">
        <v>837733.14680949016</v>
      </c>
      <c r="B130" s="356">
        <v>809859.51825657184</v>
      </c>
      <c r="C130" s="335">
        <v>3515</v>
      </c>
      <c r="E130" s="394" t="s">
        <v>603</v>
      </c>
      <c r="F130" s="356">
        <v>785395.73977451469</v>
      </c>
      <c r="G130" s="356">
        <v>743639.10724095511</v>
      </c>
      <c r="H130" s="356"/>
      <c r="I130" s="356"/>
      <c r="J130" s="356">
        <v>0</v>
      </c>
      <c r="K130" s="356">
        <v>41756.63253355943</v>
      </c>
      <c r="L130" s="356">
        <v>0</v>
      </c>
      <c r="M130" s="356">
        <v>0</v>
      </c>
      <c r="N130" s="356">
        <v>0</v>
      </c>
      <c r="O130" s="356">
        <v>-52337.407034975477</v>
      </c>
      <c r="P130" s="356">
        <v>-24463.778482057154</v>
      </c>
      <c r="R130" s="362">
        <f t="shared" ref="R130:R141" si="18">SUM(G130:L130)</f>
        <v>785395.73977451457</v>
      </c>
      <c r="T130" s="356">
        <f t="shared" ref="T130:T141" si="19">SUM(G130:N130)-I130-H130</f>
        <v>785395.73977451457</v>
      </c>
      <c r="U130" s="356">
        <f t="shared" ref="U130:U141" si="20">F130-T130</f>
        <v>0</v>
      </c>
    </row>
    <row r="131" spans="1:21">
      <c r="A131" s="356">
        <v>7550937.686295351</v>
      </c>
      <c r="B131" s="356">
        <v>7527308.8850756474</v>
      </c>
      <c r="C131" s="335">
        <v>5406</v>
      </c>
      <c r="E131" s="394" t="s">
        <v>409</v>
      </c>
      <c r="F131" s="356">
        <v>6012445.1866780128</v>
      </c>
      <c r="G131" s="356">
        <v>5356534.9240796492</v>
      </c>
      <c r="H131" s="356"/>
      <c r="I131" s="356"/>
      <c r="J131" s="356">
        <v>0</v>
      </c>
      <c r="K131" s="356">
        <v>510072.57476074412</v>
      </c>
      <c r="L131" s="356">
        <v>16837.687837619633</v>
      </c>
      <c r="M131" s="356">
        <v>129000</v>
      </c>
      <c r="N131" s="356">
        <v>0</v>
      </c>
      <c r="O131" s="356">
        <v>-1538492.4996173382</v>
      </c>
      <c r="P131" s="356">
        <v>-1514863.6983976346</v>
      </c>
      <c r="R131" s="362">
        <f t="shared" si="18"/>
        <v>5883445.1866780128</v>
      </c>
      <c r="T131" s="356">
        <f t="shared" si="19"/>
        <v>6012445.1866780128</v>
      </c>
      <c r="U131" s="356">
        <f t="shared" si="20"/>
        <v>0</v>
      </c>
    </row>
    <row r="132" spans="1:21">
      <c r="A132" s="356">
        <v>5382884.9386037067</v>
      </c>
      <c r="B132" s="356">
        <v>5331128.5730068088</v>
      </c>
      <c r="C132" s="335">
        <v>4211</v>
      </c>
      <c r="E132" s="394" t="s">
        <v>381</v>
      </c>
      <c r="F132" s="356">
        <v>4277370.9279818023</v>
      </c>
      <c r="G132" s="356">
        <v>3595101.5036003124</v>
      </c>
      <c r="H132" s="356"/>
      <c r="I132" s="356"/>
      <c r="J132" s="356">
        <v>0</v>
      </c>
      <c r="K132" s="356">
        <v>505474.84264731559</v>
      </c>
      <c r="L132" s="356">
        <v>18994.581734174215</v>
      </c>
      <c r="M132" s="356">
        <v>157800</v>
      </c>
      <c r="N132" s="356">
        <v>0</v>
      </c>
      <c r="O132" s="356">
        <v>-1105514.0106219044</v>
      </c>
      <c r="P132" s="356">
        <v>-1053757.6450250065</v>
      </c>
      <c r="R132" s="362">
        <f t="shared" si="18"/>
        <v>4119570.9279818023</v>
      </c>
      <c r="T132" s="356">
        <f t="shared" si="19"/>
        <v>4277370.9279818023</v>
      </c>
      <c r="U132" s="356">
        <f t="shared" si="20"/>
        <v>0</v>
      </c>
    </row>
    <row r="133" spans="1:21">
      <c r="A133" s="356">
        <v>7067881.5693920245</v>
      </c>
      <c r="B133" s="356">
        <v>7114058.8031266844</v>
      </c>
      <c r="C133" s="335">
        <v>4212</v>
      </c>
      <c r="E133" s="394" t="s">
        <v>611</v>
      </c>
      <c r="F133" s="356">
        <v>5946777.2562649064</v>
      </c>
      <c r="G133" s="356">
        <v>5099060.1523251897</v>
      </c>
      <c r="H133" s="356"/>
      <c r="I133" s="356"/>
      <c r="J133" s="356">
        <v>0</v>
      </c>
      <c r="K133" s="356">
        <v>687941.09000755323</v>
      </c>
      <c r="L133" s="356">
        <v>12176.013932162958</v>
      </c>
      <c r="M133" s="356">
        <v>147600</v>
      </c>
      <c r="N133" s="356">
        <v>0</v>
      </c>
      <c r="O133" s="356">
        <v>-1121104.3131271182</v>
      </c>
      <c r="P133" s="356">
        <v>-1167281.546861778</v>
      </c>
      <c r="R133" s="362">
        <f t="shared" si="18"/>
        <v>5799177.2562649054</v>
      </c>
      <c r="T133" s="356">
        <f t="shared" si="19"/>
        <v>5946777.2562649054</v>
      </c>
      <c r="U133" s="356">
        <f t="shared" si="20"/>
        <v>0</v>
      </c>
    </row>
    <row r="134" spans="1:21">
      <c r="A134" s="356">
        <v>5570412.6216262355</v>
      </c>
      <c r="B134" s="356">
        <v>5541475.3050037697</v>
      </c>
      <c r="C134" s="335">
        <v>5409</v>
      </c>
      <c r="E134" s="394" t="s">
        <v>121</v>
      </c>
      <c r="F134" s="356">
        <v>4346616.7105043223</v>
      </c>
      <c r="G134" s="356">
        <v>3932900.4023493472</v>
      </c>
      <c r="H134" s="356"/>
      <c r="I134" s="356"/>
      <c r="J134" s="356">
        <v>0</v>
      </c>
      <c r="K134" s="356">
        <v>365116.30815497483</v>
      </c>
      <c r="L134" s="356">
        <v>0</v>
      </c>
      <c r="M134" s="356">
        <v>48600</v>
      </c>
      <c r="N134" s="356">
        <v>0</v>
      </c>
      <c r="O134" s="356">
        <v>-1223795.9111219132</v>
      </c>
      <c r="P134" s="356">
        <v>-1194858.5944994474</v>
      </c>
      <c r="R134" s="362">
        <f t="shared" si="18"/>
        <v>4298016.7105043223</v>
      </c>
      <c r="T134" s="356">
        <f t="shared" si="19"/>
        <v>4346616.7105043223</v>
      </c>
      <c r="U134" s="356">
        <f t="shared" si="20"/>
        <v>0</v>
      </c>
    </row>
    <row r="135" spans="1:21">
      <c r="A135" s="356">
        <v>8262554.2050278867</v>
      </c>
      <c r="B135" s="356">
        <v>8200122.7317401655</v>
      </c>
      <c r="C135" s="335">
        <v>5400</v>
      </c>
      <c r="E135" s="394" t="s">
        <v>122</v>
      </c>
      <c r="F135" s="356">
        <v>6978035.8971346281</v>
      </c>
      <c r="G135" s="356">
        <v>4927433.8705588579</v>
      </c>
      <c r="H135" s="356"/>
      <c r="I135" s="356"/>
      <c r="J135" s="356">
        <v>0</v>
      </c>
      <c r="K135" s="356">
        <v>1739421.3186580315</v>
      </c>
      <c r="L135" s="356">
        <v>39380.70791773848</v>
      </c>
      <c r="M135" s="356">
        <v>271800</v>
      </c>
      <c r="N135" s="356">
        <v>0</v>
      </c>
      <c r="O135" s="356">
        <v>-1284518.3078932585</v>
      </c>
      <c r="P135" s="356">
        <v>-1222086.8346055374</v>
      </c>
      <c r="R135" s="362">
        <f t="shared" si="18"/>
        <v>6706235.8971346281</v>
      </c>
      <c r="T135" s="356">
        <f t="shared" si="19"/>
        <v>6978035.8971346281</v>
      </c>
      <c r="U135" s="356">
        <f t="shared" si="20"/>
        <v>0</v>
      </c>
    </row>
    <row r="136" spans="1:21">
      <c r="A136" s="356">
        <v>10223438.426493013</v>
      </c>
      <c r="B136" s="356">
        <v>10185908.240280611</v>
      </c>
      <c r="C136" s="335">
        <v>5402</v>
      </c>
      <c r="E136" s="394" t="s">
        <v>408</v>
      </c>
      <c r="F136" s="356">
        <v>7799632.1108821137</v>
      </c>
      <c r="G136" s="356">
        <v>6064892.5125606647</v>
      </c>
      <c r="H136" s="356"/>
      <c r="I136" s="356"/>
      <c r="J136" s="356">
        <v>0</v>
      </c>
      <c r="K136" s="356">
        <v>1528743.0837696835</v>
      </c>
      <c r="L136" s="356">
        <v>30196.514551764136</v>
      </c>
      <c r="M136" s="356">
        <v>175800</v>
      </c>
      <c r="N136" s="356">
        <v>0</v>
      </c>
      <c r="O136" s="356">
        <v>-2423806.3156108996</v>
      </c>
      <c r="P136" s="356">
        <v>-2386276.1293984978</v>
      </c>
      <c r="R136" s="362">
        <f t="shared" si="18"/>
        <v>7623832.1108821128</v>
      </c>
      <c r="T136" s="356">
        <f t="shared" si="19"/>
        <v>7799632.1108821128</v>
      </c>
      <c r="U136" s="356">
        <f t="shared" si="20"/>
        <v>0</v>
      </c>
    </row>
    <row r="137" spans="1:21">
      <c r="A137" s="356">
        <v>6284391.5883486867</v>
      </c>
      <c r="B137" s="356">
        <v>6273546.3828482721</v>
      </c>
      <c r="C137" s="335">
        <v>4208</v>
      </c>
      <c r="E137" s="394" t="s">
        <v>123</v>
      </c>
      <c r="F137" s="356">
        <v>5035773.3925305996</v>
      </c>
      <c r="G137" s="356">
        <v>4415527.4418644086</v>
      </c>
      <c r="H137" s="356"/>
      <c r="I137" s="356"/>
      <c r="J137" s="356">
        <v>0</v>
      </c>
      <c r="K137" s="356">
        <v>484412.76672067487</v>
      </c>
      <c r="L137" s="356">
        <v>15933.183945516099</v>
      </c>
      <c r="M137" s="356">
        <v>119900</v>
      </c>
      <c r="N137" s="356">
        <v>0</v>
      </c>
      <c r="O137" s="356">
        <v>-1248618.1958180871</v>
      </c>
      <c r="P137" s="356">
        <v>-1237772.9903176725</v>
      </c>
      <c r="R137" s="362">
        <f t="shared" si="18"/>
        <v>4915873.3925305996</v>
      </c>
      <c r="T137" s="356">
        <f t="shared" si="19"/>
        <v>5035773.3925305996</v>
      </c>
      <c r="U137" s="356">
        <f t="shared" si="20"/>
        <v>0</v>
      </c>
    </row>
    <row r="138" spans="1:21">
      <c r="A138" s="356">
        <v>5958808.0320455413</v>
      </c>
      <c r="B138" s="356">
        <v>5965530.5141267246</v>
      </c>
      <c r="C138" s="335">
        <v>5401</v>
      </c>
      <c r="E138" s="394" t="s">
        <v>124</v>
      </c>
      <c r="F138" s="356">
        <v>4361599.3314545583</v>
      </c>
      <c r="G138" s="356">
        <v>4292432.5121976314</v>
      </c>
      <c r="H138" s="356"/>
      <c r="I138" s="356"/>
      <c r="J138" s="356">
        <v>0</v>
      </c>
      <c r="K138" s="356">
        <v>40366.819256926618</v>
      </c>
      <c r="L138" s="356">
        <v>0</v>
      </c>
      <c r="M138" s="356">
        <v>28800</v>
      </c>
      <c r="N138" s="356">
        <v>0</v>
      </c>
      <c r="O138" s="356">
        <v>-1597208.700590983</v>
      </c>
      <c r="P138" s="356">
        <v>-1603931.1826721663</v>
      </c>
      <c r="R138" s="362">
        <f t="shared" si="18"/>
        <v>4332799.3314545583</v>
      </c>
      <c r="T138" s="356">
        <f t="shared" si="19"/>
        <v>4361599.3314545583</v>
      </c>
      <c r="U138" s="356">
        <f t="shared" si="20"/>
        <v>0</v>
      </c>
    </row>
    <row r="139" spans="1:21">
      <c r="A139" s="356">
        <v>5426031.9753934294</v>
      </c>
      <c r="B139" s="356">
        <v>5417757.5344176656</v>
      </c>
      <c r="C139" s="335">
        <v>4215</v>
      </c>
      <c r="E139" s="394" t="s">
        <v>615</v>
      </c>
      <c r="F139" s="356">
        <v>5683465.9988038242</v>
      </c>
      <c r="G139" s="356">
        <v>4561838.9117201138</v>
      </c>
      <c r="H139" s="356"/>
      <c r="I139" s="356"/>
      <c r="J139" s="356">
        <v>0</v>
      </c>
      <c r="K139" s="356">
        <v>933128.82980782725</v>
      </c>
      <c r="L139" s="356">
        <v>15098.257275882068</v>
      </c>
      <c r="M139" s="356">
        <v>173400</v>
      </c>
      <c r="N139" s="356">
        <v>0</v>
      </c>
      <c r="O139" s="356">
        <v>257434.02341039479</v>
      </c>
      <c r="P139" s="356">
        <v>265708.46438615862</v>
      </c>
      <c r="R139" s="362">
        <f t="shared" si="18"/>
        <v>5510065.9988038233</v>
      </c>
      <c r="T139" s="356">
        <f t="shared" si="19"/>
        <v>5683465.9988038233</v>
      </c>
      <c r="U139" s="356">
        <f t="shared" si="20"/>
        <v>0</v>
      </c>
    </row>
    <row r="140" spans="1:21">
      <c r="A140" s="356">
        <v>5980506.927335795</v>
      </c>
      <c r="B140" s="356">
        <v>6090931.1418427425</v>
      </c>
      <c r="C140" s="335">
        <v>4009</v>
      </c>
      <c r="E140" s="394" t="s">
        <v>407</v>
      </c>
      <c r="F140" s="356">
        <v>5168859.9418726508</v>
      </c>
      <c r="G140" s="356">
        <v>4035177.664354959</v>
      </c>
      <c r="H140" s="356"/>
      <c r="I140" s="356"/>
      <c r="J140" s="356">
        <v>0</v>
      </c>
      <c r="K140" s="356">
        <v>902328.41188251134</v>
      </c>
      <c r="L140" s="356">
        <v>22403.865635179842</v>
      </c>
      <c r="M140" s="356">
        <v>208950</v>
      </c>
      <c r="N140" s="356">
        <v>0</v>
      </c>
      <c r="O140" s="356">
        <v>-811646.98546314426</v>
      </c>
      <c r="P140" s="356">
        <v>-922071.19997009169</v>
      </c>
      <c r="R140" s="362">
        <f t="shared" si="18"/>
        <v>4959909.9418726498</v>
      </c>
      <c r="T140" s="356">
        <f t="shared" si="19"/>
        <v>5168859.9418726498</v>
      </c>
      <c r="U140" s="356">
        <f t="shared" si="20"/>
        <v>0</v>
      </c>
    </row>
    <row r="141" spans="1:21">
      <c r="A141" s="356">
        <v>5882055.3926502867</v>
      </c>
      <c r="B141" s="356">
        <v>5895614.5020216089</v>
      </c>
      <c r="C141" s="335">
        <v>4012</v>
      </c>
      <c r="E141" s="394" t="s">
        <v>128</v>
      </c>
      <c r="F141" s="356">
        <v>4705925.5297829444</v>
      </c>
      <c r="G141" s="356">
        <v>3673056.7795454892</v>
      </c>
      <c r="H141" s="356"/>
      <c r="I141" s="356"/>
      <c r="J141" s="356">
        <v>0</v>
      </c>
      <c r="K141" s="356">
        <v>817237.86124965234</v>
      </c>
      <c r="L141" s="356">
        <v>27830.888987801045</v>
      </c>
      <c r="M141" s="356">
        <v>187800</v>
      </c>
      <c r="N141" s="356">
        <v>0</v>
      </c>
      <c r="O141" s="356">
        <v>-1176129.8628673423</v>
      </c>
      <c r="P141" s="356">
        <v>-1189688.9722386645</v>
      </c>
      <c r="R141" s="362">
        <f t="shared" si="18"/>
        <v>4518125.5297829425</v>
      </c>
      <c r="T141" s="356">
        <f t="shared" si="19"/>
        <v>4705925.5297829425</v>
      </c>
      <c r="U141" s="356">
        <f t="shared" si="20"/>
        <v>0</v>
      </c>
    </row>
    <row r="142" spans="1:21">
      <c r="B142" s="356"/>
      <c r="F142" s="364">
        <f>SUM(F130:F141)</f>
        <v>61101898.023664877</v>
      </c>
      <c r="G142" s="364">
        <f>SUM(G130:G141)</f>
        <v>50697595.782397568</v>
      </c>
      <c r="H142" s="364"/>
      <c r="I142" s="364"/>
      <c r="J142" s="364">
        <f t="shared" ref="J142:P142" si="21">SUM(J130:J141)</f>
        <v>0</v>
      </c>
      <c r="K142" s="364">
        <f t="shared" si="21"/>
        <v>8556000.5394494552</v>
      </c>
      <c r="L142" s="364">
        <f t="shared" si="21"/>
        <v>198851.70181783848</v>
      </c>
      <c r="M142" s="364">
        <f t="shared" si="21"/>
        <v>1649450</v>
      </c>
      <c r="N142" s="364">
        <f t="shared" si="21"/>
        <v>0</v>
      </c>
      <c r="O142" s="364">
        <f t="shared" si="21"/>
        <v>-13325738.486356569</v>
      </c>
      <c r="P142" s="364">
        <f t="shared" si="21"/>
        <v>-13251344.108082395</v>
      </c>
      <c r="R142" s="364">
        <f>SUM(R130:R141)</f>
        <v>59452448.023664877</v>
      </c>
    </row>
    <row r="143" spans="1:21">
      <c r="B143" s="356"/>
    </row>
    <row r="144" spans="1:21">
      <c r="B144" s="356"/>
    </row>
    <row r="145" spans="2:18">
      <c r="B145" s="356"/>
      <c r="F145" s="356">
        <f>F142+F124</f>
        <v>248570305.92131656</v>
      </c>
      <c r="G145" s="356">
        <f t="shared" ref="G145:P145" si="22">G142+G124</f>
        <v>197524826.20273811</v>
      </c>
      <c r="H145" s="356"/>
      <c r="I145" s="356"/>
      <c r="J145" s="356">
        <f t="shared" si="22"/>
        <v>8619943.333333334</v>
      </c>
      <c r="K145" s="356">
        <f t="shared" si="22"/>
        <v>33763779.272926576</v>
      </c>
      <c r="L145" s="356">
        <f t="shared" si="22"/>
        <v>1040430.3235453425</v>
      </c>
      <c r="M145" s="356">
        <f t="shared" si="22"/>
        <v>7144950</v>
      </c>
      <c r="N145" s="356">
        <f t="shared" si="22"/>
        <v>476376.7</v>
      </c>
      <c r="O145" s="356">
        <f t="shared" si="22"/>
        <v>-4521418.3237760048</v>
      </c>
      <c r="P145" s="356">
        <f t="shared" si="22"/>
        <v>-7800437.9106029756</v>
      </c>
      <c r="R145" s="356"/>
    </row>
    <row r="146" spans="2:18">
      <c r="B146" s="356"/>
      <c r="F146" s="356">
        <f>F145-F126</f>
        <v>62145.295601040125</v>
      </c>
      <c r="G146" s="356">
        <f>G145-G126</f>
        <v>62145.206827878952</v>
      </c>
      <c r="H146" s="356"/>
      <c r="I146" s="356"/>
      <c r="J146" s="356">
        <f>J145-J126</f>
        <v>0</v>
      </c>
      <c r="K146" s="356">
        <f>K145-K126</f>
        <v>0</v>
      </c>
      <c r="L146" s="356">
        <f>L145-L126</f>
        <v>0</v>
      </c>
      <c r="R146" s="356"/>
    </row>
    <row r="147" spans="2:18">
      <c r="B147" s="356"/>
    </row>
    <row r="148" spans="2:18">
      <c r="B148" s="356"/>
    </row>
    <row r="149" spans="2:18">
      <c r="B149" s="356"/>
    </row>
    <row r="150" spans="2:18">
      <c r="B150" s="356"/>
    </row>
    <row r="151" spans="2:18">
      <c r="B151" s="356"/>
    </row>
    <row r="152" spans="2:18">
      <c r="B152" s="356"/>
    </row>
    <row r="153" spans="2:18">
      <c r="B153" s="356"/>
    </row>
    <row r="154" spans="2:18">
      <c r="B154" s="356"/>
    </row>
    <row r="155" spans="2:18">
      <c r="B155" s="356"/>
    </row>
    <row r="156" spans="2:18">
      <c r="B156" s="356"/>
    </row>
    <row r="157" spans="2:18">
      <c r="B157" s="356"/>
    </row>
    <row r="158" spans="2:18">
      <c r="B158" s="356"/>
    </row>
    <row r="159" spans="2:18">
      <c r="B159" s="356"/>
    </row>
    <row r="160" spans="2:18">
      <c r="B160" s="356"/>
    </row>
    <row r="161" spans="2:2">
      <c r="B161" s="356"/>
    </row>
    <row r="162" spans="2:2">
      <c r="B162" s="356"/>
    </row>
    <row r="163" spans="2:2">
      <c r="B163" s="356"/>
    </row>
    <row r="164" spans="2:2">
      <c r="B164" s="356"/>
    </row>
    <row r="165" spans="2:2">
      <c r="B165" s="356"/>
    </row>
    <row r="166" spans="2:2">
      <c r="B166" s="356"/>
    </row>
    <row r="167" spans="2:2">
      <c r="B167" s="356"/>
    </row>
    <row r="168" spans="2:2">
      <c r="B168" s="356"/>
    </row>
    <row r="169" spans="2:2">
      <c r="B169" s="356"/>
    </row>
    <row r="170" spans="2:2">
      <c r="B170" s="356"/>
    </row>
    <row r="171" spans="2:2">
      <c r="B171" s="356"/>
    </row>
    <row r="172" spans="2:2">
      <c r="B172" s="356"/>
    </row>
    <row r="173" spans="2:2">
      <c r="B173" s="356"/>
    </row>
    <row r="174" spans="2:2">
      <c r="B174" s="356"/>
    </row>
    <row r="175" spans="2:2">
      <c r="B175" s="356"/>
    </row>
    <row r="176" spans="2:2">
      <c r="B176" s="356"/>
    </row>
    <row r="177" spans="2:2">
      <c r="B177" s="356"/>
    </row>
    <row r="178" spans="2:2">
      <c r="B178" s="356"/>
    </row>
    <row r="179" spans="2:2">
      <c r="B179" s="356"/>
    </row>
    <row r="180" spans="2:2">
      <c r="B180" s="356"/>
    </row>
    <row r="181" spans="2:2">
      <c r="B181" s="356"/>
    </row>
    <row r="182" spans="2:2">
      <c r="B182" s="356"/>
    </row>
    <row r="183" spans="2:2">
      <c r="B183" s="356"/>
    </row>
    <row r="184" spans="2:2">
      <c r="B184" s="356"/>
    </row>
    <row r="185" spans="2:2">
      <c r="B185" s="356"/>
    </row>
    <row r="186" spans="2:2">
      <c r="B186" s="356"/>
    </row>
    <row r="187" spans="2:2">
      <c r="B187" s="356"/>
    </row>
    <row r="188" spans="2:2">
      <c r="B188" s="356"/>
    </row>
    <row r="189" spans="2:2">
      <c r="B189" s="356"/>
    </row>
    <row r="190" spans="2:2">
      <c r="B190" s="356"/>
    </row>
    <row r="191" spans="2:2">
      <c r="B191" s="356"/>
    </row>
    <row r="192" spans="2:2">
      <c r="B192" s="356"/>
    </row>
    <row r="193" spans="2:2">
      <c r="B193" s="356"/>
    </row>
    <row r="194" spans="2:2">
      <c r="B194" s="356"/>
    </row>
    <row r="195" spans="2:2">
      <c r="B195" s="356"/>
    </row>
    <row r="196" spans="2:2">
      <c r="B196" s="356"/>
    </row>
    <row r="197" spans="2:2">
      <c r="B197" s="356"/>
    </row>
    <row r="198" spans="2:2">
      <c r="B198" s="356"/>
    </row>
    <row r="199" spans="2:2">
      <c r="B199" s="356"/>
    </row>
    <row r="200" spans="2:2">
      <c r="B200" s="356"/>
    </row>
    <row r="201" spans="2:2">
      <c r="B201" s="356"/>
    </row>
    <row r="202" spans="2:2">
      <c r="B202" s="356"/>
    </row>
    <row r="203" spans="2:2">
      <c r="B203" s="356"/>
    </row>
    <row r="204" spans="2:2">
      <c r="B204" s="356"/>
    </row>
    <row r="205" spans="2:2">
      <c r="B205" s="356"/>
    </row>
    <row r="206" spans="2:2">
      <c r="B206" s="356"/>
    </row>
    <row r="207" spans="2:2">
      <c r="B207" s="356"/>
    </row>
    <row r="208" spans="2:2">
      <c r="B208" s="356"/>
    </row>
    <row r="209" spans="2:2">
      <c r="B209" s="356"/>
    </row>
    <row r="210" spans="2:2">
      <c r="B210" s="356"/>
    </row>
    <row r="211" spans="2:2">
      <c r="B211" s="356"/>
    </row>
    <row r="212" spans="2:2">
      <c r="B212" s="356"/>
    </row>
    <row r="213" spans="2:2">
      <c r="B213" s="356"/>
    </row>
    <row r="214" spans="2:2">
      <c r="B214" s="356"/>
    </row>
    <row r="215" spans="2:2">
      <c r="B215" s="356"/>
    </row>
    <row r="216" spans="2:2">
      <c r="B216" s="356"/>
    </row>
    <row r="217" spans="2:2">
      <c r="B217" s="356"/>
    </row>
  </sheetData>
  <mergeCells count="2">
    <mergeCell ref="G6:I6"/>
    <mergeCell ref="T7:U7"/>
  </mergeCells>
  <pageMargins left="0.75" right="0.75" top="1" bottom="1" header="0.5" footer="0.5"/>
  <headerFooter alignWithMargins="0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2"/>
  <sheetViews>
    <sheetView workbookViewId="0">
      <pane xSplit="3" ySplit="8" topLeftCell="T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2.75"/>
  <cols>
    <col min="3" max="3" width="40.5703125" bestFit="1" customWidth="1"/>
  </cols>
  <sheetData>
    <row r="1" spans="1:31">
      <c r="A1" s="681"/>
      <c r="B1" s="681">
        <v>1</v>
      </c>
      <c r="C1" s="681">
        <v>2</v>
      </c>
      <c r="D1" s="681">
        <v>3</v>
      </c>
      <c r="E1" s="681">
        <v>4</v>
      </c>
      <c r="F1" s="681">
        <v>5</v>
      </c>
      <c r="G1" s="681">
        <v>6</v>
      </c>
      <c r="H1" s="681">
        <v>7</v>
      </c>
      <c r="I1" s="681">
        <v>8</v>
      </c>
      <c r="J1" s="681">
        <v>9</v>
      </c>
      <c r="K1" s="681">
        <v>10</v>
      </c>
      <c r="L1" s="681">
        <v>11</v>
      </c>
      <c r="M1" s="681">
        <v>12</v>
      </c>
      <c r="N1" s="681">
        <v>13</v>
      </c>
      <c r="O1" s="681">
        <v>14</v>
      </c>
      <c r="P1" s="681">
        <v>15</v>
      </c>
      <c r="Q1" s="681">
        <v>16</v>
      </c>
      <c r="R1" s="681">
        <v>17</v>
      </c>
      <c r="S1" s="681">
        <v>18</v>
      </c>
      <c r="T1" s="681">
        <v>19</v>
      </c>
      <c r="U1" s="681">
        <v>20</v>
      </c>
    </row>
    <row r="2" spans="1:31">
      <c r="A2" s="681"/>
      <c r="B2" s="681"/>
      <c r="C2" s="682" t="s">
        <v>1653</v>
      </c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4"/>
      <c r="O2" s="681"/>
      <c r="U2" s="571"/>
    </row>
    <row r="3" spans="1:31">
      <c r="A3" s="681"/>
      <c r="B3" s="681"/>
      <c r="C3" s="685"/>
      <c r="D3" s="686"/>
      <c r="E3" s="686"/>
      <c r="F3" s="686"/>
      <c r="G3" s="686"/>
      <c r="H3" s="686"/>
      <c r="I3" s="686"/>
      <c r="J3" s="686"/>
      <c r="K3" s="686"/>
      <c r="L3" s="686"/>
      <c r="M3" s="686"/>
      <c r="N3" s="687"/>
      <c r="O3" s="681"/>
      <c r="U3" s="571"/>
    </row>
    <row r="4" spans="1:31">
      <c r="A4" s="681"/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U4" s="571"/>
    </row>
    <row r="5" spans="1:31">
      <c r="A5" s="688"/>
      <c r="B5" s="689"/>
      <c r="C5" s="689"/>
      <c r="D5" s="689"/>
      <c r="E5" s="689"/>
      <c r="U5" s="571"/>
    </row>
    <row r="6" spans="1:31">
      <c r="A6" t="s">
        <v>1654</v>
      </c>
      <c r="U6" s="571"/>
    </row>
    <row r="7" spans="1:31" ht="15">
      <c r="A7" s="690" t="s">
        <v>1655</v>
      </c>
      <c r="B7" s="690"/>
      <c r="C7" s="690"/>
      <c r="D7" s="690" t="s">
        <v>1656</v>
      </c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1"/>
    </row>
    <row r="8" spans="1:31" ht="15">
      <c r="A8" s="690" t="s">
        <v>1657</v>
      </c>
      <c r="B8" s="690"/>
      <c r="C8" s="690" t="s">
        <v>1658</v>
      </c>
      <c r="D8" s="692" t="s">
        <v>1464</v>
      </c>
      <c r="E8" s="692" t="s">
        <v>1465</v>
      </c>
      <c r="F8" s="690" t="s">
        <v>1466</v>
      </c>
      <c r="G8" s="690" t="s">
        <v>1467</v>
      </c>
      <c r="H8" s="690" t="s">
        <v>1468</v>
      </c>
      <c r="I8" s="690" t="s">
        <v>1469</v>
      </c>
      <c r="J8" s="690" t="s">
        <v>1470</v>
      </c>
      <c r="K8" s="690" t="s">
        <v>1471</v>
      </c>
      <c r="L8" s="690" t="s">
        <v>1472</v>
      </c>
      <c r="M8" s="690" t="s">
        <v>1473</v>
      </c>
      <c r="N8" s="690" t="s">
        <v>1474</v>
      </c>
      <c r="O8" s="690" t="s">
        <v>1475</v>
      </c>
      <c r="P8" s="690" t="s">
        <v>1476</v>
      </c>
      <c r="Q8" s="690" t="s">
        <v>1477</v>
      </c>
      <c r="R8" s="693" t="s">
        <v>1478</v>
      </c>
      <c r="S8" s="693" t="s">
        <v>1479</v>
      </c>
      <c r="T8" s="693" t="s">
        <v>1480</v>
      </c>
      <c r="U8" s="691" t="s">
        <v>688</v>
      </c>
      <c r="V8" s="690" t="s">
        <v>4</v>
      </c>
      <c r="W8" s="690" t="s">
        <v>5</v>
      </c>
      <c r="X8" s="690" t="s">
        <v>6</v>
      </c>
      <c r="Y8" s="690" t="s">
        <v>1659</v>
      </c>
      <c r="Z8" s="690" t="s">
        <v>1660</v>
      </c>
    </row>
    <row r="9" spans="1:31" ht="15">
      <c r="A9" s="694">
        <v>3021000</v>
      </c>
      <c r="B9" s="515">
        <v>1000</v>
      </c>
      <c r="C9" s="694" t="s">
        <v>28</v>
      </c>
      <c r="D9" s="694">
        <v>0</v>
      </c>
      <c r="E9" s="694">
        <v>82</v>
      </c>
      <c r="F9" s="694">
        <v>0</v>
      </c>
      <c r="G9" s="694">
        <v>0</v>
      </c>
      <c r="H9" s="694">
        <v>0</v>
      </c>
      <c r="I9" s="694">
        <v>0</v>
      </c>
      <c r="J9" s="694">
        <v>0</v>
      </c>
      <c r="K9" s="694">
        <v>0</v>
      </c>
      <c r="L9" s="694">
        <v>0</v>
      </c>
      <c r="M9" s="694">
        <v>0</v>
      </c>
      <c r="N9" s="694">
        <v>0</v>
      </c>
      <c r="O9" s="694">
        <v>0</v>
      </c>
      <c r="P9" s="694">
        <v>0</v>
      </c>
      <c r="Q9" s="694">
        <v>0</v>
      </c>
      <c r="R9" s="694">
        <v>0</v>
      </c>
      <c r="S9" s="694">
        <v>0</v>
      </c>
      <c r="T9" s="694">
        <v>0</v>
      </c>
      <c r="U9" s="694">
        <f>SUM(D9:T9)</f>
        <v>82</v>
      </c>
      <c r="V9" s="694">
        <f>D9+E9</f>
        <v>82</v>
      </c>
      <c r="W9" s="694">
        <f>SUM(F9:L9)</f>
        <v>0</v>
      </c>
      <c r="X9" s="694">
        <f>SUM(M9:Q9)</f>
        <v>0</v>
      </c>
      <c r="Y9" s="694">
        <f>SUM(R9:T9)</f>
        <v>0</v>
      </c>
      <c r="Z9" s="694">
        <f>W9+X9</f>
        <v>0</v>
      </c>
      <c r="AA9" s="694" t="s">
        <v>1564</v>
      </c>
      <c r="AB9" s="694"/>
      <c r="AC9" s="694"/>
      <c r="AD9" s="694"/>
      <c r="AE9" s="694"/>
    </row>
    <row r="10" spans="1:31" ht="15">
      <c r="A10" s="694">
        <v>3021001</v>
      </c>
      <c r="B10" s="515">
        <v>1001</v>
      </c>
      <c r="C10" s="694" t="s">
        <v>1482</v>
      </c>
      <c r="D10" s="694">
        <v>8</v>
      </c>
      <c r="E10" s="694">
        <v>74</v>
      </c>
      <c r="F10" s="694">
        <v>0</v>
      </c>
      <c r="G10" s="694">
        <v>0</v>
      </c>
      <c r="H10" s="694">
        <v>0</v>
      </c>
      <c r="I10" s="694">
        <v>0</v>
      </c>
      <c r="J10" s="694">
        <v>0</v>
      </c>
      <c r="K10" s="694">
        <v>0</v>
      </c>
      <c r="L10" s="694">
        <v>0</v>
      </c>
      <c r="M10" s="694">
        <v>0</v>
      </c>
      <c r="N10" s="694">
        <v>0</v>
      </c>
      <c r="O10" s="694">
        <v>0</v>
      </c>
      <c r="P10" s="694">
        <v>0</v>
      </c>
      <c r="Q10" s="694">
        <v>0</v>
      </c>
      <c r="R10" s="694">
        <v>0</v>
      </c>
      <c r="S10" s="694">
        <v>0</v>
      </c>
      <c r="T10" s="694">
        <v>0</v>
      </c>
      <c r="U10" s="694">
        <f t="shared" ref="U10:U73" si="0">SUM(D10:T10)</f>
        <v>82</v>
      </c>
      <c r="V10" s="694">
        <f t="shared" ref="V10:V73" si="1">D10+E10</f>
        <v>82</v>
      </c>
      <c r="W10" s="694">
        <f t="shared" ref="W10:W73" si="2">SUM(F10:L10)</f>
        <v>0</v>
      </c>
      <c r="X10" s="694">
        <f t="shared" ref="X10:X73" si="3">SUM(M10:Q10)</f>
        <v>0</v>
      </c>
      <c r="Y10" s="694">
        <f t="shared" ref="Y10:Y73" si="4">SUM(R10:T10)</f>
        <v>0</v>
      </c>
      <c r="Z10" s="694">
        <f t="shared" ref="Z10:Z73" si="5">W10+X10</f>
        <v>0</v>
      </c>
      <c r="AA10" s="694" t="s">
        <v>1482</v>
      </c>
      <c r="AB10" s="694"/>
      <c r="AC10" s="694"/>
      <c r="AD10" s="694"/>
      <c r="AE10" s="694"/>
    </row>
    <row r="11" spans="1:31" ht="15">
      <c r="A11" s="694">
        <v>3021002</v>
      </c>
      <c r="B11" s="515">
        <v>1002</v>
      </c>
      <c r="C11" s="694" t="s">
        <v>1483</v>
      </c>
      <c r="D11" s="694">
        <v>0</v>
      </c>
      <c r="E11" s="694">
        <v>123</v>
      </c>
      <c r="F11" s="694">
        <v>0</v>
      </c>
      <c r="G11" s="694">
        <v>0</v>
      </c>
      <c r="H11" s="694">
        <v>0</v>
      </c>
      <c r="I11" s="694">
        <v>0</v>
      </c>
      <c r="J11" s="694">
        <v>0</v>
      </c>
      <c r="K11" s="694">
        <v>0</v>
      </c>
      <c r="L11" s="694">
        <v>0</v>
      </c>
      <c r="M11" s="694">
        <v>0</v>
      </c>
      <c r="N11" s="694">
        <v>0</v>
      </c>
      <c r="O11" s="694">
        <v>0</v>
      </c>
      <c r="P11" s="694">
        <v>0</v>
      </c>
      <c r="Q11" s="694">
        <v>0</v>
      </c>
      <c r="R11" s="694">
        <v>0</v>
      </c>
      <c r="S11" s="694">
        <v>0</v>
      </c>
      <c r="T11" s="694">
        <v>0</v>
      </c>
      <c r="U11" s="694">
        <f t="shared" si="0"/>
        <v>123</v>
      </c>
      <c r="V11" s="694">
        <f t="shared" si="1"/>
        <v>123</v>
      </c>
      <c r="W11" s="694">
        <f t="shared" si="2"/>
        <v>0</v>
      </c>
      <c r="X11" s="694">
        <f t="shared" si="3"/>
        <v>0</v>
      </c>
      <c r="Y11" s="694">
        <f t="shared" si="4"/>
        <v>0</v>
      </c>
      <c r="Z11" s="694">
        <f t="shared" si="5"/>
        <v>0</v>
      </c>
      <c r="AA11" s="694" t="s">
        <v>1483</v>
      </c>
      <c r="AB11" s="694"/>
      <c r="AC11" s="694"/>
      <c r="AD11" s="694"/>
      <c r="AE11" s="694"/>
    </row>
    <row r="12" spans="1:31" ht="15">
      <c r="A12" s="694">
        <v>3021003</v>
      </c>
      <c r="B12" s="515">
        <v>1003</v>
      </c>
      <c r="C12" s="694" t="s">
        <v>1484</v>
      </c>
      <c r="D12" s="694">
        <v>32</v>
      </c>
      <c r="E12" s="694">
        <v>88</v>
      </c>
      <c r="F12" s="694">
        <v>0</v>
      </c>
      <c r="G12" s="694">
        <v>0</v>
      </c>
      <c r="H12" s="694">
        <v>0</v>
      </c>
      <c r="I12" s="694">
        <v>0</v>
      </c>
      <c r="J12" s="694">
        <v>0</v>
      </c>
      <c r="K12" s="694">
        <v>0</v>
      </c>
      <c r="L12" s="694">
        <v>0</v>
      </c>
      <c r="M12" s="694">
        <v>0</v>
      </c>
      <c r="N12" s="694">
        <v>0</v>
      </c>
      <c r="O12" s="694">
        <v>0</v>
      </c>
      <c r="P12" s="694">
        <v>0</v>
      </c>
      <c r="Q12" s="694">
        <v>0</v>
      </c>
      <c r="R12" s="694">
        <v>0</v>
      </c>
      <c r="S12" s="694">
        <v>0</v>
      </c>
      <c r="T12" s="694">
        <v>0</v>
      </c>
      <c r="U12" s="694">
        <f t="shared" si="0"/>
        <v>120</v>
      </c>
      <c r="V12" s="694">
        <f t="shared" si="1"/>
        <v>120</v>
      </c>
      <c r="W12" s="694">
        <f t="shared" si="2"/>
        <v>0</v>
      </c>
      <c r="X12" s="694">
        <f t="shared" si="3"/>
        <v>0</v>
      </c>
      <c r="Y12" s="694">
        <f t="shared" si="4"/>
        <v>0</v>
      </c>
      <c r="Z12" s="694">
        <f t="shared" si="5"/>
        <v>0</v>
      </c>
      <c r="AA12" s="694" t="s">
        <v>1565</v>
      </c>
      <c r="AB12" s="694"/>
      <c r="AC12" s="694"/>
      <c r="AD12" s="694"/>
      <c r="AE12" s="694"/>
    </row>
    <row r="13" spans="1:31" ht="15">
      <c r="A13" s="694">
        <v>3021100</v>
      </c>
      <c r="B13" s="515">
        <v>1100</v>
      </c>
      <c r="C13" s="694" t="s">
        <v>451</v>
      </c>
      <c r="D13" s="694">
        <v>0</v>
      </c>
      <c r="E13" s="694">
        <v>0</v>
      </c>
      <c r="F13" s="694">
        <v>1</v>
      </c>
      <c r="G13" s="694">
        <v>2</v>
      </c>
      <c r="H13" s="694">
        <v>1</v>
      </c>
      <c r="I13" s="694">
        <v>0</v>
      </c>
      <c r="J13" s="694">
        <v>1</v>
      </c>
      <c r="K13" s="694">
        <v>0</v>
      </c>
      <c r="L13" s="694">
        <v>0</v>
      </c>
      <c r="M13" s="694">
        <v>1</v>
      </c>
      <c r="N13" s="694">
        <v>6</v>
      </c>
      <c r="O13" s="694">
        <v>16</v>
      </c>
      <c r="P13" s="694">
        <v>18</v>
      </c>
      <c r="Q13" s="694">
        <v>43</v>
      </c>
      <c r="R13" s="694">
        <v>0</v>
      </c>
      <c r="S13" s="694">
        <v>1</v>
      </c>
      <c r="T13" s="694">
        <v>0</v>
      </c>
      <c r="U13" s="694">
        <f t="shared" si="0"/>
        <v>90</v>
      </c>
      <c r="V13" s="694">
        <f t="shared" si="1"/>
        <v>0</v>
      </c>
      <c r="W13" s="694">
        <f t="shared" si="2"/>
        <v>5</v>
      </c>
      <c r="X13" s="694">
        <f t="shared" si="3"/>
        <v>84</v>
      </c>
      <c r="Y13" s="694">
        <f t="shared" si="4"/>
        <v>1</v>
      </c>
      <c r="Z13" s="694"/>
      <c r="AA13" s="694" t="str">
        <f>C13</f>
        <v>Pavilion Study Centre</v>
      </c>
      <c r="AB13" s="694"/>
      <c r="AC13" s="694"/>
      <c r="AD13" s="694"/>
      <c r="AE13" s="694"/>
    </row>
    <row r="14" spans="1:31" ht="15">
      <c r="A14" s="694">
        <v>3021102</v>
      </c>
      <c r="B14" s="515">
        <v>1102</v>
      </c>
      <c r="C14" s="694" t="s">
        <v>742</v>
      </c>
      <c r="D14" s="694">
        <v>0</v>
      </c>
      <c r="E14" s="694">
        <v>0</v>
      </c>
      <c r="F14" s="694">
        <v>0</v>
      </c>
      <c r="G14" s="694">
        <v>0</v>
      </c>
      <c r="H14" s="694">
        <v>0</v>
      </c>
      <c r="I14" s="694">
        <v>0</v>
      </c>
      <c r="J14" s="694">
        <v>0</v>
      </c>
      <c r="K14" s="694">
        <v>0</v>
      </c>
      <c r="L14" s="694">
        <v>0</v>
      </c>
      <c r="M14" s="694">
        <v>0</v>
      </c>
      <c r="N14" s="694">
        <v>0</v>
      </c>
      <c r="O14" s="694">
        <v>0</v>
      </c>
      <c r="P14" s="694">
        <v>4</v>
      </c>
      <c r="Q14" s="694">
        <v>8</v>
      </c>
      <c r="R14" s="694">
        <v>3</v>
      </c>
      <c r="S14" s="694">
        <v>5</v>
      </c>
      <c r="T14" s="694">
        <v>0</v>
      </c>
      <c r="U14" s="694">
        <f t="shared" si="0"/>
        <v>20</v>
      </c>
      <c r="V14" s="694">
        <f t="shared" si="1"/>
        <v>0</v>
      </c>
      <c r="W14" s="694">
        <f t="shared" si="2"/>
        <v>0</v>
      </c>
      <c r="X14" s="694">
        <f t="shared" si="3"/>
        <v>12</v>
      </c>
      <c r="Y14" s="694">
        <f t="shared" si="4"/>
        <v>8</v>
      </c>
      <c r="Z14" s="694">
        <f t="shared" si="5"/>
        <v>12</v>
      </c>
      <c r="AA14" s="694" t="str">
        <f>C14</f>
        <v>Northgate School</v>
      </c>
      <c r="AB14" s="694"/>
      <c r="AC14" s="694"/>
      <c r="AD14" s="694"/>
      <c r="AE14" s="694"/>
    </row>
    <row r="15" spans="1:31" ht="15">
      <c r="A15">
        <v>3022001</v>
      </c>
      <c r="B15" s="515">
        <v>2001</v>
      </c>
      <c r="C15" t="s">
        <v>1485</v>
      </c>
      <c r="D15">
        <v>0</v>
      </c>
      <c r="E15">
        <v>26</v>
      </c>
      <c r="F15">
        <v>28</v>
      </c>
      <c r="G15">
        <v>28</v>
      </c>
      <c r="H15">
        <v>27</v>
      </c>
      <c r="I15">
        <v>28</v>
      </c>
      <c r="J15">
        <v>28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f t="shared" si="0"/>
        <v>165</v>
      </c>
      <c r="V15">
        <f t="shared" si="1"/>
        <v>26</v>
      </c>
      <c r="W15">
        <f t="shared" si="2"/>
        <v>139</v>
      </c>
      <c r="X15">
        <f t="shared" si="3"/>
        <v>0</v>
      </c>
      <c r="Y15">
        <f t="shared" si="4"/>
        <v>0</v>
      </c>
      <c r="Z15">
        <f t="shared" si="5"/>
        <v>139</v>
      </c>
      <c r="AA15" t="s">
        <v>1485</v>
      </c>
    </row>
    <row r="16" spans="1:31" ht="15">
      <c r="A16">
        <v>3022002</v>
      </c>
      <c r="B16" s="515">
        <v>2002</v>
      </c>
      <c r="C16" t="s">
        <v>37</v>
      </c>
      <c r="D16">
        <v>0</v>
      </c>
      <c r="E16">
        <v>59</v>
      </c>
      <c r="F16">
        <v>60</v>
      </c>
      <c r="G16">
        <v>61</v>
      </c>
      <c r="H16">
        <v>60</v>
      </c>
      <c r="I16">
        <v>62</v>
      </c>
      <c r="J16">
        <v>88</v>
      </c>
      <c r="K16">
        <v>90</v>
      </c>
      <c r="L16">
        <v>60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f t="shared" si="0"/>
        <v>540</v>
      </c>
      <c r="V16">
        <f t="shared" si="1"/>
        <v>59</v>
      </c>
      <c r="W16">
        <f t="shared" si="2"/>
        <v>481</v>
      </c>
      <c r="X16">
        <f t="shared" si="3"/>
        <v>0</v>
      </c>
      <c r="Y16">
        <f t="shared" si="4"/>
        <v>0</v>
      </c>
      <c r="Z16">
        <f t="shared" si="5"/>
        <v>481</v>
      </c>
      <c r="AA16" t="s">
        <v>37</v>
      </c>
    </row>
    <row r="17" spans="1:27" ht="15">
      <c r="A17">
        <v>3022003</v>
      </c>
      <c r="B17" s="515">
        <v>2003</v>
      </c>
      <c r="C17" t="s">
        <v>332</v>
      </c>
      <c r="D17">
        <v>6</v>
      </c>
      <c r="E17">
        <v>38</v>
      </c>
      <c r="F17">
        <v>54</v>
      </c>
      <c r="G17">
        <v>54</v>
      </c>
      <c r="H17">
        <v>59</v>
      </c>
      <c r="I17">
        <v>58</v>
      </c>
      <c r="J17">
        <v>55</v>
      </c>
      <c r="K17">
        <v>59</v>
      </c>
      <c r="L17">
        <v>59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f t="shared" si="0"/>
        <v>442</v>
      </c>
      <c r="V17">
        <f t="shared" si="1"/>
        <v>44</v>
      </c>
      <c r="W17">
        <f t="shared" si="2"/>
        <v>398</v>
      </c>
      <c r="X17">
        <f t="shared" si="3"/>
        <v>0</v>
      </c>
      <c r="Y17">
        <f t="shared" si="4"/>
        <v>0</v>
      </c>
      <c r="Z17">
        <f t="shared" si="5"/>
        <v>398</v>
      </c>
      <c r="AA17" t="s">
        <v>332</v>
      </c>
    </row>
    <row r="18" spans="1:27" ht="15">
      <c r="A18">
        <v>3022004</v>
      </c>
      <c r="B18" s="515">
        <v>2004</v>
      </c>
      <c r="C18" t="s">
        <v>1486</v>
      </c>
      <c r="D18">
        <v>0</v>
      </c>
      <c r="E18">
        <v>0</v>
      </c>
      <c r="F18">
        <v>28</v>
      </c>
      <c r="G18">
        <v>29</v>
      </c>
      <c r="H18">
        <v>27</v>
      </c>
      <c r="I18">
        <v>25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f t="shared" si="0"/>
        <v>109</v>
      </c>
      <c r="V18">
        <f t="shared" si="1"/>
        <v>0</v>
      </c>
      <c r="W18">
        <f t="shared" si="2"/>
        <v>109</v>
      </c>
      <c r="X18">
        <f t="shared" si="3"/>
        <v>0</v>
      </c>
      <c r="Y18">
        <f t="shared" si="4"/>
        <v>0</v>
      </c>
      <c r="Z18">
        <f t="shared" si="5"/>
        <v>109</v>
      </c>
      <c r="AA18" t="s">
        <v>1486</v>
      </c>
    </row>
    <row r="19" spans="1:27" ht="15">
      <c r="A19">
        <v>3022007</v>
      </c>
      <c r="B19" s="515">
        <v>2007</v>
      </c>
      <c r="C19" t="s">
        <v>43</v>
      </c>
      <c r="D19">
        <v>0</v>
      </c>
      <c r="E19">
        <v>0</v>
      </c>
      <c r="F19">
        <v>0</v>
      </c>
      <c r="G19">
        <v>0</v>
      </c>
      <c r="H19">
        <v>0</v>
      </c>
      <c r="I19">
        <v>90</v>
      </c>
      <c r="J19">
        <v>91</v>
      </c>
      <c r="K19">
        <v>90</v>
      </c>
      <c r="L19">
        <v>87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f t="shared" si="0"/>
        <v>358</v>
      </c>
      <c r="V19">
        <f t="shared" si="1"/>
        <v>0</v>
      </c>
      <c r="W19">
        <f t="shared" si="2"/>
        <v>358</v>
      </c>
      <c r="X19">
        <f t="shared" si="3"/>
        <v>0</v>
      </c>
      <c r="Y19">
        <f t="shared" si="4"/>
        <v>0</v>
      </c>
      <c r="Z19">
        <f t="shared" si="5"/>
        <v>358</v>
      </c>
      <c r="AA19" t="s">
        <v>43</v>
      </c>
    </row>
    <row r="20" spans="1:27" ht="15">
      <c r="A20">
        <v>3022008</v>
      </c>
      <c r="B20" s="515">
        <v>2008</v>
      </c>
      <c r="C20" t="s">
        <v>1487</v>
      </c>
      <c r="D20">
        <v>0</v>
      </c>
      <c r="E20">
        <v>52</v>
      </c>
      <c r="F20">
        <v>90</v>
      </c>
      <c r="G20">
        <v>91</v>
      </c>
      <c r="H20">
        <v>90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f t="shared" si="0"/>
        <v>323</v>
      </c>
      <c r="V20">
        <f t="shared" si="1"/>
        <v>52</v>
      </c>
      <c r="W20">
        <f t="shared" si="2"/>
        <v>271</v>
      </c>
      <c r="X20">
        <f t="shared" si="3"/>
        <v>0</v>
      </c>
      <c r="Y20">
        <f t="shared" si="4"/>
        <v>0</v>
      </c>
      <c r="Z20">
        <f t="shared" si="5"/>
        <v>271</v>
      </c>
      <c r="AA20" t="s">
        <v>1487</v>
      </c>
    </row>
    <row r="21" spans="1:27" ht="15">
      <c r="A21">
        <v>3022009</v>
      </c>
      <c r="B21" s="515">
        <v>2009</v>
      </c>
      <c r="C21" t="s">
        <v>1488</v>
      </c>
      <c r="D21">
        <v>0</v>
      </c>
      <c r="E21">
        <v>30</v>
      </c>
      <c r="F21">
        <v>60</v>
      </c>
      <c r="G21">
        <v>60</v>
      </c>
      <c r="H21">
        <v>60</v>
      </c>
      <c r="I21">
        <v>60</v>
      </c>
      <c r="J21">
        <v>60</v>
      </c>
      <c r="K21">
        <v>31</v>
      </c>
      <c r="L21">
        <v>28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f t="shared" si="0"/>
        <v>389</v>
      </c>
      <c r="V21">
        <f t="shared" si="1"/>
        <v>30</v>
      </c>
      <c r="W21">
        <f t="shared" si="2"/>
        <v>359</v>
      </c>
      <c r="X21">
        <f t="shared" si="3"/>
        <v>0</v>
      </c>
      <c r="Y21">
        <f t="shared" si="4"/>
        <v>0</v>
      </c>
      <c r="Z21">
        <f t="shared" si="5"/>
        <v>359</v>
      </c>
      <c r="AA21" t="s">
        <v>1488</v>
      </c>
    </row>
    <row r="22" spans="1:27" ht="15">
      <c r="A22">
        <v>3022010</v>
      </c>
      <c r="B22" s="515">
        <v>2010</v>
      </c>
      <c r="C22" t="s">
        <v>46</v>
      </c>
      <c r="D22">
        <v>4</v>
      </c>
      <c r="E22">
        <v>41</v>
      </c>
      <c r="F22">
        <v>45</v>
      </c>
      <c r="G22">
        <v>45</v>
      </c>
      <c r="H22">
        <v>44</v>
      </c>
      <c r="I22">
        <v>43</v>
      </c>
      <c r="J22">
        <v>46</v>
      </c>
      <c r="K22">
        <v>45</v>
      </c>
      <c r="L22">
        <v>44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f t="shared" si="0"/>
        <v>357</v>
      </c>
      <c r="V22">
        <f t="shared" si="1"/>
        <v>45</v>
      </c>
      <c r="W22">
        <f t="shared" si="2"/>
        <v>312</v>
      </c>
      <c r="X22">
        <f t="shared" si="3"/>
        <v>0</v>
      </c>
      <c r="Y22">
        <f t="shared" si="4"/>
        <v>0</v>
      </c>
      <c r="Z22">
        <f t="shared" si="5"/>
        <v>312</v>
      </c>
      <c r="AA22" t="s">
        <v>1661</v>
      </c>
    </row>
    <row r="23" spans="1:27" ht="15">
      <c r="A23">
        <v>3022011</v>
      </c>
      <c r="B23" s="515">
        <v>2011</v>
      </c>
      <c r="C23" t="s">
        <v>1490</v>
      </c>
      <c r="D23">
        <v>0</v>
      </c>
      <c r="E23">
        <v>0</v>
      </c>
      <c r="F23">
        <v>30</v>
      </c>
      <c r="G23">
        <v>30</v>
      </c>
      <c r="H23">
        <v>30</v>
      </c>
      <c r="I23">
        <v>30</v>
      </c>
      <c r="J23">
        <v>50</v>
      </c>
      <c r="K23">
        <v>30</v>
      </c>
      <c r="L23">
        <v>30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f t="shared" si="0"/>
        <v>230</v>
      </c>
      <c r="V23">
        <f t="shared" si="1"/>
        <v>0</v>
      </c>
      <c r="W23">
        <f t="shared" si="2"/>
        <v>230</v>
      </c>
      <c r="X23">
        <f t="shared" si="3"/>
        <v>0</v>
      </c>
      <c r="Y23">
        <f t="shared" si="4"/>
        <v>0</v>
      </c>
      <c r="Z23">
        <f t="shared" si="5"/>
        <v>230</v>
      </c>
      <c r="AA23" t="s">
        <v>1490</v>
      </c>
    </row>
    <row r="24" spans="1:27" ht="15">
      <c r="A24">
        <v>3022014</v>
      </c>
      <c r="B24" s="515">
        <v>2014</v>
      </c>
      <c r="C24" t="s">
        <v>50</v>
      </c>
      <c r="D24">
        <v>0</v>
      </c>
      <c r="E24">
        <v>76</v>
      </c>
      <c r="F24">
        <v>90</v>
      </c>
      <c r="G24">
        <v>93</v>
      </c>
      <c r="H24">
        <v>90</v>
      </c>
      <c r="I24">
        <v>120</v>
      </c>
      <c r="J24">
        <v>90</v>
      </c>
      <c r="K24">
        <v>88</v>
      </c>
      <c r="L24">
        <v>93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f t="shared" si="0"/>
        <v>740</v>
      </c>
      <c r="V24">
        <f t="shared" si="1"/>
        <v>76</v>
      </c>
      <c r="W24">
        <f t="shared" si="2"/>
        <v>664</v>
      </c>
      <c r="X24">
        <f t="shared" si="3"/>
        <v>0</v>
      </c>
      <c r="Y24">
        <f t="shared" si="4"/>
        <v>0</v>
      </c>
      <c r="Z24">
        <f t="shared" si="5"/>
        <v>664</v>
      </c>
      <c r="AA24" t="s">
        <v>50</v>
      </c>
    </row>
    <row r="25" spans="1:27" ht="15">
      <c r="A25">
        <v>3022015</v>
      </c>
      <c r="B25" s="515">
        <v>2015</v>
      </c>
      <c r="C25" t="s">
        <v>1491</v>
      </c>
      <c r="D25">
        <v>0</v>
      </c>
      <c r="E25">
        <v>41</v>
      </c>
      <c r="F25">
        <v>29</v>
      </c>
      <c r="G25">
        <v>31</v>
      </c>
      <c r="H25">
        <v>30</v>
      </c>
      <c r="I25">
        <v>60</v>
      </c>
      <c r="J25">
        <v>30</v>
      </c>
      <c r="K25">
        <v>30</v>
      </c>
      <c r="L25">
        <v>30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f t="shared" si="0"/>
        <v>281</v>
      </c>
      <c r="V25">
        <f t="shared" si="1"/>
        <v>41</v>
      </c>
      <c r="W25">
        <f t="shared" si="2"/>
        <v>240</v>
      </c>
      <c r="X25">
        <f t="shared" si="3"/>
        <v>0</v>
      </c>
      <c r="Y25">
        <f t="shared" si="4"/>
        <v>0</v>
      </c>
      <c r="Z25">
        <f t="shared" si="5"/>
        <v>240</v>
      </c>
      <c r="AA25" t="s">
        <v>1491</v>
      </c>
    </row>
    <row r="26" spans="1:27" ht="15">
      <c r="A26">
        <v>3022016</v>
      </c>
      <c r="B26" s="515">
        <v>2016</v>
      </c>
      <c r="C26" t="s">
        <v>53</v>
      </c>
      <c r="D26">
        <v>0</v>
      </c>
      <c r="E26">
        <v>0</v>
      </c>
      <c r="F26">
        <v>31</v>
      </c>
      <c r="G26">
        <v>30</v>
      </c>
      <c r="H26">
        <v>30</v>
      </c>
      <c r="I26">
        <v>30</v>
      </c>
      <c r="J26">
        <v>30</v>
      </c>
      <c r="K26">
        <v>30</v>
      </c>
      <c r="L26">
        <v>31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f t="shared" si="0"/>
        <v>212</v>
      </c>
      <c r="V26">
        <f t="shared" si="1"/>
        <v>0</v>
      </c>
      <c r="W26">
        <f t="shared" si="2"/>
        <v>212</v>
      </c>
      <c r="X26">
        <f t="shared" si="3"/>
        <v>0</v>
      </c>
      <c r="Y26">
        <f t="shared" si="4"/>
        <v>0</v>
      </c>
      <c r="Z26">
        <f t="shared" si="5"/>
        <v>212</v>
      </c>
      <c r="AA26" t="s">
        <v>53</v>
      </c>
    </row>
    <row r="27" spans="1:27" ht="15">
      <c r="A27">
        <v>3022017</v>
      </c>
      <c r="B27" s="515">
        <v>2017</v>
      </c>
      <c r="C27" t="s">
        <v>340</v>
      </c>
      <c r="D27">
        <v>0</v>
      </c>
      <c r="E27">
        <v>0</v>
      </c>
      <c r="F27">
        <v>57</v>
      </c>
      <c r="G27">
        <v>58</v>
      </c>
      <c r="H27">
        <v>58</v>
      </c>
      <c r="I27">
        <v>59</v>
      </c>
      <c r="J27">
        <v>58</v>
      </c>
      <c r="K27">
        <v>59</v>
      </c>
      <c r="L27">
        <v>57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f t="shared" si="0"/>
        <v>406</v>
      </c>
      <c r="V27">
        <f t="shared" si="1"/>
        <v>0</v>
      </c>
      <c r="W27">
        <f t="shared" si="2"/>
        <v>406</v>
      </c>
      <c r="X27">
        <f t="shared" si="3"/>
        <v>0</v>
      </c>
      <c r="Y27">
        <f t="shared" si="4"/>
        <v>0</v>
      </c>
      <c r="Z27">
        <f t="shared" si="5"/>
        <v>406</v>
      </c>
      <c r="AA27" t="s">
        <v>340</v>
      </c>
    </row>
    <row r="28" spans="1:27" ht="15">
      <c r="A28">
        <v>3022018</v>
      </c>
      <c r="B28" s="515">
        <v>2018</v>
      </c>
      <c r="C28" t="s">
        <v>57</v>
      </c>
      <c r="D28">
        <v>0</v>
      </c>
      <c r="E28">
        <v>0</v>
      </c>
      <c r="F28">
        <v>0</v>
      </c>
      <c r="G28">
        <v>0</v>
      </c>
      <c r="H28">
        <v>0</v>
      </c>
      <c r="I28">
        <v>118</v>
      </c>
      <c r="J28">
        <v>89</v>
      </c>
      <c r="K28">
        <v>89</v>
      </c>
      <c r="L28">
        <v>121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f t="shared" si="0"/>
        <v>417</v>
      </c>
      <c r="V28">
        <f t="shared" si="1"/>
        <v>0</v>
      </c>
      <c r="W28">
        <f t="shared" si="2"/>
        <v>417</v>
      </c>
      <c r="X28">
        <f t="shared" si="3"/>
        <v>0</v>
      </c>
      <c r="Y28">
        <f t="shared" si="4"/>
        <v>0</v>
      </c>
      <c r="Z28">
        <f t="shared" si="5"/>
        <v>417</v>
      </c>
      <c r="AA28" t="s">
        <v>57</v>
      </c>
    </row>
    <row r="29" spans="1:27" ht="15">
      <c r="A29">
        <v>3022019</v>
      </c>
      <c r="B29" s="515">
        <v>2019</v>
      </c>
      <c r="C29" t="s">
        <v>56</v>
      </c>
      <c r="D29">
        <v>0</v>
      </c>
      <c r="E29">
        <v>64</v>
      </c>
      <c r="F29">
        <v>89</v>
      </c>
      <c r="G29">
        <v>90</v>
      </c>
      <c r="H29">
        <v>86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f t="shared" si="0"/>
        <v>329</v>
      </c>
      <c r="V29">
        <f t="shared" si="1"/>
        <v>64</v>
      </c>
      <c r="W29">
        <f t="shared" si="2"/>
        <v>265</v>
      </c>
      <c r="X29">
        <f t="shared" si="3"/>
        <v>0</v>
      </c>
      <c r="Y29">
        <f t="shared" si="4"/>
        <v>0</v>
      </c>
      <c r="Z29">
        <f t="shared" si="5"/>
        <v>265</v>
      </c>
      <c r="AA29" t="s">
        <v>56</v>
      </c>
    </row>
    <row r="30" spans="1:27" ht="15">
      <c r="A30">
        <v>3022020</v>
      </c>
      <c r="B30" s="515">
        <v>2020</v>
      </c>
      <c r="C30" t="s">
        <v>1492</v>
      </c>
      <c r="D30">
        <v>0</v>
      </c>
      <c r="E30">
        <v>0</v>
      </c>
      <c r="F30">
        <v>30</v>
      </c>
      <c r="G30">
        <v>30</v>
      </c>
      <c r="H30">
        <v>30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f t="shared" si="0"/>
        <v>90</v>
      </c>
      <c r="V30">
        <f t="shared" si="1"/>
        <v>0</v>
      </c>
      <c r="W30">
        <f t="shared" si="2"/>
        <v>90</v>
      </c>
      <c r="X30">
        <f t="shared" si="3"/>
        <v>0</v>
      </c>
      <c r="Y30">
        <f t="shared" si="4"/>
        <v>0</v>
      </c>
      <c r="Z30">
        <f t="shared" si="5"/>
        <v>90</v>
      </c>
      <c r="AA30" t="s">
        <v>1492</v>
      </c>
    </row>
    <row r="31" spans="1:27" ht="15">
      <c r="A31">
        <v>3022021</v>
      </c>
      <c r="B31" s="515">
        <v>2021</v>
      </c>
      <c r="C31" t="s">
        <v>58</v>
      </c>
      <c r="D31">
        <v>0</v>
      </c>
      <c r="E31">
        <v>39</v>
      </c>
      <c r="F31">
        <v>80</v>
      </c>
      <c r="G31">
        <v>90</v>
      </c>
      <c r="H31">
        <v>88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f t="shared" si="0"/>
        <v>297</v>
      </c>
      <c r="V31">
        <f t="shared" si="1"/>
        <v>39</v>
      </c>
      <c r="W31">
        <f t="shared" si="2"/>
        <v>258</v>
      </c>
      <c r="X31">
        <f t="shared" si="3"/>
        <v>0</v>
      </c>
      <c r="Y31">
        <f t="shared" si="4"/>
        <v>0</v>
      </c>
      <c r="Z31">
        <f t="shared" si="5"/>
        <v>258</v>
      </c>
      <c r="AA31" t="s">
        <v>58</v>
      </c>
    </row>
    <row r="32" spans="1:27" ht="15">
      <c r="A32">
        <v>3022023</v>
      </c>
      <c r="B32" s="515">
        <v>2023</v>
      </c>
      <c r="C32" t="s">
        <v>1586</v>
      </c>
      <c r="D32">
        <v>0</v>
      </c>
      <c r="E32">
        <v>68</v>
      </c>
      <c r="F32">
        <v>88</v>
      </c>
      <c r="G32">
        <v>90</v>
      </c>
      <c r="H32">
        <v>88</v>
      </c>
      <c r="I32">
        <v>90</v>
      </c>
      <c r="J32">
        <v>82</v>
      </c>
      <c r="K32">
        <v>74</v>
      </c>
      <c r="L32">
        <v>91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f t="shared" si="0"/>
        <v>671</v>
      </c>
      <c r="V32">
        <f t="shared" si="1"/>
        <v>68</v>
      </c>
      <c r="W32">
        <f t="shared" si="2"/>
        <v>603</v>
      </c>
      <c r="X32">
        <f t="shared" si="3"/>
        <v>0</v>
      </c>
      <c r="Y32">
        <f t="shared" si="4"/>
        <v>0</v>
      </c>
      <c r="Z32">
        <f t="shared" si="5"/>
        <v>603</v>
      </c>
      <c r="AA32" t="s">
        <v>1586</v>
      </c>
    </row>
    <row r="33" spans="1:27" ht="15">
      <c r="A33">
        <v>3022024</v>
      </c>
      <c r="B33" s="515">
        <v>2024</v>
      </c>
      <c r="C33" t="s">
        <v>1494</v>
      </c>
      <c r="D33">
        <v>0</v>
      </c>
      <c r="E33">
        <v>35</v>
      </c>
      <c r="F33">
        <v>30</v>
      </c>
      <c r="G33">
        <v>30</v>
      </c>
      <c r="H33">
        <v>29</v>
      </c>
      <c r="I33">
        <v>57</v>
      </c>
      <c r="J33">
        <v>30</v>
      </c>
      <c r="K33">
        <v>30</v>
      </c>
      <c r="L33">
        <v>32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f t="shared" si="0"/>
        <v>273</v>
      </c>
      <c r="V33">
        <f t="shared" si="1"/>
        <v>35</v>
      </c>
      <c r="W33">
        <f t="shared" si="2"/>
        <v>238</v>
      </c>
      <c r="X33">
        <f t="shared" si="3"/>
        <v>0</v>
      </c>
      <c r="Y33">
        <f t="shared" si="4"/>
        <v>0</v>
      </c>
      <c r="Z33">
        <f t="shared" si="5"/>
        <v>238</v>
      </c>
      <c r="AA33" t="s">
        <v>1494</v>
      </c>
    </row>
    <row r="34" spans="1:27" ht="15">
      <c r="A34">
        <v>3022025</v>
      </c>
      <c r="B34" s="515">
        <v>2025</v>
      </c>
      <c r="C34" t="s">
        <v>1495</v>
      </c>
      <c r="D34">
        <v>0</v>
      </c>
      <c r="E34">
        <v>0</v>
      </c>
      <c r="F34">
        <v>45</v>
      </c>
      <c r="G34">
        <v>45</v>
      </c>
      <c r="H34">
        <v>46</v>
      </c>
      <c r="I34">
        <v>45</v>
      </c>
      <c r="J34">
        <v>45</v>
      </c>
      <c r="K34">
        <v>45</v>
      </c>
      <c r="L34">
        <v>44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f t="shared" si="0"/>
        <v>315</v>
      </c>
      <c r="V34">
        <f t="shared" si="1"/>
        <v>0</v>
      </c>
      <c r="W34">
        <f t="shared" si="2"/>
        <v>315</v>
      </c>
      <c r="X34">
        <f t="shared" si="3"/>
        <v>0</v>
      </c>
      <c r="Y34">
        <f t="shared" si="4"/>
        <v>0</v>
      </c>
      <c r="Z34">
        <f t="shared" si="5"/>
        <v>315</v>
      </c>
      <c r="AA34" t="s">
        <v>1495</v>
      </c>
    </row>
    <row r="35" spans="1:27" ht="15">
      <c r="A35">
        <v>3022026</v>
      </c>
      <c r="B35" s="515">
        <v>2026</v>
      </c>
      <c r="C35" t="s">
        <v>64</v>
      </c>
      <c r="D35">
        <v>24</v>
      </c>
      <c r="E35">
        <v>13</v>
      </c>
      <c r="F35">
        <v>86</v>
      </c>
      <c r="G35">
        <v>89</v>
      </c>
      <c r="H35">
        <v>88</v>
      </c>
      <c r="I35">
        <v>88</v>
      </c>
      <c r="J35">
        <v>90</v>
      </c>
      <c r="K35">
        <v>89</v>
      </c>
      <c r="L35">
        <v>88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f t="shared" si="0"/>
        <v>655</v>
      </c>
      <c r="V35">
        <f t="shared" si="1"/>
        <v>37</v>
      </c>
      <c r="W35">
        <f t="shared" si="2"/>
        <v>618</v>
      </c>
      <c r="X35">
        <f t="shared" si="3"/>
        <v>0</v>
      </c>
      <c r="Y35">
        <f t="shared" si="4"/>
        <v>0</v>
      </c>
      <c r="Z35">
        <f t="shared" si="5"/>
        <v>618</v>
      </c>
      <c r="AA35" t="s">
        <v>64</v>
      </c>
    </row>
    <row r="36" spans="1:27" ht="15">
      <c r="A36">
        <v>3022027</v>
      </c>
      <c r="B36" s="515">
        <v>2027</v>
      </c>
      <c r="C36" t="s">
        <v>1496</v>
      </c>
      <c r="D36">
        <v>0</v>
      </c>
      <c r="E36">
        <v>0</v>
      </c>
      <c r="F36">
        <v>0</v>
      </c>
      <c r="G36">
        <v>0</v>
      </c>
      <c r="H36">
        <v>0</v>
      </c>
      <c r="I36">
        <v>86</v>
      </c>
      <c r="J36">
        <v>90</v>
      </c>
      <c r="K36">
        <v>89</v>
      </c>
      <c r="L36">
        <v>90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f t="shared" si="0"/>
        <v>355</v>
      </c>
      <c r="V36">
        <f t="shared" si="1"/>
        <v>0</v>
      </c>
      <c r="W36">
        <f t="shared" si="2"/>
        <v>355</v>
      </c>
      <c r="X36">
        <f t="shared" si="3"/>
        <v>0</v>
      </c>
      <c r="Y36">
        <f t="shared" si="4"/>
        <v>0</v>
      </c>
      <c r="Z36">
        <f t="shared" si="5"/>
        <v>355</v>
      </c>
      <c r="AA36" t="s">
        <v>1496</v>
      </c>
    </row>
    <row r="37" spans="1:27" ht="15">
      <c r="A37">
        <v>3022028</v>
      </c>
      <c r="B37" s="515">
        <v>2028</v>
      </c>
      <c r="C37" t="s">
        <v>65</v>
      </c>
      <c r="D37">
        <v>0</v>
      </c>
      <c r="E37">
        <v>0</v>
      </c>
      <c r="F37">
        <v>90</v>
      </c>
      <c r="G37">
        <v>90</v>
      </c>
      <c r="H37">
        <v>90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f t="shared" si="0"/>
        <v>270</v>
      </c>
      <c r="V37">
        <f t="shared" si="1"/>
        <v>0</v>
      </c>
      <c r="W37">
        <f t="shared" si="2"/>
        <v>270</v>
      </c>
      <c r="X37">
        <f t="shared" si="3"/>
        <v>0</v>
      </c>
      <c r="Y37">
        <f t="shared" si="4"/>
        <v>0</v>
      </c>
      <c r="Z37">
        <f t="shared" si="5"/>
        <v>270</v>
      </c>
      <c r="AA37" t="s">
        <v>65</v>
      </c>
    </row>
    <row r="38" spans="1:27" ht="15">
      <c r="A38">
        <v>3022029</v>
      </c>
      <c r="B38" s="515">
        <v>2029</v>
      </c>
      <c r="C38" t="s">
        <v>344</v>
      </c>
      <c r="D38">
        <v>0</v>
      </c>
      <c r="E38">
        <v>52</v>
      </c>
      <c r="F38">
        <v>51</v>
      </c>
      <c r="G38">
        <v>63</v>
      </c>
      <c r="H38">
        <v>67</v>
      </c>
      <c r="I38">
        <v>60</v>
      </c>
      <c r="J38">
        <v>61</v>
      </c>
      <c r="K38">
        <v>59</v>
      </c>
      <c r="L38">
        <v>59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f t="shared" si="0"/>
        <v>472</v>
      </c>
      <c r="V38">
        <f t="shared" si="1"/>
        <v>52</v>
      </c>
      <c r="W38">
        <f t="shared" si="2"/>
        <v>420</v>
      </c>
      <c r="X38">
        <f t="shared" si="3"/>
        <v>0</v>
      </c>
      <c r="Y38">
        <f t="shared" si="4"/>
        <v>0</v>
      </c>
      <c r="Z38">
        <f t="shared" si="5"/>
        <v>420</v>
      </c>
      <c r="AA38" t="s">
        <v>344</v>
      </c>
    </row>
    <row r="39" spans="1:27" ht="15">
      <c r="A39">
        <v>3022030</v>
      </c>
      <c r="B39" s="515">
        <v>2030</v>
      </c>
      <c r="C39" t="s">
        <v>1497</v>
      </c>
      <c r="D39">
        <v>0</v>
      </c>
      <c r="E39">
        <v>0</v>
      </c>
      <c r="F39">
        <v>29</v>
      </c>
      <c r="G39">
        <v>29</v>
      </c>
      <c r="H39">
        <v>44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f t="shared" si="0"/>
        <v>102</v>
      </c>
      <c r="V39">
        <f t="shared" si="1"/>
        <v>0</v>
      </c>
      <c r="W39">
        <f t="shared" si="2"/>
        <v>102</v>
      </c>
      <c r="X39">
        <f t="shared" si="3"/>
        <v>0</v>
      </c>
      <c r="Y39">
        <f t="shared" si="4"/>
        <v>0</v>
      </c>
      <c r="Z39">
        <f t="shared" si="5"/>
        <v>102</v>
      </c>
      <c r="AA39" t="s">
        <v>1497</v>
      </c>
    </row>
    <row r="40" spans="1:27" ht="15">
      <c r="A40">
        <v>3022031</v>
      </c>
      <c r="B40" s="515">
        <v>2031</v>
      </c>
      <c r="C40" t="s">
        <v>1498</v>
      </c>
      <c r="D40">
        <v>21</v>
      </c>
      <c r="E40">
        <v>0</v>
      </c>
      <c r="F40">
        <v>30</v>
      </c>
      <c r="G40">
        <v>31</v>
      </c>
      <c r="H40">
        <v>28</v>
      </c>
      <c r="I40">
        <v>26</v>
      </c>
      <c r="J40">
        <v>26</v>
      </c>
      <c r="K40">
        <v>26</v>
      </c>
      <c r="L40">
        <v>30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f t="shared" si="0"/>
        <v>218</v>
      </c>
      <c r="V40">
        <f t="shared" si="1"/>
        <v>21</v>
      </c>
      <c r="W40">
        <f t="shared" si="2"/>
        <v>197</v>
      </c>
      <c r="X40">
        <f t="shared" si="3"/>
        <v>0</v>
      </c>
      <c r="Y40">
        <f t="shared" si="4"/>
        <v>0</v>
      </c>
      <c r="Z40">
        <f t="shared" si="5"/>
        <v>197</v>
      </c>
      <c r="AA40" t="s">
        <v>1498</v>
      </c>
    </row>
    <row r="41" spans="1:27" ht="15">
      <c r="A41">
        <v>3022032</v>
      </c>
      <c r="B41" s="515">
        <v>2032</v>
      </c>
      <c r="C41" t="s">
        <v>71</v>
      </c>
      <c r="D41">
        <v>0</v>
      </c>
      <c r="E41">
        <v>60</v>
      </c>
      <c r="F41">
        <v>60</v>
      </c>
      <c r="G41">
        <v>61</v>
      </c>
      <c r="H41">
        <v>60</v>
      </c>
      <c r="I41">
        <v>90</v>
      </c>
      <c r="J41">
        <v>60</v>
      </c>
      <c r="K41">
        <v>83</v>
      </c>
      <c r="L41">
        <v>58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f t="shared" si="0"/>
        <v>532</v>
      </c>
      <c r="V41">
        <f t="shared" si="1"/>
        <v>60</v>
      </c>
      <c r="W41">
        <f t="shared" si="2"/>
        <v>472</v>
      </c>
      <c r="X41">
        <f t="shared" si="3"/>
        <v>0</v>
      </c>
      <c r="Y41">
        <f t="shared" si="4"/>
        <v>0</v>
      </c>
      <c r="Z41">
        <f t="shared" si="5"/>
        <v>472</v>
      </c>
      <c r="AA41" t="s">
        <v>71</v>
      </c>
    </row>
    <row r="42" spans="1:27" ht="15">
      <c r="A42">
        <v>3022036</v>
      </c>
      <c r="B42" s="515">
        <v>2036</v>
      </c>
      <c r="C42" t="s">
        <v>74</v>
      </c>
      <c r="D42">
        <v>13</v>
      </c>
      <c r="E42">
        <v>15</v>
      </c>
      <c r="F42">
        <v>30</v>
      </c>
      <c r="G42">
        <v>59</v>
      </c>
      <c r="H42">
        <v>58</v>
      </c>
      <c r="I42">
        <v>30</v>
      </c>
      <c r="J42">
        <v>30</v>
      </c>
      <c r="K42">
        <v>30</v>
      </c>
      <c r="L42">
        <v>29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f t="shared" si="0"/>
        <v>294</v>
      </c>
      <c r="V42">
        <f t="shared" si="1"/>
        <v>28</v>
      </c>
      <c r="W42">
        <f t="shared" si="2"/>
        <v>266</v>
      </c>
      <c r="X42">
        <f t="shared" si="3"/>
        <v>0</v>
      </c>
      <c r="Y42">
        <f t="shared" si="4"/>
        <v>0</v>
      </c>
      <c r="Z42">
        <f t="shared" si="5"/>
        <v>266</v>
      </c>
      <c r="AA42" t="s">
        <v>74</v>
      </c>
    </row>
    <row r="43" spans="1:27" ht="15">
      <c r="A43">
        <v>3022037</v>
      </c>
      <c r="B43" s="515">
        <v>2037</v>
      </c>
      <c r="C43" t="s">
        <v>349</v>
      </c>
      <c r="D43">
        <v>0</v>
      </c>
      <c r="E43">
        <v>28</v>
      </c>
      <c r="F43">
        <v>60</v>
      </c>
      <c r="G43">
        <v>59</v>
      </c>
      <c r="H43">
        <v>31</v>
      </c>
      <c r="I43">
        <v>30</v>
      </c>
      <c r="J43">
        <v>60</v>
      </c>
      <c r="K43">
        <v>30</v>
      </c>
      <c r="L43">
        <v>30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f t="shared" si="0"/>
        <v>328</v>
      </c>
      <c r="V43">
        <f t="shared" si="1"/>
        <v>28</v>
      </c>
      <c r="W43">
        <f t="shared" si="2"/>
        <v>300</v>
      </c>
      <c r="X43">
        <f t="shared" si="3"/>
        <v>0</v>
      </c>
      <c r="Y43">
        <f t="shared" si="4"/>
        <v>0</v>
      </c>
      <c r="Z43">
        <f t="shared" si="5"/>
        <v>300</v>
      </c>
      <c r="AA43" t="s">
        <v>349</v>
      </c>
    </row>
    <row r="44" spans="1:27" ht="15">
      <c r="A44">
        <v>3022038</v>
      </c>
      <c r="B44" s="515">
        <v>2038</v>
      </c>
      <c r="C44" t="s">
        <v>357</v>
      </c>
      <c r="D44">
        <v>0</v>
      </c>
      <c r="E44">
        <v>43</v>
      </c>
      <c r="F44">
        <v>60</v>
      </c>
      <c r="G44">
        <v>59</v>
      </c>
      <c r="H44">
        <v>60</v>
      </c>
      <c r="I44">
        <v>59</v>
      </c>
      <c r="J44">
        <v>57</v>
      </c>
      <c r="K44">
        <v>52</v>
      </c>
      <c r="L44">
        <v>60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f t="shared" si="0"/>
        <v>450</v>
      </c>
      <c r="V44">
        <f t="shared" si="1"/>
        <v>43</v>
      </c>
      <c r="W44">
        <f t="shared" si="2"/>
        <v>407</v>
      </c>
      <c r="X44">
        <f t="shared" si="3"/>
        <v>0</v>
      </c>
      <c r="Y44">
        <f t="shared" si="4"/>
        <v>0</v>
      </c>
      <c r="Z44">
        <f t="shared" si="5"/>
        <v>407</v>
      </c>
      <c r="AA44" t="s">
        <v>357</v>
      </c>
    </row>
    <row r="45" spans="1:27" ht="15">
      <c r="A45">
        <v>3022041</v>
      </c>
      <c r="B45" s="515">
        <v>2041</v>
      </c>
      <c r="C45" t="s">
        <v>1499</v>
      </c>
      <c r="D45">
        <v>0</v>
      </c>
      <c r="E45">
        <v>0</v>
      </c>
      <c r="F45">
        <v>30</v>
      </c>
      <c r="G45">
        <v>30</v>
      </c>
      <c r="H45">
        <v>30</v>
      </c>
      <c r="I45">
        <v>30</v>
      </c>
      <c r="J45">
        <v>30</v>
      </c>
      <c r="K45">
        <v>29</v>
      </c>
      <c r="L45">
        <v>23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f t="shared" si="0"/>
        <v>202</v>
      </c>
      <c r="V45">
        <f t="shared" si="1"/>
        <v>0</v>
      </c>
      <c r="W45">
        <f t="shared" si="2"/>
        <v>202</v>
      </c>
      <c r="X45">
        <f t="shared" si="3"/>
        <v>0</v>
      </c>
      <c r="Y45">
        <f t="shared" si="4"/>
        <v>0</v>
      </c>
      <c r="Z45">
        <f t="shared" si="5"/>
        <v>202</v>
      </c>
      <c r="AA45" t="s">
        <v>1603</v>
      </c>
    </row>
    <row r="46" spans="1:27" ht="15">
      <c r="A46">
        <v>3022042</v>
      </c>
      <c r="B46" s="515">
        <v>2042</v>
      </c>
      <c r="C46" t="s">
        <v>81</v>
      </c>
      <c r="D46">
        <v>0</v>
      </c>
      <c r="E46">
        <v>0</v>
      </c>
      <c r="F46">
        <v>58</v>
      </c>
      <c r="G46">
        <v>60</v>
      </c>
      <c r="H46">
        <v>30</v>
      </c>
      <c r="I46">
        <v>32</v>
      </c>
      <c r="J46">
        <v>31</v>
      </c>
      <c r="K46">
        <v>60</v>
      </c>
      <c r="L46">
        <v>31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f t="shared" si="0"/>
        <v>302</v>
      </c>
      <c r="V46">
        <f t="shared" si="1"/>
        <v>0</v>
      </c>
      <c r="W46">
        <f t="shared" si="2"/>
        <v>302</v>
      </c>
      <c r="X46">
        <f t="shared" si="3"/>
        <v>0</v>
      </c>
      <c r="Y46">
        <f t="shared" si="4"/>
        <v>0</v>
      </c>
      <c r="Z46">
        <f t="shared" si="5"/>
        <v>302</v>
      </c>
      <c r="AA46" t="s">
        <v>81</v>
      </c>
    </row>
    <row r="47" spans="1:27" ht="15">
      <c r="A47">
        <v>3022043</v>
      </c>
      <c r="B47" s="515">
        <v>2043</v>
      </c>
      <c r="C47" t="s">
        <v>83</v>
      </c>
      <c r="D47">
        <v>0</v>
      </c>
      <c r="E47">
        <v>0</v>
      </c>
      <c r="F47">
        <v>0</v>
      </c>
      <c r="G47">
        <v>0</v>
      </c>
      <c r="H47">
        <v>0</v>
      </c>
      <c r="I47">
        <v>120</v>
      </c>
      <c r="J47">
        <v>88</v>
      </c>
      <c r="K47">
        <v>90</v>
      </c>
      <c r="L47">
        <v>114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f t="shared" si="0"/>
        <v>412</v>
      </c>
      <c r="V47">
        <f t="shared" si="1"/>
        <v>0</v>
      </c>
      <c r="W47">
        <f t="shared" si="2"/>
        <v>412</v>
      </c>
      <c r="X47">
        <f t="shared" si="3"/>
        <v>0</v>
      </c>
      <c r="Y47">
        <f t="shared" si="4"/>
        <v>0</v>
      </c>
      <c r="Z47">
        <f t="shared" si="5"/>
        <v>412</v>
      </c>
      <c r="AA47" t="s">
        <v>83</v>
      </c>
    </row>
    <row r="48" spans="1:27" ht="15">
      <c r="A48">
        <v>3022044</v>
      </c>
      <c r="B48" s="515">
        <v>2044</v>
      </c>
      <c r="C48" t="s">
        <v>82</v>
      </c>
      <c r="D48">
        <v>0</v>
      </c>
      <c r="E48">
        <v>0</v>
      </c>
      <c r="F48">
        <v>120</v>
      </c>
      <c r="G48">
        <v>122</v>
      </c>
      <c r="H48">
        <v>120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f t="shared" si="0"/>
        <v>362</v>
      </c>
      <c r="V48">
        <f t="shared" si="1"/>
        <v>0</v>
      </c>
      <c r="W48">
        <f t="shared" si="2"/>
        <v>362</v>
      </c>
      <c r="X48">
        <f t="shared" si="3"/>
        <v>0</v>
      </c>
      <c r="Y48">
        <f t="shared" si="4"/>
        <v>0</v>
      </c>
      <c r="Z48">
        <f t="shared" si="5"/>
        <v>362</v>
      </c>
      <c r="AA48" t="s">
        <v>82</v>
      </c>
    </row>
    <row r="49" spans="1:27" ht="15">
      <c r="A49">
        <v>3022045</v>
      </c>
      <c r="B49" s="515">
        <v>2045</v>
      </c>
      <c r="C49" t="s">
        <v>84</v>
      </c>
      <c r="D49">
        <v>0</v>
      </c>
      <c r="E49">
        <v>48</v>
      </c>
      <c r="F49">
        <v>31</v>
      </c>
      <c r="G49">
        <v>31</v>
      </c>
      <c r="H49">
        <v>60</v>
      </c>
      <c r="I49">
        <v>30</v>
      </c>
      <c r="J49">
        <v>30</v>
      </c>
      <c r="K49">
        <v>30</v>
      </c>
      <c r="L49">
        <v>29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f t="shared" si="0"/>
        <v>289</v>
      </c>
      <c r="V49">
        <f t="shared" si="1"/>
        <v>48</v>
      </c>
      <c r="W49">
        <f t="shared" si="2"/>
        <v>241</v>
      </c>
      <c r="X49">
        <f t="shared" si="3"/>
        <v>0</v>
      </c>
      <c r="Y49">
        <f t="shared" si="4"/>
        <v>0</v>
      </c>
      <c r="Z49">
        <f t="shared" si="5"/>
        <v>241</v>
      </c>
      <c r="AA49" t="s">
        <v>84</v>
      </c>
    </row>
    <row r="50" spans="1:27" ht="15">
      <c r="A50">
        <v>3022047</v>
      </c>
      <c r="B50" s="515">
        <v>2047</v>
      </c>
      <c r="C50" t="s">
        <v>373</v>
      </c>
      <c r="D50">
        <v>14</v>
      </c>
      <c r="E50">
        <v>57</v>
      </c>
      <c r="F50">
        <v>61</v>
      </c>
      <c r="G50">
        <v>62</v>
      </c>
      <c r="H50">
        <v>60</v>
      </c>
      <c r="I50">
        <v>62</v>
      </c>
      <c r="J50">
        <v>57</v>
      </c>
      <c r="K50">
        <v>60</v>
      </c>
      <c r="L50">
        <v>61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f t="shared" si="0"/>
        <v>494</v>
      </c>
      <c r="V50">
        <f t="shared" si="1"/>
        <v>71</v>
      </c>
      <c r="W50">
        <f t="shared" si="2"/>
        <v>423</v>
      </c>
      <c r="X50">
        <f t="shared" si="3"/>
        <v>0</v>
      </c>
      <c r="Y50">
        <f t="shared" si="4"/>
        <v>0</v>
      </c>
      <c r="Z50">
        <f t="shared" si="5"/>
        <v>423</v>
      </c>
      <c r="AA50" t="s">
        <v>73</v>
      </c>
    </row>
    <row r="51" spans="1:27" ht="15">
      <c r="A51">
        <v>3022048</v>
      </c>
      <c r="B51" s="515">
        <v>2048</v>
      </c>
      <c r="C51" t="s">
        <v>1589</v>
      </c>
      <c r="D51">
        <v>0</v>
      </c>
      <c r="E51">
        <v>28</v>
      </c>
      <c r="F51">
        <v>36</v>
      </c>
      <c r="G51">
        <v>58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f t="shared" si="0"/>
        <v>122</v>
      </c>
      <c r="V51">
        <f t="shared" si="1"/>
        <v>28</v>
      </c>
      <c r="W51">
        <f t="shared" si="2"/>
        <v>94</v>
      </c>
      <c r="X51">
        <f t="shared" si="3"/>
        <v>0</v>
      </c>
      <c r="Y51">
        <f t="shared" si="4"/>
        <v>0</v>
      </c>
      <c r="Z51">
        <f t="shared" si="5"/>
        <v>94</v>
      </c>
      <c r="AA51" t="s">
        <v>1662</v>
      </c>
    </row>
    <row r="52" spans="1:27">
      <c r="A52">
        <v>3022049</v>
      </c>
      <c r="C52" t="s">
        <v>1599</v>
      </c>
      <c r="D52">
        <v>0</v>
      </c>
      <c r="E52">
        <v>0</v>
      </c>
      <c r="F52">
        <v>43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f t="shared" si="0"/>
        <v>43</v>
      </c>
      <c r="V52">
        <f t="shared" si="1"/>
        <v>0</v>
      </c>
      <c r="W52">
        <f t="shared" si="2"/>
        <v>43</v>
      </c>
      <c r="X52">
        <f t="shared" si="3"/>
        <v>0</v>
      </c>
      <c r="Y52">
        <f t="shared" si="4"/>
        <v>0</v>
      </c>
      <c r="Z52">
        <f t="shared" si="5"/>
        <v>43</v>
      </c>
      <c r="AA52" t="s">
        <v>1663</v>
      </c>
    </row>
    <row r="53" spans="1:27" ht="15">
      <c r="A53">
        <v>3022052</v>
      </c>
      <c r="B53" s="515">
        <v>2052</v>
      </c>
      <c r="C53" t="s">
        <v>369</v>
      </c>
      <c r="D53">
        <v>0</v>
      </c>
      <c r="E53">
        <v>27</v>
      </c>
      <c r="F53">
        <v>71</v>
      </c>
      <c r="G53">
        <v>61</v>
      </c>
      <c r="H53">
        <v>77</v>
      </c>
      <c r="I53">
        <v>84</v>
      </c>
      <c r="J53">
        <v>57</v>
      </c>
      <c r="K53">
        <v>55</v>
      </c>
      <c r="L53">
        <v>55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f t="shared" si="0"/>
        <v>487</v>
      </c>
      <c r="V53">
        <f t="shared" si="1"/>
        <v>27</v>
      </c>
      <c r="W53">
        <f t="shared" si="2"/>
        <v>460</v>
      </c>
      <c r="X53">
        <f t="shared" si="3"/>
        <v>0</v>
      </c>
      <c r="Y53">
        <f t="shared" si="4"/>
        <v>0</v>
      </c>
      <c r="Z53">
        <f t="shared" si="5"/>
        <v>460</v>
      </c>
      <c r="AA53" t="s">
        <v>369</v>
      </c>
    </row>
    <row r="54" spans="1:27" ht="15">
      <c r="A54">
        <v>3022054</v>
      </c>
      <c r="B54" s="515">
        <v>2054</v>
      </c>
      <c r="C54" t="s">
        <v>1500</v>
      </c>
      <c r="D54">
        <v>0</v>
      </c>
      <c r="E54">
        <v>0</v>
      </c>
      <c r="F54">
        <v>30</v>
      </c>
      <c r="G54">
        <v>30</v>
      </c>
      <c r="H54">
        <v>31</v>
      </c>
      <c r="I54">
        <v>29</v>
      </c>
      <c r="J54">
        <v>60</v>
      </c>
      <c r="K54">
        <v>30</v>
      </c>
      <c r="L54">
        <v>29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f t="shared" si="0"/>
        <v>239</v>
      </c>
      <c r="V54">
        <f t="shared" si="1"/>
        <v>0</v>
      </c>
      <c r="W54">
        <f t="shared" si="2"/>
        <v>239</v>
      </c>
      <c r="X54">
        <f t="shared" si="3"/>
        <v>0</v>
      </c>
      <c r="Y54">
        <f t="shared" si="4"/>
        <v>0</v>
      </c>
      <c r="Z54">
        <f t="shared" si="5"/>
        <v>239</v>
      </c>
      <c r="AA54" t="s">
        <v>1500</v>
      </c>
    </row>
    <row r="55" spans="1:27" ht="15">
      <c r="A55">
        <v>3022055</v>
      </c>
      <c r="B55" s="515">
        <v>2055</v>
      </c>
      <c r="C55" t="s">
        <v>111</v>
      </c>
      <c r="D55">
        <v>0</v>
      </c>
      <c r="E55">
        <v>18</v>
      </c>
      <c r="F55">
        <v>30</v>
      </c>
      <c r="G55">
        <v>28</v>
      </c>
      <c r="H55">
        <v>26</v>
      </c>
      <c r="I55">
        <v>29</v>
      </c>
      <c r="J55">
        <v>28</v>
      </c>
      <c r="K55">
        <v>43</v>
      </c>
      <c r="L55">
        <v>29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f t="shared" si="0"/>
        <v>231</v>
      </c>
      <c r="V55">
        <f t="shared" si="1"/>
        <v>18</v>
      </c>
      <c r="W55">
        <f t="shared" si="2"/>
        <v>213</v>
      </c>
      <c r="X55">
        <f t="shared" si="3"/>
        <v>0</v>
      </c>
      <c r="Y55">
        <f t="shared" si="4"/>
        <v>0</v>
      </c>
      <c r="Z55">
        <f t="shared" si="5"/>
        <v>213</v>
      </c>
      <c r="AA55" t="s">
        <v>111</v>
      </c>
    </row>
    <row r="56" spans="1:27" ht="15">
      <c r="A56">
        <v>3022057</v>
      </c>
      <c r="B56" s="515">
        <v>2057</v>
      </c>
      <c r="C56" t="s">
        <v>1590</v>
      </c>
      <c r="D56">
        <v>1</v>
      </c>
      <c r="E56">
        <v>50</v>
      </c>
      <c r="F56">
        <v>75</v>
      </c>
      <c r="G56">
        <v>59</v>
      </c>
      <c r="H56">
        <v>56</v>
      </c>
      <c r="I56">
        <v>90</v>
      </c>
      <c r="J56">
        <v>73</v>
      </c>
      <c r="K56">
        <v>77</v>
      </c>
      <c r="L56">
        <v>65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f t="shared" si="0"/>
        <v>546</v>
      </c>
      <c r="V56">
        <f t="shared" si="1"/>
        <v>51</v>
      </c>
      <c r="W56">
        <f t="shared" si="2"/>
        <v>495</v>
      </c>
      <c r="X56">
        <f t="shared" si="3"/>
        <v>0</v>
      </c>
      <c r="Y56">
        <f t="shared" si="4"/>
        <v>0</v>
      </c>
      <c r="Z56">
        <f t="shared" si="5"/>
        <v>495</v>
      </c>
      <c r="AA56" t="s">
        <v>1664</v>
      </c>
    </row>
    <row r="57" spans="1:27" ht="15">
      <c r="A57">
        <v>3022060</v>
      </c>
      <c r="B57" s="515">
        <v>2060</v>
      </c>
      <c r="C57" t="s">
        <v>1502</v>
      </c>
      <c r="D57">
        <v>0</v>
      </c>
      <c r="E57">
        <v>43</v>
      </c>
      <c r="F57">
        <v>60</v>
      </c>
      <c r="G57">
        <v>59</v>
      </c>
      <c r="H57">
        <v>60</v>
      </c>
      <c r="I57">
        <v>58</v>
      </c>
      <c r="J57">
        <v>59</v>
      </c>
      <c r="K57">
        <v>58</v>
      </c>
      <c r="L57">
        <v>56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f t="shared" si="0"/>
        <v>453</v>
      </c>
      <c r="V57">
        <f t="shared" si="1"/>
        <v>43</v>
      </c>
      <c r="W57">
        <f t="shared" si="2"/>
        <v>410</v>
      </c>
      <c r="X57">
        <f t="shared" si="3"/>
        <v>0</v>
      </c>
      <c r="Y57">
        <f t="shared" si="4"/>
        <v>0</v>
      </c>
      <c r="Z57">
        <f t="shared" si="5"/>
        <v>410</v>
      </c>
      <c r="AA57" t="s">
        <v>378</v>
      </c>
    </row>
    <row r="58" spans="1:27" ht="15">
      <c r="A58">
        <v>3022067</v>
      </c>
      <c r="B58" s="515">
        <v>2067</v>
      </c>
      <c r="C58" t="s">
        <v>335</v>
      </c>
      <c r="D58">
        <v>0</v>
      </c>
      <c r="E58">
        <v>0</v>
      </c>
      <c r="F58">
        <v>53</v>
      </c>
      <c r="G58">
        <v>59</v>
      </c>
      <c r="H58">
        <v>29</v>
      </c>
      <c r="I58">
        <v>30</v>
      </c>
      <c r="J58">
        <v>29</v>
      </c>
      <c r="K58">
        <v>30</v>
      </c>
      <c r="L58">
        <v>30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f t="shared" si="0"/>
        <v>260</v>
      </c>
      <c r="V58">
        <f t="shared" si="1"/>
        <v>0</v>
      </c>
      <c r="W58">
        <f t="shared" si="2"/>
        <v>260</v>
      </c>
      <c r="X58">
        <f t="shared" si="3"/>
        <v>0</v>
      </c>
      <c r="Y58">
        <f t="shared" si="4"/>
        <v>0</v>
      </c>
      <c r="Z58">
        <f t="shared" si="5"/>
        <v>260</v>
      </c>
      <c r="AA58" t="s">
        <v>335</v>
      </c>
    </row>
    <row r="59" spans="1:27" ht="15">
      <c r="A59">
        <v>3022070</v>
      </c>
      <c r="B59" s="515">
        <v>2070</v>
      </c>
      <c r="C59" t="s">
        <v>370</v>
      </c>
      <c r="D59">
        <v>21</v>
      </c>
      <c r="E59">
        <v>8</v>
      </c>
      <c r="F59">
        <v>28</v>
      </c>
      <c r="G59">
        <v>30</v>
      </c>
      <c r="H59">
        <v>29</v>
      </c>
      <c r="I59">
        <v>29</v>
      </c>
      <c r="J59">
        <v>30</v>
      </c>
      <c r="K59">
        <v>29</v>
      </c>
      <c r="L59">
        <v>31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f t="shared" si="0"/>
        <v>235</v>
      </c>
      <c r="V59">
        <f t="shared" si="1"/>
        <v>29</v>
      </c>
      <c r="W59">
        <f t="shared" si="2"/>
        <v>206</v>
      </c>
      <c r="X59">
        <f t="shared" si="3"/>
        <v>0</v>
      </c>
      <c r="Y59">
        <f t="shared" si="4"/>
        <v>0</v>
      </c>
      <c r="Z59">
        <f t="shared" si="5"/>
        <v>206</v>
      </c>
      <c r="AA59" t="s">
        <v>370</v>
      </c>
    </row>
    <row r="60" spans="1:27" ht="15">
      <c r="A60">
        <v>3022071</v>
      </c>
      <c r="B60" s="515">
        <v>2071</v>
      </c>
      <c r="C60" t="s">
        <v>1503</v>
      </c>
      <c r="D60">
        <v>0</v>
      </c>
      <c r="E60">
        <v>52</v>
      </c>
      <c r="F60">
        <v>90</v>
      </c>
      <c r="G60">
        <v>90</v>
      </c>
      <c r="H60">
        <v>88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f t="shared" si="0"/>
        <v>320</v>
      </c>
      <c r="V60">
        <f t="shared" si="1"/>
        <v>52</v>
      </c>
      <c r="W60">
        <f t="shared" si="2"/>
        <v>268</v>
      </c>
      <c r="X60">
        <f t="shared" si="3"/>
        <v>0</v>
      </c>
      <c r="Y60">
        <f t="shared" si="4"/>
        <v>0</v>
      </c>
      <c r="Z60">
        <f t="shared" si="5"/>
        <v>268</v>
      </c>
      <c r="AA60" t="s">
        <v>1503</v>
      </c>
    </row>
    <row r="61" spans="1:27" ht="15">
      <c r="A61">
        <v>3022072</v>
      </c>
      <c r="B61" s="515">
        <v>2072</v>
      </c>
      <c r="C61" t="s">
        <v>91</v>
      </c>
      <c r="D61">
        <v>0</v>
      </c>
      <c r="E61">
        <v>0</v>
      </c>
      <c r="F61">
        <v>0</v>
      </c>
      <c r="G61">
        <v>0</v>
      </c>
      <c r="H61">
        <v>0</v>
      </c>
      <c r="I61">
        <v>95</v>
      </c>
      <c r="J61">
        <v>81</v>
      </c>
      <c r="K61">
        <v>85</v>
      </c>
      <c r="L61">
        <v>74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f t="shared" si="0"/>
        <v>335</v>
      </c>
      <c r="V61">
        <f t="shared" si="1"/>
        <v>0</v>
      </c>
      <c r="W61">
        <f t="shared" si="2"/>
        <v>335</v>
      </c>
      <c r="X61">
        <f t="shared" si="3"/>
        <v>0</v>
      </c>
      <c r="Y61">
        <f t="shared" si="4"/>
        <v>0</v>
      </c>
      <c r="Z61">
        <f t="shared" si="5"/>
        <v>335</v>
      </c>
      <c r="AA61" t="s">
        <v>91</v>
      </c>
    </row>
    <row r="62" spans="1:27" ht="15">
      <c r="A62">
        <v>3022073</v>
      </c>
      <c r="B62" s="515">
        <v>2073</v>
      </c>
      <c r="C62" t="s">
        <v>1504</v>
      </c>
      <c r="D62">
        <v>0</v>
      </c>
      <c r="E62">
        <v>0</v>
      </c>
      <c r="F62">
        <v>88</v>
      </c>
      <c r="G62">
        <v>90</v>
      </c>
      <c r="H62">
        <v>92</v>
      </c>
      <c r="I62">
        <v>89</v>
      </c>
      <c r="J62">
        <v>112</v>
      </c>
      <c r="K62">
        <v>91</v>
      </c>
      <c r="L62">
        <v>90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f t="shared" si="0"/>
        <v>652</v>
      </c>
      <c r="V62">
        <f t="shared" si="1"/>
        <v>0</v>
      </c>
      <c r="W62">
        <f t="shared" si="2"/>
        <v>652</v>
      </c>
      <c r="X62">
        <f t="shared" si="3"/>
        <v>0</v>
      </c>
      <c r="Y62">
        <f t="shared" si="4"/>
        <v>0</v>
      </c>
      <c r="Z62">
        <f t="shared" si="5"/>
        <v>652</v>
      </c>
      <c r="AA62" t="s">
        <v>1504</v>
      </c>
    </row>
    <row r="63" spans="1:27" ht="15">
      <c r="A63">
        <v>3022076</v>
      </c>
      <c r="B63" s="515">
        <v>2076</v>
      </c>
      <c r="C63" t="s">
        <v>1505</v>
      </c>
      <c r="D63">
        <v>0</v>
      </c>
      <c r="E63">
        <v>48</v>
      </c>
      <c r="F63">
        <v>58</v>
      </c>
      <c r="G63">
        <v>60</v>
      </c>
      <c r="H63">
        <v>58</v>
      </c>
      <c r="I63">
        <v>55</v>
      </c>
      <c r="J63">
        <v>59</v>
      </c>
      <c r="K63">
        <v>57</v>
      </c>
      <c r="L63">
        <v>88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f t="shared" si="0"/>
        <v>483</v>
      </c>
      <c r="V63">
        <f t="shared" si="1"/>
        <v>48</v>
      </c>
      <c r="W63">
        <f t="shared" si="2"/>
        <v>435</v>
      </c>
      <c r="X63">
        <f t="shared" si="3"/>
        <v>0</v>
      </c>
      <c r="Y63">
        <f t="shared" si="4"/>
        <v>0</v>
      </c>
      <c r="Z63">
        <f t="shared" si="5"/>
        <v>435</v>
      </c>
      <c r="AA63" t="s">
        <v>1505</v>
      </c>
    </row>
    <row r="64" spans="1:27" ht="15">
      <c r="A64">
        <v>3022077</v>
      </c>
      <c r="B64" s="515">
        <v>2077</v>
      </c>
      <c r="C64" t="s">
        <v>374</v>
      </c>
      <c r="D64">
        <v>0</v>
      </c>
      <c r="E64">
        <v>99</v>
      </c>
      <c r="F64">
        <v>121</v>
      </c>
      <c r="G64">
        <v>149</v>
      </c>
      <c r="H64">
        <v>120</v>
      </c>
      <c r="I64">
        <v>92</v>
      </c>
      <c r="J64">
        <v>89</v>
      </c>
      <c r="K64">
        <v>90</v>
      </c>
      <c r="L64">
        <v>62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f t="shared" si="0"/>
        <v>822</v>
      </c>
      <c r="V64">
        <f t="shared" si="1"/>
        <v>99</v>
      </c>
      <c r="W64">
        <f t="shared" si="2"/>
        <v>723</v>
      </c>
      <c r="X64">
        <f t="shared" si="3"/>
        <v>0</v>
      </c>
      <c r="Y64">
        <f t="shared" si="4"/>
        <v>0</v>
      </c>
      <c r="Z64">
        <f t="shared" si="5"/>
        <v>723</v>
      </c>
      <c r="AA64" t="s">
        <v>1665</v>
      </c>
    </row>
    <row r="65" spans="1:27" ht="15">
      <c r="A65">
        <v>3022078</v>
      </c>
      <c r="B65" s="515">
        <v>2078</v>
      </c>
      <c r="C65" t="s">
        <v>88</v>
      </c>
      <c r="D65">
        <v>0</v>
      </c>
      <c r="E65">
        <v>0</v>
      </c>
      <c r="F65">
        <v>51</v>
      </c>
      <c r="G65">
        <v>42</v>
      </c>
      <c r="H65">
        <v>48</v>
      </c>
      <c r="I65">
        <v>31</v>
      </c>
      <c r="J65">
        <v>33</v>
      </c>
      <c r="K65">
        <v>29</v>
      </c>
      <c r="L65">
        <v>31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f t="shared" si="0"/>
        <v>265</v>
      </c>
      <c r="V65">
        <f t="shared" si="1"/>
        <v>0</v>
      </c>
      <c r="W65">
        <f t="shared" si="2"/>
        <v>265</v>
      </c>
      <c r="X65">
        <f t="shared" si="3"/>
        <v>0</v>
      </c>
      <c r="Y65">
        <f t="shared" si="4"/>
        <v>0</v>
      </c>
      <c r="Z65">
        <f t="shared" si="5"/>
        <v>265</v>
      </c>
      <c r="AA65" t="s">
        <v>88</v>
      </c>
    </row>
    <row r="66" spans="1:27" ht="15">
      <c r="A66">
        <v>3022079</v>
      </c>
      <c r="B66" s="515">
        <v>2079</v>
      </c>
      <c r="C66" t="s">
        <v>38</v>
      </c>
      <c r="D66">
        <v>0</v>
      </c>
      <c r="E66">
        <v>54</v>
      </c>
      <c r="F66">
        <v>59</v>
      </c>
      <c r="G66">
        <v>72</v>
      </c>
      <c r="H66">
        <v>60</v>
      </c>
      <c r="I66">
        <v>82</v>
      </c>
      <c r="J66">
        <v>59</v>
      </c>
      <c r="K66">
        <v>62</v>
      </c>
      <c r="L66">
        <v>60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f t="shared" si="0"/>
        <v>508</v>
      </c>
      <c r="V66">
        <f t="shared" si="1"/>
        <v>54</v>
      </c>
      <c r="W66">
        <f t="shared" si="2"/>
        <v>454</v>
      </c>
      <c r="X66">
        <f t="shared" si="3"/>
        <v>0</v>
      </c>
      <c r="Y66">
        <f t="shared" si="4"/>
        <v>0</v>
      </c>
      <c r="Z66">
        <f t="shared" si="5"/>
        <v>454</v>
      </c>
      <c r="AA66" t="s">
        <v>38</v>
      </c>
    </row>
    <row r="67" spans="1:27" ht="15">
      <c r="A67">
        <v>3023300</v>
      </c>
      <c r="B67" s="515">
        <v>3300</v>
      </c>
      <c r="C67" t="s">
        <v>1506</v>
      </c>
      <c r="D67">
        <v>0</v>
      </c>
      <c r="E67">
        <v>0</v>
      </c>
      <c r="F67">
        <v>31</v>
      </c>
      <c r="G67">
        <v>30</v>
      </c>
      <c r="H67">
        <v>30</v>
      </c>
      <c r="I67">
        <v>30</v>
      </c>
      <c r="J67">
        <v>30</v>
      </c>
      <c r="K67">
        <v>30</v>
      </c>
      <c r="L67">
        <v>30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f t="shared" si="0"/>
        <v>211</v>
      </c>
      <c r="V67">
        <f t="shared" si="1"/>
        <v>0</v>
      </c>
      <c r="W67">
        <f t="shared" si="2"/>
        <v>211</v>
      </c>
      <c r="X67">
        <f t="shared" si="3"/>
        <v>0</v>
      </c>
      <c r="Y67">
        <f t="shared" si="4"/>
        <v>0</v>
      </c>
      <c r="Z67">
        <f t="shared" si="5"/>
        <v>211</v>
      </c>
      <c r="AA67" t="s">
        <v>1666</v>
      </c>
    </row>
    <row r="68" spans="1:27" ht="15">
      <c r="A68">
        <v>3023302</v>
      </c>
      <c r="B68" s="515">
        <v>3302</v>
      </c>
      <c r="C68" t="s">
        <v>1507</v>
      </c>
      <c r="D68">
        <v>0</v>
      </c>
      <c r="E68">
        <v>19</v>
      </c>
      <c r="F68">
        <v>30</v>
      </c>
      <c r="G68">
        <v>27</v>
      </c>
      <c r="H68">
        <v>30</v>
      </c>
      <c r="I68">
        <v>30</v>
      </c>
      <c r="J68">
        <v>27</v>
      </c>
      <c r="K68">
        <v>28</v>
      </c>
      <c r="L68">
        <v>29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f t="shared" si="0"/>
        <v>220</v>
      </c>
      <c r="V68">
        <f t="shared" si="1"/>
        <v>19</v>
      </c>
      <c r="W68">
        <f t="shared" si="2"/>
        <v>201</v>
      </c>
      <c r="X68">
        <f t="shared" si="3"/>
        <v>0</v>
      </c>
      <c r="Y68">
        <f t="shared" si="4"/>
        <v>0</v>
      </c>
      <c r="Z68">
        <f t="shared" si="5"/>
        <v>201</v>
      </c>
      <c r="AA68" t="s">
        <v>1507</v>
      </c>
    </row>
    <row r="69" spans="1:27" ht="15">
      <c r="A69">
        <v>3023304</v>
      </c>
      <c r="B69" s="515">
        <v>3304</v>
      </c>
      <c r="C69" t="s">
        <v>1508</v>
      </c>
      <c r="D69">
        <v>0</v>
      </c>
      <c r="E69">
        <v>25</v>
      </c>
      <c r="F69">
        <v>30</v>
      </c>
      <c r="G69">
        <v>31</v>
      </c>
      <c r="H69">
        <v>50</v>
      </c>
      <c r="I69">
        <v>30</v>
      </c>
      <c r="J69">
        <v>32</v>
      </c>
      <c r="K69">
        <v>29</v>
      </c>
      <c r="L69">
        <v>30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f t="shared" si="0"/>
        <v>257</v>
      </c>
      <c r="V69">
        <f t="shared" si="1"/>
        <v>25</v>
      </c>
      <c r="W69">
        <f t="shared" si="2"/>
        <v>232</v>
      </c>
      <c r="X69">
        <f t="shared" si="3"/>
        <v>0</v>
      </c>
      <c r="Y69">
        <f t="shared" si="4"/>
        <v>0</v>
      </c>
      <c r="Z69">
        <f t="shared" si="5"/>
        <v>232</v>
      </c>
      <c r="AA69" t="s">
        <v>1508</v>
      </c>
    </row>
    <row r="70" spans="1:27" ht="15">
      <c r="A70">
        <v>3023305</v>
      </c>
      <c r="B70" s="515">
        <v>3305</v>
      </c>
      <c r="C70" t="s">
        <v>1509</v>
      </c>
      <c r="D70">
        <v>0</v>
      </c>
      <c r="E70">
        <v>0</v>
      </c>
      <c r="F70">
        <v>21</v>
      </c>
      <c r="G70">
        <v>19</v>
      </c>
      <c r="H70">
        <v>20</v>
      </c>
      <c r="I70">
        <v>23</v>
      </c>
      <c r="J70">
        <v>21</v>
      </c>
      <c r="K70">
        <v>24</v>
      </c>
      <c r="L70">
        <v>22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f t="shared" si="0"/>
        <v>150</v>
      </c>
      <c r="V70">
        <f t="shared" si="1"/>
        <v>0</v>
      </c>
      <c r="W70">
        <f t="shared" si="2"/>
        <v>150</v>
      </c>
      <c r="X70">
        <f t="shared" si="3"/>
        <v>0</v>
      </c>
      <c r="Y70">
        <f t="shared" si="4"/>
        <v>0</v>
      </c>
      <c r="Z70">
        <f t="shared" si="5"/>
        <v>150</v>
      </c>
      <c r="AA70" t="s">
        <v>1509</v>
      </c>
    </row>
    <row r="71" spans="1:27" ht="15">
      <c r="A71">
        <v>3023307</v>
      </c>
      <c r="B71" s="515">
        <v>3307</v>
      </c>
      <c r="C71" t="s">
        <v>1510</v>
      </c>
      <c r="D71">
        <v>0</v>
      </c>
      <c r="E71">
        <v>31</v>
      </c>
      <c r="F71">
        <v>30</v>
      </c>
      <c r="G71">
        <v>30</v>
      </c>
      <c r="H71">
        <v>30</v>
      </c>
      <c r="I71">
        <v>30</v>
      </c>
      <c r="J71">
        <v>30</v>
      </c>
      <c r="K71">
        <v>30</v>
      </c>
      <c r="L71">
        <v>30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f t="shared" si="0"/>
        <v>241</v>
      </c>
      <c r="V71">
        <f t="shared" si="1"/>
        <v>31</v>
      </c>
      <c r="W71">
        <f t="shared" si="2"/>
        <v>210</v>
      </c>
      <c r="X71">
        <f t="shared" si="3"/>
        <v>0</v>
      </c>
      <c r="Y71">
        <f t="shared" si="4"/>
        <v>0</v>
      </c>
      <c r="Z71">
        <f t="shared" si="5"/>
        <v>210</v>
      </c>
      <c r="AA71" t="s">
        <v>1510</v>
      </c>
    </row>
    <row r="72" spans="1:27" ht="15">
      <c r="A72">
        <v>3023309</v>
      </c>
      <c r="B72" s="515">
        <v>3309</v>
      </c>
      <c r="C72" t="s">
        <v>1511</v>
      </c>
      <c r="D72">
        <v>0</v>
      </c>
      <c r="E72">
        <v>26</v>
      </c>
      <c r="F72">
        <v>30</v>
      </c>
      <c r="G72">
        <v>30</v>
      </c>
      <c r="H72">
        <v>28</v>
      </c>
      <c r="I72">
        <v>29</v>
      </c>
      <c r="J72">
        <v>29</v>
      </c>
      <c r="K72">
        <v>29</v>
      </c>
      <c r="L72">
        <v>29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f t="shared" si="0"/>
        <v>230</v>
      </c>
      <c r="V72">
        <f t="shared" si="1"/>
        <v>26</v>
      </c>
      <c r="W72">
        <f t="shared" si="2"/>
        <v>204</v>
      </c>
      <c r="X72">
        <f t="shared" si="3"/>
        <v>0</v>
      </c>
      <c r="Y72">
        <f t="shared" si="4"/>
        <v>0</v>
      </c>
      <c r="Z72">
        <f t="shared" si="5"/>
        <v>204</v>
      </c>
      <c r="AA72" t="s">
        <v>1667</v>
      </c>
    </row>
    <row r="73" spans="1:27" ht="15">
      <c r="A73">
        <v>3023311</v>
      </c>
      <c r="B73" s="515">
        <v>3311</v>
      </c>
      <c r="C73" t="s">
        <v>1512</v>
      </c>
      <c r="D73">
        <v>0</v>
      </c>
      <c r="E73">
        <v>52</v>
      </c>
      <c r="F73">
        <v>60</v>
      </c>
      <c r="G73">
        <v>59</v>
      </c>
      <c r="H73">
        <v>60</v>
      </c>
      <c r="I73">
        <v>60</v>
      </c>
      <c r="J73">
        <v>60</v>
      </c>
      <c r="K73">
        <v>60</v>
      </c>
      <c r="L73">
        <v>60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f t="shared" si="0"/>
        <v>471</v>
      </c>
      <c r="V73">
        <f t="shared" si="1"/>
        <v>52</v>
      </c>
      <c r="W73">
        <f t="shared" si="2"/>
        <v>419</v>
      </c>
      <c r="X73">
        <f t="shared" si="3"/>
        <v>0</v>
      </c>
      <c r="Y73">
        <f t="shared" si="4"/>
        <v>0</v>
      </c>
      <c r="Z73">
        <f t="shared" si="5"/>
        <v>419</v>
      </c>
      <c r="AA73" t="s">
        <v>1668</v>
      </c>
    </row>
    <row r="74" spans="1:27" ht="15">
      <c r="A74">
        <v>3023312</v>
      </c>
      <c r="B74" s="515">
        <v>3312</v>
      </c>
      <c r="C74" t="s">
        <v>1513</v>
      </c>
      <c r="D74">
        <v>0</v>
      </c>
      <c r="E74">
        <v>0</v>
      </c>
      <c r="F74">
        <v>30</v>
      </c>
      <c r="G74">
        <v>30</v>
      </c>
      <c r="H74">
        <v>30</v>
      </c>
      <c r="I74">
        <v>32</v>
      </c>
      <c r="J74">
        <v>32</v>
      </c>
      <c r="K74">
        <v>32</v>
      </c>
      <c r="L74">
        <v>30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f t="shared" ref="U74:U132" si="6">SUM(D74:T74)</f>
        <v>216</v>
      </c>
      <c r="V74">
        <f t="shared" ref="V74:V132" si="7">D74+E74</f>
        <v>0</v>
      </c>
      <c r="W74">
        <f t="shared" ref="W74:W132" si="8">SUM(F74:L74)</f>
        <v>216</v>
      </c>
      <c r="X74">
        <f t="shared" ref="X74:X132" si="9">SUM(M74:Q74)</f>
        <v>0</v>
      </c>
      <c r="Y74">
        <f t="shared" ref="Y74:Y132" si="10">SUM(R74:T74)</f>
        <v>0</v>
      </c>
      <c r="Z74">
        <f t="shared" ref="Z74:Z128" si="11">W74+X74</f>
        <v>216</v>
      </c>
      <c r="AA74" t="s">
        <v>1513</v>
      </c>
    </row>
    <row r="75" spans="1:27" ht="15">
      <c r="A75">
        <v>3023313</v>
      </c>
      <c r="B75" s="515">
        <v>3313</v>
      </c>
      <c r="C75" t="s">
        <v>1514</v>
      </c>
      <c r="D75">
        <v>15</v>
      </c>
      <c r="E75">
        <v>15</v>
      </c>
      <c r="F75">
        <v>30</v>
      </c>
      <c r="G75">
        <v>30</v>
      </c>
      <c r="H75">
        <v>30</v>
      </c>
      <c r="I75">
        <v>30</v>
      </c>
      <c r="J75">
        <v>26</v>
      </c>
      <c r="K75">
        <v>30</v>
      </c>
      <c r="L75">
        <v>29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f t="shared" si="6"/>
        <v>235</v>
      </c>
      <c r="V75">
        <f t="shared" si="7"/>
        <v>30</v>
      </c>
      <c r="W75">
        <f t="shared" si="8"/>
        <v>205</v>
      </c>
      <c r="X75">
        <f t="shared" si="9"/>
        <v>0</v>
      </c>
      <c r="Y75">
        <f t="shared" si="10"/>
        <v>0</v>
      </c>
      <c r="Z75">
        <f t="shared" si="11"/>
        <v>205</v>
      </c>
      <c r="AA75" t="s">
        <v>1514</v>
      </c>
    </row>
    <row r="76" spans="1:27" ht="15">
      <c r="A76">
        <v>3023314</v>
      </c>
      <c r="B76" s="515">
        <v>3314</v>
      </c>
      <c r="C76" t="s">
        <v>1515</v>
      </c>
      <c r="D76">
        <v>0</v>
      </c>
      <c r="E76">
        <v>0</v>
      </c>
      <c r="F76">
        <v>30</v>
      </c>
      <c r="G76">
        <v>30</v>
      </c>
      <c r="H76">
        <v>30</v>
      </c>
      <c r="I76">
        <v>30</v>
      </c>
      <c r="J76">
        <v>30</v>
      </c>
      <c r="K76">
        <v>30</v>
      </c>
      <c r="L76">
        <v>28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f t="shared" si="6"/>
        <v>208</v>
      </c>
      <c r="V76">
        <f t="shared" si="7"/>
        <v>0</v>
      </c>
      <c r="W76">
        <f t="shared" si="8"/>
        <v>208</v>
      </c>
      <c r="X76">
        <f t="shared" si="9"/>
        <v>0</v>
      </c>
      <c r="Y76">
        <f t="shared" si="10"/>
        <v>0</v>
      </c>
      <c r="Z76">
        <f t="shared" si="11"/>
        <v>208</v>
      </c>
      <c r="AA76" t="s">
        <v>1515</v>
      </c>
    </row>
    <row r="77" spans="1:27" ht="15">
      <c r="A77">
        <v>3023315</v>
      </c>
      <c r="B77" s="515">
        <v>3315</v>
      </c>
      <c r="C77" t="s">
        <v>1516</v>
      </c>
      <c r="D77">
        <v>0</v>
      </c>
      <c r="E77">
        <v>0</v>
      </c>
      <c r="F77">
        <v>25</v>
      </c>
      <c r="G77">
        <v>30</v>
      </c>
      <c r="H77">
        <v>30</v>
      </c>
      <c r="I77">
        <v>30</v>
      </c>
      <c r="J77">
        <v>29</v>
      </c>
      <c r="K77">
        <v>30</v>
      </c>
      <c r="L77">
        <v>30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f t="shared" si="6"/>
        <v>204</v>
      </c>
      <c r="V77">
        <f t="shared" si="7"/>
        <v>0</v>
      </c>
      <c r="W77">
        <f t="shared" si="8"/>
        <v>204</v>
      </c>
      <c r="X77">
        <f t="shared" si="9"/>
        <v>0</v>
      </c>
      <c r="Y77">
        <f t="shared" si="10"/>
        <v>0</v>
      </c>
      <c r="Z77">
        <f t="shared" si="11"/>
        <v>204</v>
      </c>
      <c r="AA77" t="s">
        <v>1516</v>
      </c>
    </row>
    <row r="78" spans="1:27" ht="15">
      <c r="A78">
        <v>3023316</v>
      </c>
      <c r="B78" s="515">
        <v>3316</v>
      </c>
      <c r="C78" t="s">
        <v>1517</v>
      </c>
      <c r="D78">
        <v>0</v>
      </c>
      <c r="E78">
        <v>0</v>
      </c>
      <c r="F78">
        <v>30</v>
      </c>
      <c r="G78">
        <v>30</v>
      </c>
      <c r="H78">
        <v>30</v>
      </c>
      <c r="I78">
        <v>31</v>
      </c>
      <c r="J78">
        <v>29</v>
      </c>
      <c r="K78">
        <v>30</v>
      </c>
      <c r="L78">
        <v>29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f t="shared" si="6"/>
        <v>209</v>
      </c>
      <c r="V78">
        <f t="shared" si="7"/>
        <v>0</v>
      </c>
      <c r="W78">
        <f t="shared" si="8"/>
        <v>209</v>
      </c>
      <c r="X78">
        <f t="shared" si="9"/>
        <v>0</v>
      </c>
      <c r="Y78">
        <f t="shared" si="10"/>
        <v>0</v>
      </c>
      <c r="Z78">
        <f t="shared" si="11"/>
        <v>209</v>
      </c>
      <c r="AA78" t="s">
        <v>1517</v>
      </c>
    </row>
    <row r="79" spans="1:27" ht="15">
      <c r="A79">
        <v>3023317</v>
      </c>
      <c r="B79" s="515">
        <v>3317</v>
      </c>
      <c r="C79" t="s">
        <v>1518</v>
      </c>
      <c r="D79">
        <v>0</v>
      </c>
      <c r="E79">
        <v>30</v>
      </c>
      <c r="F79">
        <v>30</v>
      </c>
      <c r="G79">
        <v>30</v>
      </c>
      <c r="H79">
        <v>59</v>
      </c>
      <c r="I79">
        <v>30</v>
      </c>
      <c r="J79">
        <v>30</v>
      </c>
      <c r="K79">
        <v>30</v>
      </c>
      <c r="L79">
        <v>30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f t="shared" si="6"/>
        <v>269</v>
      </c>
      <c r="V79">
        <f t="shared" si="7"/>
        <v>30</v>
      </c>
      <c r="W79">
        <f t="shared" si="8"/>
        <v>239</v>
      </c>
      <c r="X79">
        <f t="shared" si="9"/>
        <v>0</v>
      </c>
      <c r="Y79">
        <f t="shared" si="10"/>
        <v>0</v>
      </c>
      <c r="Z79">
        <f t="shared" si="11"/>
        <v>239</v>
      </c>
      <c r="AA79" t="s">
        <v>1669</v>
      </c>
    </row>
    <row r="80" spans="1:27" ht="15">
      <c r="A80">
        <v>3023500</v>
      </c>
      <c r="B80" s="515">
        <v>3500</v>
      </c>
      <c r="C80" t="s">
        <v>1519</v>
      </c>
      <c r="D80">
        <v>0</v>
      </c>
      <c r="E80">
        <v>45</v>
      </c>
      <c r="F80">
        <v>54</v>
      </c>
      <c r="G80">
        <v>59</v>
      </c>
      <c r="H80">
        <v>57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f t="shared" si="6"/>
        <v>215</v>
      </c>
      <c r="V80">
        <f t="shared" si="7"/>
        <v>45</v>
      </c>
      <c r="W80">
        <f t="shared" si="8"/>
        <v>170</v>
      </c>
      <c r="X80">
        <f t="shared" si="9"/>
        <v>0</v>
      </c>
      <c r="Y80">
        <f t="shared" si="10"/>
        <v>0</v>
      </c>
      <c r="Z80">
        <f t="shared" si="11"/>
        <v>170</v>
      </c>
      <c r="AA80" t="s">
        <v>1670</v>
      </c>
    </row>
    <row r="81" spans="1:27" ht="15">
      <c r="A81">
        <v>3023501</v>
      </c>
      <c r="B81" s="515">
        <v>3501</v>
      </c>
      <c r="C81" t="s">
        <v>1520</v>
      </c>
      <c r="D81">
        <v>0</v>
      </c>
      <c r="E81">
        <v>34</v>
      </c>
      <c r="F81">
        <v>30</v>
      </c>
      <c r="G81">
        <v>30</v>
      </c>
      <c r="H81">
        <v>30</v>
      </c>
      <c r="I81">
        <v>31</v>
      </c>
      <c r="J81">
        <v>30</v>
      </c>
      <c r="K81">
        <v>31</v>
      </c>
      <c r="L81">
        <v>30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f t="shared" si="6"/>
        <v>246</v>
      </c>
      <c r="V81">
        <f t="shared" si="7"/>
        <v>34</v>
      </c>
      <c r="W81">
        <f t="shared" si="8"/>
        <v>212</v>
      </c>
      <c r="X81">
        <f t="shared" si="9"/>
        <v>0</v>
      </c>
      <c r="Y81">
        <f t="shared" si="10"/>
        <v>0</v>
      </c>
      <c r="Z81">
        <f t="shared" si="11"/>
        <v>212</v>
      </c>
      <c r="AA81" t="s">
        <v>1520</v>
      </c>
    </row>
    <row r="82" spans="1:27" ht="15">
      <c r="A82">
        <v>3023502</v>
      </c>
      <c r="B82" s="515">
        <v>3502</v>
      </c>
      <c r="C82" t="s">
        <v>1521</v>
      </c>
      <c r="D82">
        <v>0</v>
      </c>
      <c r="E82">
        <v>44</v>
      </c>
      <c r="F82">
        <v>47</v>
      </c>
      <c r="G82">
        <v>44</v>
      </c>
      <c r="H82">
        <v>42</v>
      </c>
      <c r="I82">
        <v>43</v>
      </c>
      <c r="J82">
        <v>45</v>
      </c>
      <c r="K82">
        <v>46</v>
      </c>
      <c r="L82">
        <v>43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f t="shared" si="6"/>
        <v>354</v>
      </c>
      <c r="V82">
        <f t="shared" si="7"/>
        <v>44</v>
      </c>
      <c r="W82">
        <f t="shared" si="8"/>
        <v>310</v>
      </c>
      <c r="X82">
        <f t="shared" si="9"/>
        <v>0</v>
      </c>
      <c r="Y82">
        <f t="shared" si="10"/>
        <v>0</v>
      </c>
      <c r="Z82">
        <f t="shared" si="11"/>
        <v>310</v>
      </c>
      <c r="AA82" t="s">
        <v>1521</v>
      </c>
    </row>
    <row r="83" spans="1:27" ht="15">
      <c r="A83">
        <v>3023504</v>
      </c>
      <c r="B83" s="515">
        <v>3504</v>
      </c>
      <c r="C83" t="s">
        <v>1522</v>
      </c>
      <c r="D83">
        <v>0</v>
      </c>
      <c r="E83">
        <v>43</v>
      </c>
      <c r="F83">
        <v>59</v>
      </c>
      <c r="G83">
        <v>60</v>
      </c>
      <c r="H83">
        <v>60</v>
      </c>
      <c r="I83">
        <v>90</v>
      </c>
      <c r="J83">
        <v>60</v>
      </c>
      <c r="K83">
        <v>60</v>
      </c>
      <c r="L83">
        <v>59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f t="shared" si="6"/>
        <v>491</v>
      </c>
      <c r="V83">
        <f t="shared" si="7"/>
        <v>43</v>
      </c>
      <c r="W83">
        <f t="shared" si="8"/>
        <v>448</v>
      </c>
      <c r="X83">
        <f t="shared" si="9"/>
        <v>0</v>
      </c>
      <c r="Y83">
        <f t="shared" si="10"/>
        <v>0</v>
      </c>
      <c r="Z83">
        <f t="shared" si="11"/>
        <v>448</v>
      </c>
      <c r="AA83" t="s">
        <v>1522</v>
      </c>
    </row>
    <row r="84" spans="1:27" ht="15">
      <c r="A84">
        <v>3023506</v>
      </c>
      <c r="B84" s="515">
        <v>3506</v>
      </c>
      <c r="C84" t="s">
        <v>1523</v>
      </c>
      <c r="D84">
        <v>0</v>
      </c>
      <c r="E84">
        <v>0</v>
      </c>
      <c r="F84">
        <v>45</v>
      </c>
      <c r="G84">
        <v>45</v>
      </c>
      <c r="H84">
        <v>60</v>
      </c>
      <c r="I84">
        <v>45</v>
      </c>
      <c r="J84">
        <v>45</v>
      </c>
      <c r="K84">
        <v>45</v>
      </c>
      <c r="L84">
        <v>45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f t="shared" si="6"/>
        <v>330</v>
      </c>
      <c r="V84">
        <f t="shared" si="7"/>
        <v>0</v>
      </c>
      <c r="W84">
        <f t="shared" si="8"/>
        <v>330</v>
      </c>
      <c r="X84">
        <f t="shared" si="9"/>
        <v>0</v>
      </c>
      <c r="Y84">
        <f t="shared" si="10"/>
        <v>0</v>
      </c>
      <c r="Z84">
        <f t="shared" si="11"/>
        <v>330</v>
      </c>
      <c r="AA84" t="s">
        <v>1523</v>
      </c>
    </row>
    <row r="85" spans="1:27" ht="15">
      <c r="A85">
        <v>3023507</v>
      </c>
      <c r="B85" s="515">
        <v>3507</v>
      </c>
      <c r="C85" t="s">
        <v>1524</v>
      </c>
      <c r="D85">
        <v>0</v>
      </c>
      <c r="E85">
        <v>0</v>
      </c>
      <c r="F85">
        <v>30</v>
      </c>
      <c r="G85">
        <v>30</v>
      </c>
      <c r="H85">
        <v>30</v>
      </c>
      <c r="I85">
        <v>60</v>
      </c>
      <c r="J85">
        <v>31</v>
      </c>
      <c r="K85">
        <v>30</v>
      </c>
      <c r="L85">
        <v>30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f t="shared" si="6"/>
        <v>241</v>
      </c>
      <c r="V85">
        <f t="shared" si="7"/>
        <v>0</v>
      </c>
      <c r="W85">
        <f t="shared" si="8"/>
        <v>241</v>
      </c>
      <c r="X85">
        <f t="shared" si="9"/>
        <v>0</v>
      </c>
      <c r="Y85">
        <f t="shared" si="10"/>
        <v>0</v>
      </c>
      <c r="Z85">
        <f t="shared" si="11"/>
        <v>241</v>
      </c>
      <c r="AA85" t="s">
        <v>1671</v>
      </c>
    </row>
    <row r="86" spans="1:27" ht="15">
      <c r="A86">
        <v>3023509</v>
      </c>
      <c r="B86" s="515">
        <v>3509</v>
      </c>
      <c r="C86" t="s">
        <v>1591</v>
      </c>
      <c r="D86">
        <v>0</v>
      </c>
      <c r="E86">
        <v>52</v>
      </c>
      <c r="F86">
        <v>90</v>
      </c>
      <c r="G86">
        <v>60</v>
      </c>
      <c r="H86">
        <v>60</v>
      </c>
      <c r="I86">
        <v>64</v>
      </c>
      <c r="J86">
        <v>65</v>
      </c>
      <c r="K86">
        <v>64</v>
      </c>
      <c r="L86">
        <v>64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f t="shared" si="6"/>
        <v>519</v>
      </c>
      <c r="V86">
        <f t="shared" si="7"/>
        <v>52</v>
      </c>
      <c r="W86">
        <f t="shared" si="8"/>
        <v>467</v>
      </c>
      <c r="X86">
        <f t="shared" si="9"/>
        <v>0</v>
      </c>
      <c r="Y86">
        <f t="shared" si="10"/>
        <v>0</v>
      </c>
      <c r="Z86">
        <f t="shared" si="11"/>
        <v>467</v>
      </c>
      <c r="AA86" t="s">
        <v>1672</v>
      </c>
    </row>
    <row r="87" spans="1:27" ht="15">
      <c r="A87">
        <v>3023510</v>
      </c>
      <c r="B87" s="515">
        <v>3510</v>
      </c>
      <c r="C87" t="s">
        <v>1527</v>
      </c>
      <c r="D87">
        <v>0</v>
      </c>
      <c r="E87">
        <v>0</v>
      </c>
      <c r="F87">
        <v>60</v>
      </c>
      <c r="G87">
        <v>60</v>
      </c>
      <c r="H87">
        <v>60</v>
      </c>
      <c r="I87">
        <v>60</v>
      </c>
      <c r="J87">
        <v>60</v>
      </c>
      <c r="K87">
        <v>60</v>
      </c>
      <c r="L87">
        <v>59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f t="shared" si="6"/>
        <v>419</v>
      </c>
      <c r="V87">
        <f t="shared" si="7"/>
        <v>0</v>
      </c>
      <c r="W87">
        <f t="shared" si="8"/>
        <v>419</v>
      </c>
      <c r="X87">
        <f t="shared" si="9"/>
        <v>0</v>
      </c>
      <c r="Y87">
        <f t="shared" si="10"/>
        <v>0</v>
      </c>
      <c r="Z87">
        <f t="shared" si="11"/>
        <v>419</v>
      </c>
      <c r="AA87" t="s">
        <v>1527</v>
      </c>
    </row>
    <row r="88" spans="1:27" ht="15">
      <c r="A88">
        <v>3023511</v>
      </c>
      <c r="B88" s="515">
        <v>3511</v>
      </c>
      <c r="C88" t="s">
        <v>1528</v>
      </c>
      <c r="D88">
        <v>0</v>
      </c>
      <c r="E88">
        <v>40</v>
      </c>
      <c r="F88">
        <v>60</v>
      </c>
      <c r="G88">
        <v>61</v>
      </c>
      <c r="H88">
        <v>55</v>
      </c>
      <c r="I88">
        <v>56</v>
      </c>
      <c r="J88">
        <v>56</v>
      </c>
      <c r="K88">
        <v>31</v>
      </c>
      <c r="L88">
        <v>30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f t="shared" si="6"/>
        <v>389</v>
      </c>
      <c r="V88">
        <f t="shared" si="7"/>
        <v>40</v>
      </c>
      <c r="W88">
        <f t="shared" si="8"/>
        <v>349</v>
      </c>
      <c r="X88">
        <f t="shared" si="9"/>
        <v>0</v>
      </c>
      <c r="Y88">
        <f t="shared" si="10"/>
        <v>0</v>
      </c>
      <c r="Z88">
        <f t="shared" si="11"/>
        <v>349</v>
      </c>
      <c r="AA88" t="s">
        <v>1528</v>
      </c>
    </row>
    <row r="89" spans="1:27" ht="15">
      <c r="A89">
        <v>3023512</v>
      </c>
      <c r="B89" s="515">
        <v>3512</v>
      </c>
      <c r="C89" t="s">
        <v>358</v>
      </c>
      <c r="D89">
        <v>0</v>
      </c>
      <c r="E89">
        <v>48</v>
      </c>
      <c r="F89">
        <v>58</v>
      </c>
      <c r="G89">
        <v>57</v>
      </c>
      <c r="H89">
        <v>52</v>
      </c>
      <c r="I89">
        <v>48</v>
      </c>
      <c r="J89">
        <v>69</v>
      </c>
      <c r="K89">
        <v>55</v>
      </c>
      <c r="L89">
        <v>55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f t="shared" si="6"/>
        <v>442</v>
      </c>
      <c r="V89">
        <f t="shared" si="7"/>
        <v>48</v>
      </c>
      <c r="W89">
        <f t="shared" si="8"/>
        <v>394</v>
      </c>
      <c r="X89">
        <f t="shared" si="9"/>
        <v>0</v>
      </c>
      <c r="Y89">
        <f t="shared" si="10"/>
        <v>0</v>
      </c>
      <c r="Z89">
        <f t="shared" si="11"/>
        <v>394</v>
      </c>
      <c r="AA89" t="s">
        <v>1529</v>
      </c>
    </row>
    <row r="90" spans="1:27" ht="15">
      <c r="A90">
        <v>3023513</v>
      </c>
      <c r="B90" s="515">
        <v>3513</v>
      </c>
      <c r="C90" t="s">
        <v>79</v>
      </c>
      <c r="D90">
        <v>0</v>
      </c>
      <c r="E90">
        <v>55</v>
      </c>
      <c r="F90">
        <v>58</v>
      </c>
      <c r="G90">
        <v>53</v>
      </c>
      <c r="H90">
        <v>53</v>
      </c>
      <c r="I90">
        <v>61</v>
      </c>
      <c r="J90">
        <v>52</v>
      </c>
      <c r="K90">
        <v>57</v>
      </c>
      <c r="L90">
        <v>56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f t="shared" si="6"/>
        <v>445</v>
      </c>
      <c r="V90">
        <f t="shared" si="7"/>
        <v>55</v>
      </c>
      <c r="W90">
        <f t="shared" si="8"/>
        <v>390</v>
      </c>
      <c r="X90">
        <f t="shared" si="9"/>
        <v>0</v>
      </c>
      <c r="Y90">
        <f t="shared" si="10"/>
        <v>0</v>
      </c>
      <c r="Z90">
        <f t="shared" si="11"/>
        <v>390</v>
      </c>
      <c r="AA90" t="s">
        <v>79</v>
      </c>
    </row>
    <row r="91" spans="1:27" ht="15">
      <c r="A91">
        <v>3023514</v>
      </c>
      <c r="B91" s="515">
        <v>3514</v>
      </c>
      <c r="C91" t="s">
        <v>1530</v>
      </c>
      <c r="D91">
        <v>0</v>
      </c>
      <c r="E91">
        <v>0</v>
      </c>
      <c r="F91">
        <v>0</v>
      </c>
      <c r="G91">
        <v>0</v>
      </c>
      <c r="H91">
        <v>0</v>
      </c>
      <c r="I91">
        <v>58</v>
      </c>
      <c r="J91">
        <v>54</v>
      </c>
      <c r="K91">
        <v>57</v>
      </c>
      <c r="L91">
        <v>60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f t="shared" si="6"/>
        <v>229</v>
      </c>
      <c r="V91">
        <f t="shared" si="7"/>
        <v>0</v>
      </c>
      <c r="W91">
        <f t="shared" si="8"/>
        <v>229</v>
      </c>
      <c r="X91">
        <f t="shared" si="9"/>
        <v>0</v>
      </c>
      <c r="Y91">
        <f t="shared" si="10"/>
        <v>0</v>
      </c>
      <c r="Z91">
        <f t="shared" si="11"/>
        <v>229</v>
      </c>
      <c r="AA91" t="s">
        <v>1673</v>
      </c>
    </row>
    <row r="92" spans="1:27" ht="15">
      <c r="A92">
        <v>3023515</v>
      </c>
      <c r="B92" s="515">
        <v>3515</v>
      </c>
      <c r="C92" t="s">
        <v>1531</v>
      </c>
      <c r="D92">
        <v>0</v>
      </c>
      <c r="E92">
        <v>28</v>
      </c>
      <c r="F92">
        <v>28</v>
      </c>
      <c r="G92">
        <v>29</v>
      </c>
      <c r="H92">
        <v>28</v>
      </c>
      <c r="I92">
        <v>28</v>
      </c>
      <c r="J92">
        <v>29</v>
      </c>
      <c r="K92">
        <v>29</v>
      </c>
      <c r="L92">
        <v>29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f t="shared" si="6"/>
        <v>228</v>
      </c>
      <c r="V92">
        <f t="shared" si="7"/>
        <v>28</v>
      </c>
      <c r="W92">
        <f t="shared" si="8"/>
        <v>200</v>
      </c>
      <c r="X92">
        <f t="shared" si="9"/>
        <v>0</v>
      </c>
      <c r="Y92">
        <f t="shared" si="10"/>
        <v>0</v>
      </c>
      <c r="Z92">
        <f t="shared" si="11"/>
        <v>200</v>
      </c>
      <c r="AA92" t="s">
        <v>1531</v>
      </c>
    </row>
    <row r="93" spans="1:27" ht="15">
      <c r="A93">
        <v>3023516</v>
      </c>
      <c r="B93" s="515">
        <v>3516</v>
      </c>
      <c r="C93" t="s">
        <v>69</v>
      </c>
      <c r="D93">
        <v>0</v>
      </c>
      <c r="E93">
        <v>29</v>
      </c>
      <c r="F93">
        <v>30</v>
      </c>
      <c r="G93">
        <v>30</v>
      </c>
      <c r="H93">
        <v>29</v>
      </c>
      <c r="I93">
        <v>30</v>
      </c>
      <c r="J93">
        <v>30</v>
      </c>
      <c r="K93">
        <v>28</v>
      </c>
      <c r="L93">
        <v>30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f t="shared" si="6"/>
        <v>236</v>
      </c>
      <c r="V93">
        <f t="shared" si="7"/>
        <v>29</v>
      </c>
      <c r="W93">
        <f t="shared" si="8"/>
        <v>207</v>
      </c>
      <c r="X93">
        <f t="shared" si="9"/>
        <v>0</v>
      </c>
      <c r="Y93">
        <f t="shared" si="10"/>
        <v>0</v>
      </c>
      <c r="Z93">
        <f t="shared" si="11"/>
        <v>207</v>
      </c>
      <c r="AA93" t="s">
        <v>69</v>
      </c>
    </row>
    <row r="94" spans="1:27" ht="15">
      <c r="A94">
        <v>3023518</v>
      </c>
      <c r="B94" s="515">
        <v>3518</v>
      </c>
      <c r="C94" t="s">
        <v>116</v>
      </c>
      <c r="D94">
        <v>0</v>
      </c>
      <c r="E94">
        <v>48</v>
      </c>
      <c r="F94">
        <v>58</v>
      </c>
      <c r="G94">
        <v>60</v>
      </c>
      <c r="H94">
        <v>58</v>
      </c>
      <c r="I94">
        <v>59</v>
      </c>
      <c r="J94">
        <v>59</v>
      </c>
      <c r="K94">
        <v>87</v>
      </c>
      <c r="L94">
        <v>60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f t="shared" si="6"/>
        <v>489</v>
      </c>
      <c r="V94">
        <f t="shared" si="7"/>
        <v>48</v>
      </c>
      <c r="W94">
        <f t="shared" si="8"/>
        <v>441</v>
      </c>
      <c r="X94">
        <f t="shared" si="9"/>
        <v>0</v>
      </c>
      <c r="Y94">
        <f t="shared" si="10"/>
        <v>0</v>
      </c>
      <c r="Z94">
        <f t="shared" si="11"/>
        <v>441</v>
      </c>
      <c r="AA94" t="s">
        <v>116</v>
      </c>
    </row>
    <row r="95" spans="1:27" ht="15">
      <c r="A95">
        <v>3023519</v>
      </c>
      <c r="B95" s="515">
        <v>3519</v>
      </c>
      <c r="C95" t="s">
        <v>41</v>
      </c>
      <c r="D95">
        <v>0</v>
      </c>
      <c r="E95">
        <v>65</v>
      </c>
      <c r="F95">
        <v>88</v>
      </c>
      <c r="G95">
        <v>90</v>
      </c>
      <c r="H95">
        <v>94</v>
      </c>
      <c r="I95">
        <v>94</v>
      </c>
      <c r="J95">
        <v>93</v>
      </c>
      <c r="K95">
        <v>95</v>
      </c>
      <c r="L95">
        <v>67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f t="shared" si="6"/>
        <v>686</v>
      </c>
      <c r="V95">
        <f t="shared" si="7"/>
        <v>65</v>
      </c>
      <c r="W95">
        <f t="shared" si="8"/>
        <v>621</v>
      </c>
      <c r="X95">
        <f t="shared" si="9"/>
        <v>0</v>
      </c>
      <c r="Y95">
        <f t="shared" si="10"/>
        <v>0</v>
      </c>
      <c r="Z95">
        <f t="shared" si="11"/>
        <v>621</v>
      </c>
      <c r="AA95" t="s">
        <v>41</v>
      </c>
    </row>
    <row r="96" spans="1:27" ht="15">
      <c r="A96">
        <v>3023520</v>
      </c>
      <c r="B96" s="515">
        <v>3520</v>
      </c>
      <c r="C96" t="s">
        <v>327</v>
      </c>
      <c r="D96">
        <v>0</v>
      </c>
      <c r="E96">
        <v>0</v>
      </c>
      <c r="F96">
        <v>60</v>
      </c>
      <c r="G96">
        <v>60</v>
      </c>
      <c r="H96">
        <v>60</v>
      </c>
      <c r="I96">
        <v>60</v>
      </c>
      <c r="J96">
        <v>60</v>
      </c>
      <c r="K96">
        <v>61</v>
      </c>
      <c r="L96">
        <v>60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f t="shared" si="6"/>
        <v>421</v>
      </c>
      <c r="V96">
        <f t="shared" si="7"/>
        <v>0</v>
      </c>
      <c r="W96">
        <f t="shared" si="8"/>
        <v>421</v>
      </c>
      <c r="X96">
        <f t="shared" si="9"/>
        <v>0</v>
      </c>
      <c r="Y96">
        <f t="shared" si="10"/>
        <v>0</v>
      </c>
      <c r="Z96">
        <f t="shared" si="11"/>
        <v>421</v>
      </c>
      <c r="AA96" t="s">
        <v>327</v>
      </c>
    </row>
    <row r="97" spans="1:27" ht="15">
      <c r="A97">
        <v>3023521</v>
      </c>
      <c r="B97" s="515">
        <v>3521</v>
      </c>
      <c r="C97" t="s">
        <v>1592</v>
      </c>
      <c r="D97">
        <v>0</v>
      </c>
      <c r="E97">
        <v>37</v>
      </c>
      <c r="F97">
        <v>90</v>
      </c>
      <c r="G97">
        <v>90</v>
      </c>
      <c r="H97">
        <v>90</v>
      </c>
      <c r="I97">
        <v>90</v>
      </c>
      <c r="J97">
        <v>60</v>
      </c>
      <c r="K97">
        <v>60</v>
      </c>
      <c r="L97">
        <v>60</v>
      </c>
      <c r="M97">
        <v>120</v>
      </c>
      <c r="N97">
        <v>120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f t="shared" si="6"/>
        <v>817</v>
      </c>
      <c r="V97">
        <f t="shared" si="7"/>
        <v>37</v>
      </c>
      <c r="W97">
        <f t="shared" si="8"/>
        <v>540</v>
      </c>
      <c r="X97">
        <f t="shared" si="9"/>
        <v>240</v>
      </c>
      <c r="Y97">
        <f t="shared" si="10"/>
        <v>0</v>
      </c>
      <c r="Z97">
        <f t="shared" si="11"/>
        <v>780</v>
      </c>
      <c r="AA97" t="s">
        <v>1674</v>
      </c>
    </row>
    <row r="98" spans="1:27" ht="15">
      <c r="A98">
        <v>3023522</v>
      </c>
      <c r="B98" s="515">
        <v>3522</v>
      </c>
      <c r="C98" t="s">
        <v>337</v>
      </c>
      <c r="D98">
        <v>0</v>
      </c>
      <c r="E98">
        <v>37</v>
      </c>
      <c r="F98">
        <v>59</v>
      </c>
      <c r="G98">
        <v>56</v>
      </c>
      <c r="H98">
        <v>54</v>
      </c>
      <c r="I98">
        <v>58</v>
      </c>
      <c r="J98">
        <v>58</v>
      </c>
      <c r="K98">
        <v>51</v>
      </c>
      <c r="L98">
        <v>51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f t="shared" si="6"/>
        <v>424</v>
      </c>
      <c r="V98">
        <f t="shared" si="7"/>
        <v>37</v>
      </c>
      <c r="W98">
        <f t="shared" si="8"/>
        <v>387</v>
      </c>
      <c r="X98">
        <f t="shared" si="9"/>
        <v>0</v>
      </c>
      <c r="Y98">
        <f t="shared" si="10"/>
        <v>0</v>
      </c>
      <c r="Z98">
        <f t="shared" si="11"/>
        <v>387</v>
      </c>
      <c r="AA98" t="s">
        <v>337</v>
      </c>
    </row>
    <row r="99" spans="1:27" ht="15">
      <c r="A99">
        <v>3023523</v>
      </c>
      <c r="B99" s="515">
        <v>3523</v>
      </c>
      <c r="C99" t="s">
        <v>350</v>
      </c>
      <c r="D99">
        <v>0</v>
      </c>
      <c r="E99">
        <v>54</v>
      </c>
      <c r="F99">
        <v>88</v>
      </c>
      <c r="G99">
        <v>90</v>
      </c>
      <c r="H99">
        <v>90</v>
      </c>
      <c r="I99">
        <v>90</v>
      </c>
      <c r="J99">
        <v>88</v>
      </c>
      <c r="K99">
        <v>60</v>
      </c>
      <c r="L99">
        <v>58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f t="shared" si="6"/>
        <v>618</v>
      </c>
      <c r="V99">
        <f t="shared" si="7"/>
        <v>54</v>
      </c>
      <c r="W99">
        <f t="shared" si="8"/>
        <v>564</v>
      </c>
      <c r="X99">
        <f t="shared" si="9"/>
        <v>0</v>
      </c>
      <c r="Y99">
        <f t="shared" si="10"/>
        <v>0</v>
      </c>
      <c r="Z99">
        <f t="shared" si="11"/>
        <v>564</v>
      </c>
      <c r="AA99" t="s">
        <v>350</v>
      </c>
    </row>
    <row r="100" spans="1:27" ht="15">
      <c r="A100">
        <v>3023524</v>
      </c>
      <c r="B100" s="515">
        <v>3524</v>
      </c>
      <c r="C100" t="s">
        <v>1533</v>
      </c>
      <c r="D100">
        <v>0</v>
      </c>
      <c r="E100">
        <v>30</v>
      </c>
      <c r="F100">
        <v>30</v>
      </c>
      <c r="G100">
        <v>29</v>
      </c>
      <c r="H100">
        <v>30</v>
      </c>
      <c r="I100">
        <v>30</v>
      </c>
      <c r="J100">
        <v>30</v>
      </c>
      <c r="K100">
        <v>31</v>
      </c>
      <c r="L100">
        <v>29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f t="shared" si="6"/>
        <v>239</v>
      </c>
      <c r="V100">
        <f t="shared" si="7"/>
        <v>30</v>
      </c>
      <c r="W100">
        <f t="shared" si="8"/>
        <v>209</v>
      </c>
      <c r="X100">
        <f t="shared" si="9"/>
        <v>0</v>
      </c>
      <c r="Y100">
        <f t="shared" si="10"/>
        <v>0</v>
      </c>
      <c r="Z100">
        <f t="shared" si="11"/>
        <v>209</v>
      </c>
      <c r="AA100" t="s">
        <v>1533</v>
      </c>
    </row>
    <row r="101" spans="1:27" ht="15">
      <c r="A101">
        <v>3024000</v>
      </c>
      <c r="B101" s="515">
        <v>4000</v>
      </c>
      <c r="C101" t="s">
        <v>1534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128</v>
      </c>
      <c r="N101">
        <v>94</v>
      </c>
      <c r="O101">
        <v>85</v>
      </c>
      <c r="P101">
        <v>0</v>
      </c>
      <c r="Q101">
        <v>0</v>
      </c>
      <c r="R101">
        <v>0</v>
      </c>
      <c r="S101">
        <v>0</v>
      </c>
      <c r="T101">
        <v>0</v>
      </c>
      <c r="U101">
        <f t="shared" si="6"/>
        <v>307</v>
      </c>
      <c r="V101">
        <f t="shared" si="7"/>
        <v>0</v>
      </c>
      <c r="W101">
        <f t="shared" si="8"/>
        <v>0</v>
      </c>
      <c r="X101">
        <f t="shared" si="9"/>
        <v>307</v>
      </c>
      <c r="Y101">
        <f t="shared" si="10"/>
        <v>0</v>
      </c>
      <c r="Z101">
        <f t="shared" si="11"/>
        <v>307</v>
      </c>
      <c r="AA101" t="str">
        <f>C101</f>
        <v>St Andrew the Apostle Greek Orthodox School</v>
      </c>
    </row>
    <row r="102" spans="1:27" ht="15">
      <c r="A102">
        <v>3024001</v>
      </c>
      <c r="B102" s="515">
        <v>4001</v>
      </c>
      <c r="C102" t="s">
        <v>1535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150</v>
      </c>
      <c r="N102">
        <v>151</v>
      </c>
      <c r="O102">
        <v>150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f t="shared" si="6"/>
        <v>451</v>
      </c>
      <c r="V102">
        <f t="shared" si="7"/>
        <v>0</v>
      </c>
      <c r="W102">
        <f t="shared" si="8"/>
        <v>0</v>
      </c>
      <c r="X102">
        <f t="shared" si="9"/>
        <v>451</v>
      </c>
      <c r="Y102">
        <f t="shared" si="10"/>
        <v>0</v>
      </c>
      <c r="Z102">
        <f t="shared" si="11"/>
        <v>451</v>
      </c>
      <c r="AA102" t="str">
        <f>C102</f>
        <v>The Archer Academy</v>
      </c>
    </row>
    <row r="103" spans="1:27" ht="15">
      <c r="A103">
        <v>3024003</v>
      </c>
      <c r="B103" s="515">
        <v>4003</v>
      </c>
      <c r="C103" t="s">
        <v>120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162</v>
      </c>
      <c r="N103">
        <v>155</v>
      </c>
      <c r="O103">
        <v>160</v>
      </c>
      <c r="P103">
        <v>157</v>
      </c>
      <c r="Q103">
        <v>159</v>
      </c>
      <c r="R103">
        <v>0</v>
      </c>
      <c r="S103">
        <v>0</v>
      </c>
      <c r="T103">
        <v>0</v>
      </c>
      <c r="U103">
        <f t="shared" si="6"/>
        <v>793</v>
      </c>
      <c r="V103">
        <f t="shared" si="7"/>
        <v>0</v>
      </c>
      <c r="W103">
        <f t="shared" si="8"/>
        <v>0</v>
      </c>
      <c r="X103">
        <f t="shared" si="9"/>
        <v>793</v>
      </c>
      <c r="Y103">
        <f t="shared" si="10"/>
        <v>0</v>
      </c>
      <c r="Z103">
        <f t="shared" si="11"/>
        <v>793</v>
      </c>
      <c r="AA103" t="str">
        <f>C103</f>
        <v>Friern Barnet School</v>
      </c>
    </row>
    <row r="104" spans="1:27" ht="15">
      <c r="A104">
        <v>3024009</v>
      </c>
      <c r="B104" s="515">
        <v>4009</v>
      </c>
      <c r="C104" t="s">
        <v>407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103</v>
      </c>
      <c r="N104">
        <v>94</v>
      </c>
      <c r="O104">
        <v>97</v>
      </c>
      <c r="P104">
        <v>105</v>
      </c>
      <c r="Q104">
        <v>140</v>
      </c>
      <c r="R104">
        <v>20</v>
      </c>
      <c r="S104">
        <v>0</v>
      </c>
      <c r="T104">
        <v>0</v>
      </c>
      <c r="U104">
        <f t="shared" si="6"/>
        <v>559</v>
      </c>
      <c r="V104">
        <f t="shared" si="7"/>
        <v>0</v>
      </c>
      <c r="W104">
        <f t="shared" si="8"/>
        <v>0</v>
      </c>
      <c r="X104">
        <f t="shared" si="9"/>
        <v>539</v>
      </c>
      <c r="Y104">
        <f t="shared" si="10"/>
        <v>20</v>
      </c>
      <c r="Z104">
        <f t="shared" si="11"/>
        <v>539</v>
      </c>
      <c r="AA104" t="str">
        <f>C104</f>
        <v>The Totteridge Academy</v>
      </c>
    </row>
    <row r="105" spans="1:27" ht="15">
      <c r="A105">
        <v>3024012</v>
      </c>
      <c r="B105" s="515">
        <v>4012</v>
      </c>
      <c r="C105" t="s">
        <v>128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121</v>
      </c>
      <c r="N105">
        <v>111</v>
      </c>
      <c r="O105">
        <v>140</v>
      </c>
      <c r="P105">
        <v>146</v>
      </c>
      <c r="Q105">
        <v>147</v>
      </c>
      <c r="R105">
        <v>76</v>
      </c>
      <c r="S105">
        <v>39</v>
      </c>
      <c r="T105">
        <v>0</v>
      </c>
      <c r="U105">
        <f t="shared" si="6"/>
        <v>780</v>
      </c>
      <c r="V105">
        <f t="shared" si="7"/>
        <v>0</v>
      </c>
      <c r="W105">
        <f t="shared" si="8"/>
        <v>0</v>
      </c>
      <c r="X105">
        <f t="shared" si="9"/>
        <v>665</v>
      </c>
      <c r="Y105">
        <f t="shared" si="10"/>
        <v>115</v>
      </c>
      <c r="Z105">
        <f t="shared" si="11"/>
        <v>665</v>
      </c>
      <c r="AA105" t="str">
        <f>C105</f>
        <v>Whitefield School</v>
      </c>
    </row>
    <row r="106" spans="1:27" ht="15">
      <c r="A106">
        <v>3024208</v>
      </c>
      <c r="B106" s="515">
        <v>4208</v>
      </c>
      <c r="C106" t="s">
        <v>123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168</v>
      </c>
      <c r="N106">
        <v>176</v>
      </c>
      <c r="O106">
        <v>178</v>
      </c>
      <c r="P106">
        <v>171</v>
      </c>
      <c r="Q106">
        <v>179</v>
      </c>
      <c r="R106">
        <v>106</v>
      </c>
      <c r="S106">
        <v>94</v>
      </c>
      <c r="T106">
        <v>0</v>
      </c>
      <c r="U106">
        <f t="shared" si="6"/>
        <v>1072</v>
      </c>
      <c r="V106">
        <f t="shared" si="7"/>
        <v>0</v>
      </c>
      <c r="W106">
        <f t="shared" si="8"/>
        <v>0</v>
      </c>
      <c r="X106">
        <f t="shared" si="9"/>
        <v>872</v>
      </c>
      <c r="Y106">
        <f t="shared" si="10"/>
        <v>200</v>
      </c>
      <c r="Z106">
        <f t="shared" si="11"/>
        <v>872</v>
      </c>
      <c r="AA106" t="s">
        <v>123</v>
      </c>
    </row>
    <row r="107" spans="1:27" ht="15">
      <c r="A107">
        <v>3024210</v>
      </c>
      <c r="B107" s="515">
        <v>4210</v>
      </c>
      <c r="C107" t="s">
        <v>1536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179</v>
      </c>
      <c r="N107">
        <v>178</v>
      </c>
      <c r="O107">
        <v>178</v>
      </c>
      <c r="P107">
        <v>175</v>
      </c>
      <c r="Q107">
        <v>179</v>
      </c>
      <c r="R107">
        <v>94</v>
      </c>
      <c r="S107">
        <v>70</v>
      </c>
      <c r="T107">
        <v>0</v>
      </c>
      <c r="U107">
        <f t="shared" si="6"/>
        <v>1053</v>
      </c>
      <c r="V107">
        <f t="shared" si="7"/>
        <v>0</v>
      </c>
      <c r="W107">
        <f t="shared" si="8"/>
        <v>0</v>
      </c>
      <c r="X107">
        <f t="shared" si="9"/>
        <v>889</v>
      </c>
      <c r="Y107">
        <f t="shared" si="10"/>
        <v>164</v>
      </c>
      <c r="Z107">
        <f t="shared" si="11"/>
        <v>889</v>
      </c>
      <c r="AA107" t="s">
        <v>52</v>
      </c>
    </row>
    <row r="108" spans="1:27" ht="15">
      <c r="A108">
        <v>3024211</v>
      </c>
      <c r="B108" s="515">
        <v>4211</v>
      </c>
      <c r="C108" t="s">
        <v>381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97</v>
      </c>
      <c r="N108">
        <v>113</v>
      </c>
      <c r="O108">
        <v>125</v>
      </c>
      <c r="P108">
        <v>139</v>
      </c>
      <c r="Q108">
        <v>143</v>
      </c>
      <c r="R108">
        <v>131</v>
      </c>
      <c r="S108">
        <v>87</v>
      </c>
      <c r="T108">
        <v>0</v>
      </c>
      <c r="U108">
        <f t="shared" si="6"/>
        <v>835</v>
      </c>
      <c r="V108">
        <f t="shared" si="7"/>
        <v>0</v>
      </c>
      <c r="W108">
        <f t="shared" si="8"/>
        <v>0</v>
      </c>
      <c r="X108">
        <f t="shared" si="9"/>
        <v>617</v>
      </c>
      <c r="Y108">
        <f t="shared" si="10"/>
        <v>218</v>
      </c>
      <c r="Z108">
        <f t="shared" si="11"/>
        <v>617</v>
      </c>
      <c r="AA108" t="s">
        <v>381</v>
      </c>
    </row>
    <row r="109" spans="1:27" ht="15">
      <c r="A109">
        <v>3024212</v>
      </c>
      <c r="B109" s="515">
        <v>4212</v>
      </c>
      <c r="C109" t="s">
        <v>1537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209</v>
      </c>
      <c r="N109">
        <v>209</v>
      </c>
      <c r="O109">
        <v>210</v>
      </c>
      <c r="P109">
        <v>209</v>
      </c>
      <c r="Q109">
        <v>210</v>
      </c>
      <c r="R109">
        <v>163</v>
      </c>
      <c r="S109">
        <v>117</v>
      </c>
      <c r="T109">
        <v>12</v>
      </c>
      <c r="U109">
        <f t="shared" si="6"/>
        <v>1339</v>
      </c>
      <c r="V109">
        <f t="shared" si="7"/>
        <v>0</v>
      </c>
      <c r="W109">
        <f t="shared" si="8"/>
        <v>0</v>
      </c>
      <c r="X109">
        <f t="shared" si="9"/>
        <v>1047</v>
      </c>
      <c r="Y109">
        <f t="shared" si="10"/>
        <v>292</v>
      </c>
      <c r="Z109">
        <f t="shared" si="11"/>
        <v>1047</v>
      </c>
      <c r="AA109" t="s">
        <v>1537</v>
      </c>
    </row>
    <row r="110" spans="1:27" ht="15">
      <c r="A110">
        <v>3024215</v>
      </c>
      <c r="B110" s="515">
        <v>4215</v>
      </c>
      <c r="C110" t="s">
        <v>1538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209</v>
      </c>
      <c r="N110">
        <v>209</v>
      </c>
      <c r="O110">
        <v>209</v>
      </c>
      <c r="P110">
        <v>208</v>
      </c>
      <c r="Q110">
        <v>181</v>
      </c>
      <c r="R110">
        <v>112</v>
      </c>
      <c r="S110">
        <v>0</v>
      </c>
      <c r="T110">
        <v>0</v>
      </c>
      <c r="U110">
        <f t="shared" si="6"/>
        <v>1128</v>
      </c>
      <c r="V110">
        <f t="shared" si="7"/>
        <v>0</v>
      </c>
      <c r="W110">
        <f t="shared" si="8"/>
        <v>0</v>
      </c>
      <c r="X110">
        <f t="shared" si="9"/>
        <v>1016</v>
      </c>
      <c r="Y110">
        <f t="shared" si="10"/>
        <v>112</v>
      </c>
      <c r="Z110">
        <f t="shared" si="11"/>
        <v>1016</v>
      </c>
      <c r="AA110" t="s">
        <v>1675</v>
      </c>
    </row>
    <row r="111" spans="1:27" ht="15">
      <c r="A111">
        <v>3024752</v>
      </c>
      <c r="B111" s="515">
        <v>4752</v>
      </c>
      <c r="C111" t="s">
        <v>385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100</v>
      </c>
      <c r="N111">
        <v>100</v>
      </c>
      <c r="O111">
        <v>100</v>
      </c>
      <c r="P111">
        <v>93</v>
      </c>
      <c r="Q111">
        <v>92</v>
      </c>
      <c r="R111">
        <v>135</v>
      </c>
      <c r="S111">
        <v>124</v>
      </c>
      <c r="T111">
        <v>0</v>
      </c>
      <c r="U111">
        <f t="shared" si="6"/>
        <v>744</v>
      </c>
      <c r="V111">
        <f t="shared" si="7"/>
        <v>0</v>
      </c>
      <c r="W111">
        <f t="shared" si="8"/>
        <v>0</v>
      </c>
      <c r="X111">
        <f t="shared" si="9"/>
        <v>485</v>
      </c>
      <c r="Y111">
        <f t="shared" si="10"/>
        <v>259</v>
      </c>
      <c r="Z111">
        <f t="shared" si="11"/>
        <v>485</v>
      </c>
      <c r="AA111" t="s">
        <v>1676</v>
      </c>
    </row>
    <row r="112" spans="1:27" ht="15">
      <c r="A112">
        <v>3025200</v>
      </c>
      <c r="B112" s="515">
        <v>5200</v>
      </c>
      <c r="C112" t="s">
        <v>59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85</v>
      </c>
      <c r="J112">
        <v>89</v>
      </c>
      <c r="K112">
        <v>79</v>
      </c>
      <c r="L112">
        <v>90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f t="shared" si="6"/>
        <v>343</v>
      </c>
      <c r="V112">
        <f t="shared" si="7"/>
        <v>0</v>
      </c>
      <c r="W112">
        <f t="shared" si="8"/>
        <v>343</v>
      </c>
      <c r="X112">
        <f t="shared" si="9"/>
        <v>0</v>
      </c>
      <c r="Y112">
        <f t="shared" si="10"/>
        <v>0</v>
      </c>
      <c r="Z112">
        <f t="shared" si="11"/>
        <v>343</v>
      </c>
      <c r="AA112" t="s">
        <v>59</v>
      </c>
    </row>
    <row r="113" spans="1:27" ht="15">
      <c r="A113">
        <v>3025201</v>
      </c>
      <c r="B113" s="515">
        <v>5201</v>
      </c>
      <c r="C113" t="s">
        <v>355</v>
      </c>
      <c r="D113">
        <v>0</v>
      </c>
      <c r="E113">
        <v>27</v>
      </c>
      <c r="F113">
        <v>57</v>
      </c>
      <c r="G113">
        <v>61</v>
      </c>
      <c r="H113">
        <v>59</v>
      </c>
      <c r="I113">
        <v>60</v>
      </c>
      <c r="J113">
        <v>60</v>
      </c>
      <c r="K113">
        <v>60</v>
      </c>
      <c r="L113">
        <v>61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f t="shared" si="6"/>
        <v>445</v>
      </c>
      <c r="V113">
        <f t="shared" si="7"/>
        <v>27</v>
      </c>
      <c r="W113">
        <f t="shared" si="8"/>
        <v>418</v>
      </c>
      <c r="X113">
        <f t="shared" si="9"/>
        <v>0</v>
      </c>
      <c r="Y113">
        <f t="shared" si="10"/>
        <v>0</v>
      </c>
      <c r="Z113">
        <f t="shared" si="11"/>
        <v>418</v>
      </c>
      <c r="AA113" t="s">
        <v>355</v>
      </c>
    </row>
    <row r="114" spans="1:27" ht="15">
      <c r="A114">
        <v>3025400</v>
      </c>
      <c r="B114" s="515">
        <v>5400</v>
      </c>
      <c r="C114" t="s">
        <v>122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201</v>
      </c>
      <c r="N114">
        <v>203</v>
      </c>
      <c r="O114">
        <v>204</v>
      </c>
      <c r="P114">
        <v>204</v>
      </c>
      <c r="Q114">
        <v>207</v>
      </c>
      <c r="R114">
        <v>123</v>
      </c>
      <c r="S114">
        <v>101</v>
      </c>
      <c r="T114">
        <v>0</v>
      </c>
      <c r="U114">
        <f t="shared" si="6"/>
        <v>1243</v>
      </c>
      <c r="V114">
        <f t="shared" si="7"/>
        <v>0</v>
      </c>
      <c r="W114">
        <f t="shared" si="8"/>
        <v>0</v>
      </c>
      <c r="X114">
        <f t="shared" si="9"/>
        <v>1019</v>
      </c>
      <c r="Y114">
        <f t="shared" si="10"/>
        <v>224</v>
      </c>
      <c r="Z114">
        <f t="shared" si="11"/>
        <v>1019</v>
      </c>
      <c r="AA114" t="s">
        <v>122</v>
      </c>
    </row>
    <row r="115" spans="1:27" ht="15">
      <c r="A115">
        <v>3025401</v>
      </c>
      <c r="B115" s="515">
        <v>5401</v>
      </c>
      <c r="C115" t="s">
        <v>1539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180</v>
      </c>
      <c r="N115">
        <v>180</v>
      </c>
      <c r="O115">
        <v>178</v>
      </c>
      <c r="P115">
        <v>180</v>
      </c>
      <c r="Q115">
        <v>180</v>
      </c>
      <c r="R115">
        <v>147</v>
      </c>
      <c r="S115">
        <v>144</v>
      </c>
      <c r="T115">
        <v>0</v>
      </c>
      <c r="U115">
        <f t="shared" si="6"/>
        <v>1189</v>
      </c>
      <c r="V115">
        <f t="shared" si="7"/>
        <v>0</v>
      </c>
      <c r="W115">
        <f t="shared" si="8"/>
        <v>0</v>
      </c>
      <c r="X115">
        <f t="shared" si="9"/>
        <v>898</v>
      </c>
      <c r="Y115">
        <f t="shared" si="10"/>
        <v>291</v>
      </c>
      <c r="Z115">
        <f t="shared" si="11"/>
        <v>898</v>
      </c>
      <c r="AA115" t="s">
        <v>1677</v>
      </c>
    </row>
    <row r="116" spans="1:27" ht="15">
      <c r="A116">
        <v>3025402</v>
      </c>
      <c r="B116" s="515">
        <v>5402</v>
      </c>
      <c r="C116" t="s">
        <v>408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243</v>
      </c>
      <c r="N116">
        <v>240</v>
      </c>
      <c r="O116">
        <v>239</v>
      </c>
      <c r="P116">
        <v>242</v>
      </c>
      <c r="Q116">
        <v>268</v>
      </c>
      <c r="R116">
        <v>236</v>
      </c>
      <c r="S116">
        <v>171</v>
      </c>
      <c r="T116">
        <v>0</v>
      </c>
      <c r="U116">
        <f t="shared" si="6"/>
        <v>1639</v>
      </c>
      <c r="V116">
        <f t="shared" si="7"/>
        <v>0</v>
      </c>
      <c r="W116">
        <f t="shared" si="8"/>
        <v>0</v>
      </c>
      <c r="X116">
        <f t="shared" si="9"/>
        <v>1232</v>
      </c>
      <c r="Y116">
        <f t="shared" si="10"/>
        <v>407</v>
      </c>
      <c r="Z116">
        <f t="shared" si="11"/>
        <v>1232</v>
      </c>
      <c r="AA116" t="s">
        <v>408</v>
      </c>
    </row>
    <row r="117" spans="1:27" ht="15">
      <c r="A117">
        <v>3025403</v>
      </c>
      <c r="B117" s="515">
        <v>5403</v>
      </c>
      <c r="C117" t="s">
        <v>1541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78</v>
      </c>
      <c r="R117">
        <v>0</v>
      </c>
      <c r="S117">
        <v>0</v>
      </c>
      <c r="T117">
        <v>0</v>
      </c>
      <c r="U117">
        <f t="shared" si="6"/>
        <v>78</v>
      </c>
      <c r="V117">
        <f t="shared" si="7"/>
        <v>0</v>
      </c>
      <c r="W117">
        <f t="shared" si="8"/>
        <v>0</v>
      </c>
      <c r="X117">
        <f t="shared" si="9"/>
        <v>78</v>
      </c>
      <c r="Y117">
        <f t="shared" si="10"/>
        <v>0</v>
      </c>
      <c r="Z117">
        <f t="shared" si="11"/>
        <v>78</v>
      </c>
      <c r="AA117" t="s">
        <v>1541</v>
      </c>
    </row>
    <row r="118" spans="1:27" ht="15">
      <c r="A118">
        <v>3025404</v>
      </c>
      <c r="B118" s="515">
        <v>5404</v>
      </c>
      <c r="C118" t="s">
        <v>1542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95</v>
      </c>
      <c r="N118">
        <v>96</v>
      </c>
      <c r="O118">
        <v>95</v>
      </c>
      <c r="P118">
        <v>96</v>
      </c>
      <c r="Q118">
        <v>96</v>
      </c>
      <c r="R118">
        <v>165</v>
      </c>
      <c r="S118">
        <v>125</v>
      </c>
      <c r="T118">
        <v>0</v>
      </c>
      <c r="U118">
        <f t="shared" si="6"/>
        <v>768</v>
      </c>
      <c r="V118">
        <f t="shared" si="7"/>
        <v>0</v>
      </c>
      <c r="W118">
        <f t="shared" si="8"/>
        <v>0</v>
      </c>
      <c r="X118">
        <f t="shared" si="9"/>
        <v>478</v>
      </c>
      <c r="Y118">
        <f t="shared" si="10"/>
        <v>290</v>
      </c>
      <c r="Z118">
        <f t="shared" si="11"/>
        <v>478</v>
      </c>
      <c r="AA118" t="s">
        <v>1542</v>
      </c>
    </row>
    <row r="119" spans="1:27" ht="15">
      <c r="A119">
        <v>3025405</v>
      </c>
      <c r="B119" s="515">
        <v>5405</v>
      </c>
      <c r="C119" t="s">
        <v>119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178</v>
      </c>
      <c r="N119">
        <v>175</v>
      </c>
      <c r="O119">
        <v>180</v>
      </c>
      <c r="P119">
        <v>150</v>
      </c>
      <c r="Q119">
        <v>176</v>
      </c>
      <c r="R119">
        <v>166</v>
      </c>
      <c r="S119">
        <v>133</v>
      </c>
      <c r="T119">
        <v>0</v>
      </c>
      <c r="U119">
        <f t="shared" si="6"/>
        <v>1158</v>
      </c>
      <c r="V119">
        <f t="shared" si="7"/>
        <v>0</v>
      </c>
      <c r="W119">
        <f t="shared" si="8"/>
        <v>0</v>
      </c>
      <c r="X119">
        <f t="shared" si="9"/>
        <v>859</v>
      </c>
      <c r="Y119">
        <f t="shared" si="10"/>
        <v>299</v>
      </c>
      <c r="Z119">
        <f t="shared" si="11"/>
        <v>859</v>
      </c>
      <c r="AA119" t="s">
        <v>119</v>
      </c>
    </row>
    <row r="120" spans="1:27" ht="15">
      <c r="A120">
        <v>3025406</v>
      </c>
      <c r="B120" s="515">
        <v>5406</v>
      </c>
      <c r="C120" t="s">
        <v>409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232</v>
      </c>
      <c r="N120">
        <v>231</v>
      </c>
      <c r="O120">
        <v>232</v>
      </c>
      <c r="P120">
        <v>224</v>
      </c>
      <c r="Q120">
        <v>223</v>
      </c>
      <c r="R120">
        <v>214</v>
      </c>
      <c r="S120">
        <v>164</v>
      </c>
      <c r="T120">
        <v>0</v>
      </c>
      <c r="U120">
        <f t="shared" si="6"/>
        <v>1520</v>
      </c>
      <c r="V120">
        <f t="shared" si="7"/>
        <v>0</v>
      </c>
      <c r="W120">
        <f t="shared" si="8"/>
        <v>0</v>
      </c>
      <c r="X120">
        <f t="shared" si="9"/>
        <v>1142</v>
      </c>
      <c r="Y120">
        <f t="shared" si="10"/>
        <v>378</v>
      </c>
      <c r="Z120">
        <f t="shared" si="11"/>
        <v>1142</v>
      </c>
      <c r="AA120" t="s">
        <v>409</v>
      </c>
    </row>
    <row r="121" spans="1:27" ht="15">
      <c r="A121">
        <v>3025407</v>
      </c>
      <c r="B121" s="515">
        <v>5407</v>
      </c>
      <c r="C121" t="s">
        <v>1543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182</v>
      </c>
      <c r="N121">
        <v>180</v>
      </c>
      <c r="O121">
        <v>180</v>
      </c>
      <c r="P121">
        <v>179</v>
      </c>
      <c r="Q121">
        <v>180</v>
      </c>
      <c r="R121">
        <v>127</v>
      </c>
      <c r="S121">
        <v>90</v>
      </c>
      <c r="T121">
        <v>0</v>
      </c>
      <c r="U121">
        <f t="shared" si="6"/>
        <v>1118</v>
      </c>
      <c r="V121">
        <f t="shared" si="7"/>
        <v>0</v>
      </c>
      <c r="W121">
        <f t="shared" si="8"/>
        <v>0</v>
      </c>
      <c r="X121">
        <f t="shared" si="9"/>
        <v>901</v>
      </c>
      <c r="Y121">
        <f t="shared" si="10"/>
        <v>217</v>
      </c>
      <c r="Z121">
        <f t="shared" si="11"/>
        <v>901</v>
      </c>
      <c r="AA121" t="s">
        <v>1543</v>
      </c>
    </row>
    <row r="122" spans="1:27" ht="15">
      <c r="A122">
        <v>3025408</v>
      </c>
      <c r="B122" s="515">
        <v>5408</v>
      </c>
      <c r="C122" t="s">
        <v>380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79</v>
      </c>
      <c r="N122">
        <v>94</v>
      </c>
      <c r="O122">
        <v>82</v>
      </c>
      <c r="P122">
        <v>115</v>
      </c>
      <c r="Q122">
        <v>122</v>
      </c>
      <c r="R122">
        <v>86</v>
      </c>
      <c r="S122">
        <v>86</v>
      </c>
      <c r="T122">
        <v>30</v>
      </c>
      <c r="U122">
        <f t="shared" si="6"/>
        <v>694</v>
      </c>
      <c r="V122">
        <f t="shared" si="7"/>
        <v>0</v>
      </c>
      <c r="W122">
        <f t="shared" si="8"/>
        <v>0</v>
      </c>
      <c r="X122">
        <f t="shared" si="9"/>
        <v>492</v>
      </c>
      <c r="Y122">
        <f t="shared" si="10"/>
        <v>202</v>
      </c>
      <c r="Z122">
        <f t="shared" si="11"/>
        <v>492</v>
      </c>
      <c r="AA122" t="s">
        <v>1544</v>
      </c>
    </row>
    <row r="123" spans="1:27" ht="15">
      <c r="A123">
        <v>3025409</v>
      </c>
      <c r="B123" s="515">
        <v>5409</v>
      </c>
      <c r="C123" t="s">
        <v>121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176</v>
      </c>
      <c r="N123">
        <v>165</v>
      </c>
      <c r="O123">
        <v>169</v>
      </c>
      <c r="P123">
        <v>156</v>
      </c>
      <c r="Q123">
        <v>167</v>
      </c>
      <c r="R123">
        <v>151</v>
      </c>
      <c r="S123">
        <v>111</v>
      </c>
      <c r="T123">
        <v>0</v>
      </c>
      <c r="U123">
        <f t="shared" si="6"/>
        <v>1095</v>
      </c>
      <c r="V123">
        <f t="shared" si="7"/>
        <v>0</v>
      </c>
      <c r="W123">
        <f t="shared" si="8"/>
        <v>0</v>
      </c>
      <c r="X123">
        <f t="shared" si="9"/>
        <v>833</v>
      </c>
      <c r="Y123">
        <f t="shared" si="10"/>
        <v>262</v>
      </c>
      <c r="Z123">
        <f t="shared" si="11"/>
        <v>833</v>
      </c>
      <c r="AA123" t="s">
        <v>121</v>
      </c>
    </row>
    <row r="124" spans="1:27" ht="15">
      <c r="A124">
        <v>3025427</v>
      </c>
      <c r="B124" s="515">
        <v>5427</v>
      </c>
      <c r="C124" t="s">
        <v>1545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186</v>
      </c>
      <c r="N124">
        <v>184</v>
      </c>
      <c r="O124">
        <v>188</v>
      </c>
      <c r="P124">
        <v>188</v>
      </c>
      <c r="Q124">
        <v>186</v>
      </c>
      <c r="R124">
        <v>153</v>
      </c>
      <c r="S124">
        <v>24</v>
      </c>
      <c r="T124">
        <v>0</v>
      </c>
      <c r="U124">
        <f t="shared" si="6"/>
        <v>1109</v>
      </c>
      <c r="V124">
        <f t="shared" si="7"/>
        <v>0</v>
      </c>
      <c r="W124">
        <f t="shared" si="8"/>
        <v>0</v>
      </c>
      <c r="X124">
        <f t="shared" si="9"/>
        <v>932</v>
      </c>
      <c r="Y124">
        <f t="shared" si="10"/>
        <v>177</v>
      </c>
      <c r="Z124">
        <f t="shared" si="11"/>
        <v>932</v>
      </c>
      <c r="AA124" t="s">
        <v>404</v>
      </c>
    </row>
    <row r="125" spans="1:27" ht="15">
      <c r="A125">
        <v>3025948</v>
      </c>
      <c r="B125" s="515">
        <v>5948</v>
      </c>
      <c r="C125" t="s">
        <v>1546</v>
      </c>
      <c r="D125">
        <v>0</v>
      </c>
      <c r="E125">
        <v>26</v>
      </c>
      <c r="F125">
        <v>30</v>
      </c>
      <c r="G125">
        <v>30</v>
      </c>
      <c r="H125">
        <v>30</v>
      </c>
      <c r="I125">
        <v>29</v>
      </c>
      <c r="J125">
        <v>28</v>
      </c>
      <c r="K125">
        <v>27</v>
      </c>
      <c r="L125">
        <v>26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f t="shared" si="6"/>
        <v>226</v>
      </c>
      <c r="V125">
        <f t="shared" si="7"/>
        <v>26</v>
      </c>
      <c r="W125">
        <f t="shared" si="8"/>
        <v>200</v>
      </c>
      <c r="X125">
        <f t="shared" si="9"/>
        <v>0</v>
      </c>
      <c r="Y125">
        <f t="shared" si="10"/>
        <v>0</v>
      </c>
      <c r="Z125">
        <f t="shared" si="11"/>
        <v>200</v>
      </c>
      <c r="AA125" t="s">
        <v>1546</v>
      </c>
    </row>
    <row r="126" spans="1:27" ht="15">
      <c r="A126">
        <v>3025949</v>
      </c>
      <c r="B126" s="515">
        <v>5949</v>
      </c>
      <c r="C126" t="s">
        <v>78</v>
      </c>
      <c r="D126">
        <v>0</v>
      </c>
      <c r="E126">
        <v>52</v>
      </c>
      <c r="F126">
        <v>53</v>
      </c>
      <c r="G126">
        <v>60</v>
      </c>
      <c r="H126">
        <v>57</v>
      </c>
      <c r="I126">
        <v>29</v>
      </c>
      <c r="J126">
        <v>31</v>
      </c>
      <c r="K126">
        <v>29</v>
      </c>
      <c r="L126">
        <v>44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f t="shared" si="6"/>
        <v>355</v>
      </c>
      <c r="V126">
        <f t="shared" si="7"/>
        <v>52</v>
      </c>
      <c r="W126">
        <f t="shared" si="8"/>
        <v>303</v>
      </c>
      <c r="X126">
        <f t="shared" si="9"/>
        <v>0</v>
      </c>
      <c r="Y126">
        <f t="shared" si="10"/>
        <v>0</v>
      </c>
      <c r="Z126">
        <f t="shared" si="11"/>
        <v>303</v>
      </c>
      <c r="AA126" t="s">
        <v>78</v>
      </c>
    </row>
    <row r="127" spans="1:27" ht="15">
      <c r="A127">
        <v>3026905</v>
      </c>
      <c r="B127" s="515">
        <v>6905</v>
      </c>
      <c r="C127" t="s">
        <v>434</v>
      </c>
      <c r="D127">
        <v>0</v>
      </c>
      <c r="E127">
        <v>0</v>
      </c>
      <c r="F127">
        <v>23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204</v>
      </c>
      <c r="N127">
        <v>187</v>
      </c>
      <c r="O127">
        <v>215</v>
      </c>
      <c r="P127">
        <v>214</v>
      </c>
      <c r="Q127">
        <v>215</v>
      </c>
      <c r="R127">
        <v>256</v>
      </c>
      <c r="S127">
        <v>134</v>
      </c>
      <c r="T127">
        <v>10</v>
      </c>
      <c r="U127">
        <f t="shared" si="6"/>
        <v>1458</v>
      </c>
      <c r="V127">
        <f t="shared" si="7"/>
        <v>0</v>
      </c>
      <c r="W127">
        <f t="shared" si="8"/>
        <v>23</v>
      </c>
      <c r="X127">
        <f t="shared" si="9"/>
        <v>1035</v>
      </c>
      <c r="Y127">
        <f t="shared" si="10"/>
        <v>400</v>
      </c>
      <c r="Z127">
        <f t="shared" si="11"/>
        <v>1058</v>
      </c>
      <c r="AA127" t="s">
        <v>434</v>
      </c>
    </row>
    <row r="128" spans="1:27" ht="15">
      <c r="A128">
        <v>3026906</v>
      </c>
      <c r="B128" s="515">
        <v>6906</v>
      </c>
      <c r="C128" t="s">
        <v>435</v>
      </c>
      <c r="D128">
        <v>0</v>
      </c>
      <c r="E128">
        <v>0</v>
      </c>
      <c r="F128">
        <v>60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181</v>
      </c>
      <c r="N128">
        <v>182</v>
      </c>
      <c r="O128">
        <v>184</v>
      </c>
      <c r="P128">
        <v>181</v>
      </c>
      <c r="Q128">
        <v>176</v>
      </c>
      <c r="R128">
        <v>114</v>
      </c>
      <c r="S128">
        <v>83</v>
      </c>
      <c r="T128">
        <v>0</v>
      </c>
      <c r="U128">
        <f t="shared" si="6"/>
        <v>1161</v>
      </c>
      <c r="V128">
        <f t="shared" si="7"/>
        <v>0</v>
      </c>
      <c r="W128">
        <f t="shared" si="8"/>
        <v>60</v>
      </c>
      <c r="X128">
        <f t="shared" si="9"/>
        <v>904</v>
      </c>
      <c r="Y128">
        <f t="shared" si="10"/>
        <v>197</v>
      </c>
      <c r="Z128">
        <f t="shared" si="11"/>
        <v>964</v>
      </c>
      <c r="AA128" t="s">
        <v>435</v>
      </c>
    </row>
    <row r="129" spans="1:31" ht="15">
      <c r="A129" s="694">
        <v>3027000</v>
      </c>
      <c r="B129" s="515">
        <v>7000</v>
      </c>
      <c r="C129" s="694" t="s">
        <v>1547</v>
      </c>
      <c r="D129" s="694">
        <v>0</v>
      </c>
      <c r="E129" s="694">
        <v>0</v>
      </c>
      <c r="F129" s="694">
        <v>0</v>
      </c>
      <c r="G129" s="694">
        <v>0</v>
      </c>
      <c r="H129" s="694">
        <v>0</v>
      </c>
      <c r="I129" s="694">
        <v>0</v>
      </c>
      <c r="J129" s="694">
        <v>0</v>
      </c>
      <c r="K129" s="694">
        <v>0</v>
      </c>
      <c r="L129" s="694">
        <v>0</v>
      </c>
      <c r="M129" s="694">
        <v>23</v>
      </c>
      <c r="N129" s="694">
        <v>15</v>
      </c>
      <c r="O129" s="694">
        <v>24</v>
      </c>
      <c r="P129" s="694">
        <v>25</v>
      </c>
      <c r="Q129" s="694">
        <v>21</v>
      </c>
      <c r="R129" s="694">
        <v>23</v>
      </c>
      <c r="S129" s="694">
        <v>11</v>
      </c>
      <c r="T129" s="694">
        <v>23</v>
      </c>
      <c r="U129" s="694">
        <f t="shared" si="6"/>
        <v>165</v>
      </c>
      <c r="V129" s="694">
        <f t="shared" si="7"/>
        <v>0</v>
      </c>
      <c r="W129" s="694">
        <f t="shared" si="8"/>
        <v>0</v>
      </c>
      <c r="X129" s="694">
        <f t="shared" si="9"/>
        <v>108</v>
      </c>
      <c r="Y129" s="694">
        <f t="shared" si="10"/>
        <v>57</v>
      </c>
      <c r="Z129" s="694"/>
      <c r="AA129" s="694" t="str">
        <f>C129</f>
        <v>Oak Lodge Special School</v>
      </c>
      <c r="AB129" s="694"/>
      <c r="AC129" s="694"/>
      <c r="AD129" s="694"/>
      <c r="AE129" s="694"/>
    </row>
    <row r="130" spans="1:31" ht="15">
      <c r="A130" s="694">
        <v>3027005</v>
      </c>
      <c r="B130" s="515">
        <v>7005</v>
      </c>
      <c r="C130" s="694" t="s">
        <v>130</v>
      </c>
      <c r="D130" s="694">
        <v>0</v>
      </c>
      <c r="E130" s="694">
        <v>0</v>
      </c>
      <c r="F130" s="694">
        <v>15</v>
      </c>
      <c r="G130" s="694">
        <v>9</v>
      </c>
      <c r="H130" s="694">
        <v>9</v>
      </c>
      <c r="I130" s="694">
        <v>17</v>
      </c>
      <c r="J130" s="694">
        <v>19</v>
      </c>
      <c r="K130" s="694">
        <v>16</v>
      </c>
      <c r="L130" s="694">
        <v>13</v>
      </c>
      <c r="M130" s="694">
        <v>0</v>
      </c>
      <c r="N130" s="694">
        <v>0</v>
      </c>
      <c r="O130" s="694">
        <v>0</v>
      </c>
      <c r="P130" s="694">
        <v>0</v>
      </c>
      <c r="Q130" s="694">
        <v>0</v>
      </c>
      <c r="R130" s="694">
        <v>0</v>
      </c>
      <c r="S130" s="694">
        <v>0</v>
      </c>
      <c r="T130" s="694">
        <v>0</v>
      </c>
      <c r="U130" s="694">
        <f t="shared" si="6"/>
        <v>98</v>
      </c>
      <c r="V130" s="694">
        <f t="shared" si="7"/>
        <v>0</v>
      </c>
      <c r="W130" s="694">
        <f t="shared" si="8"/>
        <v>98</v>
      </c>
      <c r="X130" s="694">
        <f t="shared" si="9"/>
        <v>0</v>
      </c>
      <c r="Y130" s="694">
        <f t="shared" si="10"/>
        <v>0</v>
      </c>
      <c r="Z130" s="694"/>
      <c r="AA130" s="694" t="str">
        <f>C130</f>
        <v>Northway School</v>
      </c>
      <c r="AB130" s="694"/>
      <c r="AC130" s="694"/>
      <c r="AD130" s="694"/>
      <c r="AE130" s="694"/>
    </row>
    <row r="131" spans="1:31" ht="15">
      <c r="A131" s="694">
        <v>3027009</v>
      </c>
      <c r="B131" s="515">
        <v>7009</v>
      </c>
      <c r="C131" s="694" t="s">
        <v>132</v>
      </c>
      <c r="D131" s="694">
        <v>28</v>
      </c>
      <c r="E131" s="694">
        <v>14</v>
      </c>
      <c r="F131" s="694">
        <v>12</v>
      </c>
      <c r="G131" s="694">
        <v>17</v>
      </c>
      <c r="H131" s="694">
        <v>12</v>
      </c>
      <c r="I131" s="694">
        <v>7</v>
      </c>
      <c r="J131" s="694">
        <v>12</v>
      </c>
      <c r="K131" s="694">
        <v>11</v>
      </c>
      <c r="L131" s="694">
        <v>9</v>
      </c>
      <c r="M131" s="694">
        <v>0</v>
      </c>
      <c r="N131" s="694">
        <v>0</v>
      </c>
      <c r="O131" s="694">
        <v>0</v>
      </c>
      <c r="P131" s="694">
        <v>0</v>
      </c>
      <c r="Q131" s="694">
        <v>0</v>
      </c>
      <c r="R131" s="694">
        <v>0</v>
      </c>
      <c r="S131" s="694">
        <v>0</v>
      </c>
      <c r="T131" s="694">
        <v>0</v>
      </c>
      <c r="U131" s="694">
        <f t="shared" si="6"/>
        <v>122</v>
      </c>
      <c r="V131" s="694">
        <f t="shared" si="7"/>
        <v>42</v>
      </c>
      <c r="W131" s="694">
        <f t="shared" si="8"/>
        <v>80</v>
      </c>
      <c r="X131" s="694">
        <f t="shared" si="9"/>
        <v>0</v>
      </c>
      <c r="Y131" s="694">
        <f t="shared" si="10"/>
        <v>0</v>
      </c>
      <c r="Z131" s="694"/>
      <c r="AA131" s="694" t="str">
        <f>C131</f>
        <v>Oakleigh School</v>
      </c>
      <c r="AB131" s="694"/>
      <c r="AC131" s="694"/>
      <c r="AD131" s="694"/>
      <c r="AE131" s="694"/>
    </row>
    <row r="132" spans="1:31" ht="15">
      <c r="A132" s="694">
        <v>3027010</v>
      </c>
      <c r="B132" s="515">
        <v>7010</v>
      </c>
      <c r="C132" s="694" t="s">
        <v>129</v>
      </c>
      <c r="D132" s="694">
        <v>0</v>
      </c>
      <c r="E132" s="694">
        <v>0</v>
      </c>
      <c r="F132" s="694">
        <v>0</v>
      </c>
      <c r="G132" s="694">
        <v>0</v>
      </c>
      <c r="H132" s="694">
        <v>0</v>
      </c>
      <c r="I132" s="694">
        <v>0</v>
      </c>
      <c r="J132" s="694">
        <v>0</v>
      </c>
      <c r="K132" s="694">
        <v>0</v>
      </c>
      <c r="L132" s="694">
        <v>0</v>
      </c>
      <c r="M132" s="694">
        <v>6</v>
      </c>
      <c r="N132" s="694">
        <v>9</v>
      </c>
      <c r="O132" s="694">
        <v>7</v>
      </c>
      <c r="P132" s="694">
        <v>12</v>
      </c>
      <c r="Q132" s="694">
        <v>9</v>
      </c>
      <c r="R132" s="694">
        <v>11</v>
      </c>
      <c r="S132" s="694">
        <v>12</v>
      </c>
      <c r="T132" s="694">
        <v>5</v>
      </c>
      <c r="U132" s="694">
        <f t="shared" si="6"/>
        <v>71</v>
      </c>
      <c r="V132" s="694">
        <f t="shared" si="7"/>
        <v>0</v>
      </c>
      <c r="W132" s="694">
        <f t="shared" si="8"/>
        <v>0</v>
      </c>
      <c r="X132" s="694">
        <f t="shared" si="9"/>
        <v>43</v>
      </c>
      <c r="Y132" s="694">
        <f t="shared" si="10"/>
        <v>28</v>
      </c>
      <c r="Z132" s="694"/>
      <c r="AA132" s="694" t="str">
        <f>C132</f>
        <v>Mapledown School</v>
      </c>
      <c r="AB132" s="694"/>
      <c r="AC132" s="694"/>
      <c r="AD132" s="694"/>
      <c r="AE132" s="694"/>
    </row>
    <row r="133" spans="1:31">
      <c r="F133" t="str">
        <f t="shared" ref="F133:Q133" si="12">F8</f>
        <v>R</v>
      </c>
      <c r="G133" t="str">
        <f t="shared" si="12"/>
        <v>1</v>
      </c>
      <c r="H133" t="str">
        <f t="shared" si="12"/>
        <v>2</v>
      </c>
      <c r="I133" t="str">
        <f t="shared" si="12"/>
        <v>3</v>
      </c>
      <c r="J133" t="str">
        <f t="shared" si="12"/>
        <v>4</v>
      </c>
      <c r="K133" t="str">
        <f t="shared" si="12"/>
        <v>5</v>
      </c>
      <c r="L133" t="str">
        <f t="shared" si="12"/>
        <v>6</v>
      </c>
      <c r="M133" t="str">
        <f t="shared" si="12"/>
        <v>7</v>
      </c>
      <c r="N133" t="str">
        <f t="shared" si="12"/>
        <v>8</v>
      </c>
      <c r="O133" t="str">
        <f t="shared" si="12"/>
        <v>9</v>
      </c>
      <c r="P133" t="str">
        <f t="shared" si="12"/>
        <v>10</v>
      </c>
      <c r="Q133" t="str">
        <f t="shared" si="12"/>
        <v>11</v>
      </c>
    </row>
    <row r="134" spans="1:31">
      <c r="C134" s="695"/>
      <c r="E134" s="695">
        <v>41913</v>
      </c>
      <c r="F134">
        <v>4284</v>
      </c>
      <c r="G134">
        <v>4300</v>
      </c>
      <c r="H134">
        <v>4373</v>
      </c>
      <c r="I134">
        <v>4052</v>
      </c>
      <c r="J134">
        <v>3912</v>
      </c>
      <c r="K134">
        <v>3844</v>
      </c>
      <c r="L134">
        <v>3620</v>
      </c>
      <c r="M134">
        <v>3817</v>
      </c>
      <c r="N134">
        <v>3778</v>
      </c>
      <c r="O134">
        <v>3568</v>
      </c>
      <c r="P134">
        <v>3737</v>
      </c>
      <c r="Q134">
        <v>3680</v>
      </c>
    </row>
    <row r="135" spans="1:31">
      <c r="C135" s="696" t="s">
        <v>1678</v>
      </c>
      <c r="E135" s="695">
        <v>42278</v>
      </c>
      <c r="F135">
        <f t="shared" ref="F135:Q135" si="13">SUM(F9:F132)</f>
        <v>4433</v>
      </c>
      <c r="G135">
        <f t="shared" si="13"/>
        <v>4395</v>
      </c>
      <c r="H135">
        <f t="shared" si="13"/>
        <v>4289</v>
      </c>
      <c r="I135">
        <f t="shared" si="13"/>
        <v>4308</v>
      </c>
      <c r="J135">
        <f t="shared" si="13"/>
        <v>4070</v>
      </c>
      <c r="K135">
        <f t="shared" si="13"/>
        <v>3925</v>
      </c>
      <c r="L135">
        <f t="shared" si="13"/>
        <v>3833</v>
      </c>
      <c r="M135">
        <f t="shared" si="13"/>
        <v>3913</v>
      </c>
      <c r="N135">
        <f t="shared" si="13"/>
        <v>3857</v>
      </c>
      <c r="O135">
        <f t="shared" si="13"/>
        <v>3825</v>
      </c>
      <c r="P135">
        <f t="shared" si="13"/>
        <v>3591</v>
      </c>
      <c r="Q135">
        <f t="shared" si="13"/>
        <v>3785</v>
      </c>
    </row>
    <row r="137" spans="1:31">
      <c r="A137" s="571"/>
      <c r="B137" s="571"/>
      <c r="C137" s="571"/>
      <c r="D137" s="571">
        <f>SUM(D15:D128)</f>
        <v>119</v>
      </c>
      <c r="E137" s="571">
        <f t="shared" ref="E137:W137" si="14">SUM(E15:E128)</f>
        <v>2304</v>
      </c>
      <c r="F137" s="571">
        <f>SUM(F15:F128)</f>
        <v>4405</v>
      </c>
      <c r="G137" s="571">
        <f t="shared" si="14"/>
        <v>4367</v>
      </c>
      <c r="H137" s="571">
        <f t="shared" si="14"/>
        <v>4267</v>
      </c>
      <c r="I137" s="571">
        <f t="shared" si="14"/>
        <v>4284</v>
      </c>
      <c r="J137" s="571">
        <f t="shared" si="14"/>
        <v>4038</v>
      </c>
      <c r="K137" s="571">
        <f t="shared" si="14"/>
        <v>3898</v>
      </c>
      <c r="L137" s="571">
        <f t="shared" si="14"/>
        <v>3811</v>
      </c>
      <c r="M137" s="571">
        <f t="shared" si="14"/>
        <v>3883</v>
      </c>
      <c r="N137" s="571">
        <f t="shared" si="14"/>
        <v>3827</v>
      </c>
      <c r="O137" s="571">
        <f t="shared" si="14"/>
        <v>3778</v>
      </c>
      <c r="P137" s="571">
        <f t="shared" si="14"/>
        <v>3532</v>
      </c>
      <c r="Q137" s="571">
        <f t="shared" si="14"/>
        <v>3704</v>
      </c>
      <c r="R137" s="571">
        <f t="shared" si="14"/>
        <v>2775</v>
      </c>
      <c r="S137" s="571">
        <f t="shared" si="14"/>
        <v>1897</v>
      </c>
      <c r="T137" s="571">
        <f t="shared" si="14"/>
        <v>52</v>
      </c>
      <c r="U137" s="571">
        <f t="shared" si="14"/>
        <v>54941</v>
      </c>
      <c r="V137" s="571">
        <f t="shared" si="14"/>
        <v>2423</v>
      </c>
      <c r="W137" s="571">
        <f t="shared" si="14"/>
        <v>29070</v>
      </c>
      <c r="X137" s="571"/>
      <c r="Y137" s="571"/>
      <c r="Z137" s="571"/>
      <c r="AA137" s="571"/>
      <c r="AB137" s="571"/>
      <c r="AC137" s="571"/>
      <c r="AD137" s="571"/>
      <c r="AE137" s="571"/>
    </row>
    <row r="138" spans="1:31">
      <c r="A138">
        <v>0</v>
      </c>
    </row>
    <row r="139" spans="1:31">
      <c r="A139">
        <v>3024004</v>
      </c>
      <c r="M139">
        <v>48</v>
      </c>
      <c r="N139">
        <v>41</v>
      </c>
      <c r="O139">
        <v>39</v>
      </c>
      <c r="P139">
        <v>35</v>
      </c>
      <c r="Q139">
        <v>40</v>
      </c>
      <c r="R139">
        <v>8</v>
      </c>
      <c r="S139">
        <v>25</v>
      </c>
      <c r="T139">
        <v>0</v>
      </c>
    </row>
    <row r="140" spans="1:31">
      <c r="A140">
        <v>3029999</v>
      </c>
    </row>
    <row r="141" spans="1:31">
      <c r="A141" t="s">
        <v>1679</v>
      </c>
    </row>
    <row r="142" spans="1:31" ht="15">
      <c r="A142" s="697" t="s">
        <v>1680</v>
      </c>
      <c r="B142" s="697"/>
    </row>
    <row r="143" spans="1:31" ht="15">
      <c r="A143" s="697" t="s">
        <v>1681</v>
      </c>
      <c r="B143" s="697"/>
    </row>
    <row r="144" spans="1:31">
      <c r="A144">
        <v>3024002</v>
      </c>
    </row>
    <row r="145" spans="1:2">
      <c r="A145">
        <v>3022222</v>
      </c>
    </row>
    <row r="146" spans="1:2">
      <c r="A146">
        <v>3024005</v>
      </c>
    </row>
    <row r="147" spans="1:2">
      <c r="A147">
        <v>3024006</v>
      </c>
    </row>
    <row r="148" spans="1:2">
      <c r="A148">
        <v>3024007</v>
      </c>
    </row>
    <row r="149" spans="1:2">
      <c r="A149">
        <v>3024008</v>
      </c>
    </row>
    <row r="150" spans="1:2">
      <c r="A150">
        <v>3022051</v>
      </c>
    </row>
    <row r="151" spans="1:2">
      <c r="A151" s="698">
        <v>3022050</v>
      </c>
      <c r="B151" s="698"/>
    </row>
    <row r="152" spans="1:2">
      <c r="A152" s="698" t="s">
        <v>1682</v>
      </c>
      <c r="B152" s="698"/>
    </row>
  </sheetData>
  <mergeCells count="2">
    <mergeCell ref="C2:N3"/>
    <mergeCell ref="A5:E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4" sqref="J34"/>
    </sheetView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K110"/>
  <sheetViews>
    <sheetView zoomScaleNormal="100" workbookViewId="0">
      <pane xSplit="6" ySplit="4" topLeftCell="G23" activePane="bottomRight" state="frozen"/>
      <selection pane="topRight" activeCell="G1" sqref="G1"/>
      <selection pane="bottomLeft" activeCell="A5" sqref="A5"/>
      <selection pane="bottomRight" activeCell="G110" sqref="G110"/>
    </sheetView>
  </sheetViews>
  <sheetFormatPr defaultRowHeight="12.75"/>
  <cols>
    <col min="2" max="2" width="35.42578125" bestFit="1" customWidth="1"/>
    <col min="3" max="6" width="13.42578125" bestFit="1" customWidth="1"/>
    <col min="7" max="7" width="14.5703125" bestFit="1" customWidth="1"/>
    <col min="8" max="8" width="12.42578125" bestFit="1" customWidth="1"/>
    <col min="9" max="9" width="13.5703125" bestFit="1" customWidth="1"/>
    <col min="10" max="10" width="4.85546875" bestFit="1" customWidth="1"/>
    <col min="11" max="11" width="13.5703125" bestFit="1" customWidth="1"/>
    <col min="12" max="12" width="12.42578125" bestFit="1" customWidth="1"/>
    <col min="13" max="13" width="10.85546875" bestFit="1" customWidth="1"/>
    <col min="14" max="15" width="12.42578125" bestFit="1" customWidth="1"/>
    <col min="16" max="17" width="10.85546875" bestFit="1" customWidth="1"/>
    <col min="18" max="19" width="12.42578125" bestFit="1" customWidth="1"/>
    <col min="20" max="20" width="9.85546875" bestFit="1" customWidth="1"/>
    <col min="21" max="21" width="12.42578125" bestFit="1" customWidth="1"/>
    <col min="22" max="22" width="10.85546875" bestFit="1" customWidth="1"/>
    <col min="23" max="23" width="12.42578125" bestFit="1" customWidth="1"/>
    <col min="24" max="24" width="12.85546875" bestFit="1" customWidth="1"/>
    <col min="25" max="25" width="10.28515625" bestFit="1" customWidth="1"/>
    <col min="26" max="26" width="12.85546875" bestFit="1" customWidth="1"/>
    <col min="27" max="28" width="11.85546875" bestFit="1" customWidth="1"/>
    <col min="29" max="29" width="10.28515625" bestFit="1" customWidth="1"/>
    <col min="30" max="33" width="11.85546875" bestFit="1" customWidth="1"/>
    <col min="34" max="34" width="10.28515625" bestFit="1" customWidth="1"/>
    <col min="35" max="35" width="11.85546875" bestFit="1" customWidth="1"/>
    <col min="36" max="36" width="10.28515625" bestFit="1" customWidth="1"/>
    <col min="37" max="37" width="11.85546875" bestFit="1" customWidth="1"/>
    <col min="38" max="38" width="10.28515625" bestFit="1" customWidth="1"/>
    <col min="39" max="39" width="11.85546875" bestFit="1" customWidth="1"/>
    <col min="40" max="40" width="10.28515625" bestFit="1" customWidth="1"/>
    <col min="41" max="43" width="11.85546875" bestFit="1" customWidth="1"/>
    <col min="44" max="44" width="10.28515625" bestFit="1" customWidth="1"/>
    <col min="45" max="45" width="11.85546875" bestFit="1" customWidth="1"/>
    <col min="46" max="47" width="10.28515625" bestFit="1" customWidth="1"/>
    <col min="48" max="51" width="11.85546875" bestFit="1" customWidth="1"/>
    <col min="52" max="52" width="4.85546875" bestFit="1" customWidth="1"/>
    <col min="53" max="54" width="11.85546875" bestFit="1" customWidth="1"/>
    <col min="55" max="55" width="10.28515625" bestFit="1" customWidth="1"/>
    <col min="56" max="57" width="10.85546875" bestFit="1" customWidth="1"/>
    <col min="58" max="58" width="12.42578125" bestFit="1" customWidth="1"/>
    <col min="59" max="59" width="8" bestFit="1" customWidth="1"/>
    <col min="60" max="60" width="5.42578125" bestFit="1" customWidth="1"/>
    <col min="61" max="61" width="11.7109375" bestFit="1" customWidth="1"/>
    <col min="62" max="62" width="10.140625" bestFit="1" customWidth="1"/>
    <col min="63" max="63" width="11.7109375" bestFit="1" customWidth="1"/>
  </cols>
  <sheetData>
    <row r="3" spans="1:63">
      <c r="A3" s="621" t="s">
        <v>218</v>
      </c>
      <c r="B3" s="622"/>
      <c r="C3" s="621" t="s">
        <v>386</v>
      </c>
      <c r="D3" s="622"/>
      <c r="E3" s="622"/>
      <c r="F3" s="415"/>
      <c r="G3" s="623" t="s">
        <v>216</v>
      </c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5"/>
      <c r="X3" s="626" t="s">
        <v>217</v>
      </c>
      <c r="Y3" s="627"/>
      <c r="Z3" s="627"/>
      <c r="AA3" s="627"/>
      <c r="AB3" s="627"/>
      <c r="AC3" s="627"/>
      <c r="AD3" s="627"/>
      <c r="AE3" s="627"/>
      <c r="AF3" s="627"/>
      <c r="AG3" s="627"/>
      <c r="AH3" s="627"/>
      <c r="AI3" s="627"/>
      <c r="AJ3" s="627"/>
      <c r="AK3" s="627"/>
      <c r="AL3" s="627"/>
      <c r="AM3" s="627"/>
      <c r="AN3" s="627"/>
      <c r="AO3" s="627"/>
      <c r="AP3" s="627"/>
      <c r="AQ3" s="627"/>
      <c r="AR3" s="627"/>
      <c r="AS3" s="627"/>
      <c r="AT3" s="627"/>
      <c r="AU3" s="627"/>
      <c r="AV3" s="627"/>
      <c r="AW3" s="627"/>
      <c r="AX3" s="627"/>
      <c r="AY3" s="627"/>
      <c r="AZ3" s="627"/>
      <c r="BA3" s="627"/>
      <c r="BB3" s="627"/>
      <c r="BC3" s="628"/>
      <c r="BD3" s="629" t="s">
        <v>387</v>
      </c>
      <c r="BE3" s="630"/>
      <c r="BF3" s="630"/>
      <c r="BG3" s="630" t="s">
        <v>1581</v>
      </c>
      <c r="BH3" s="630"/>
      <c r="BI3" s="630"/>
      <c r="BJ3" s="630"/>
      <c r="BK3" s="630"/>
    </row>
    <row r="4" spans="1:63" ht="25.5">
      <c r="A4" s="69" t="s">
        <v>219</v>
      </c>
      <c r="B4" s="69" t="s">
        <v>133</v>
      </c>
      <c r="C4" s="558" t="s">
        <v>389</v>
      </c>
      <c r="D4" s="70" t="s">
        <v>390</v>
      </c>
      <c r="E4" s="558" t="s">
        <v>391</v>
      </c>
      <c r="F4" s="418" t="s">
        <v>691</v>
      </c>
      <c r="G4" s="70" t="s">
        <v>220</v>
      </c>
      <c r="H4" s="70" t="s">
        <v>221</v>
      </c>
      <c r="I4" s="70" t="s">
        <v>222</v>
      </c>
      <c r="J4" s="70" t="s">
        <v>223</v>
      </c>
      <c r="K4" s="70" t="s">
        <v>224</v>
      </c>
      <c r="L4" s="70" t="s">
        <v>225</v>
      </c>
      <c r="M4" s="70" t="s">
        <v>226</v>
      </c>
      <c r="N4" s="70" t="s">
        <v>227</v>
      </c>
      <c r="O4" s="70" t="s">
        <v>228</v>
      </c>
      <c r="P4" s="70" t="s">
        <v>229</v>
      </c>
      <c r="Q4" s="70" t="s">
        <v>230</v>
      </c>
      <c r="R4" s="70" t="s">
        <v>231</v>
      </c>
      <c r="S4" s="70" t="s">
        <v>232</v>
      </c>
      <c r="T4" s="70" t="s">
        <v>233</v>
      </c>
      <c r="U4" s="70" t="s">
        <v>234</v>
      </c>
      <c r="V4" s="70" t="s">
        <v>235</v>
      </c>
      <c r="W4" s="69" t="s">
        <v>461</v>
      </c>
      <c r="X4" s="70" t="s">
        <v>236</v>
      </c>
      <c r="Y4" s="70" t="s">
        <v>237</v>
      </c>
      <c r="Z4" s="70" t="s">
        <v>238</v>
      </c>
      <c r="AA4" s="70" t="s">
        <v>239</v>
      </c>
      <c r="AB4" s="70" t="s">
        <v>240</v>
      </c>
      <c r="AC4" s="70" t="s">
        <v>241</v>
      </c>
      <c r="AD4" s="70" t="s">
        <v>242</v>
      </c>
      <c r="AE4" s="70" t="s">
        <v>243</v>
      </c>
      <c r="AF4" s="70" t="s">
        <v>244</v>
      </c>
      <c r="AG4" s="70" t="s">
        <v>245</v>
      </c>
      <c r="AH4" s="70" t="s">
        <v>246</v>
      </c>
      <c r="AI4" s="70" t="s">
        <v>247</v>
      </c>
      <c r="AJ4" s="70" t="s">
        <v>248</v>
      </c>
      <c r="AK4" s="70" t="s">
        <v>249</v>
      </c>
      <c r="AL4" s="70" t="s">
        <v>250</v>
      </c>
      <c r="AM4" s="70" t="s">
        <v>251</v>
      </c>
      <c r="AN4" s="70" t="s">
        <v>252</v>
      </c>
      <c r="AO4" s="70" t="s">
        <v>253</v>
      </c>
      <c r="AP4" s="70" t="s">
        <v>254</v>
      </c>
      <c r="AQ4" s="70" t="s">
        <v>255</v>
      </c>
      <c r="AR4" s="70" t="s">
        <v>256</v>
      </c>
      <c r="AS4" s="70" t="s">
        <v>257</v>
      </c>
      <c r="AT4" s="70" t="s">
        <v>258</v>
      </c>
      <c r="AU4" s="70" t="s">
        <v>259</v>
      </c>
      <c r="AV4" s="70" t="s">
        <v>260</v>
      </c>
      <c r="AW4" s="70" t="s">
        <v>261</v>
      </c>
      <c r="AX4" s="70" t="s">
        <v>262</v>
      </c>
      <c r="AY4" s="70" t="s">
        <v>263</v>
      </c>
      <c r="AZ4" s="70" t="s">
        <v>264</v>
      </c>
      <c r="BA4" s="70" t="s">
        <v>265</v>
      </c>
      <c r="BB4" s="70" t="s">
        <v>266</v>
      </c>
      <c r="BC4" s="70" t="s">
        <v>267</v>
      </c>
      <c r="BD4" s="70" t="s">
        <v>392</v>
      </c>
      <c r="BE4" s="70" t="s">
        <v>393</v>
      </c>
      <c r="BF4" s="70" t="s">
        <v>394</v>
      </c>
      <c r="BG4" s="70" t="s">
        <v>1582</v>
      </c>
      <c r="BH4" s="70" t="s">
        <v>395</v>
      </c>
      <c r="BI4" s="70" t="s">
        <v>396</v>
      </c>
      <c r="BJ4" s="70" t="s">
        <v>397</v>
      </c>
      <c r="BK4" s="70" t="s">
        <v>398</v>
      </c>
    </row>
    <row r="5" spans="1:63">
      <c r="A5" s="131">
        <v>1000</v>
      </c>
      <c r="B5" s="131" t="s">
        <v>28</v>
      </c>
      <c r="C5" s="559">
        <v>217552.11</v>
      </c>
      <c r="D5" s="559">
        <v>0</v>
      </c>
      <c r="E5" s="559">
        <v>-1091.47</v>
      </c>
      <c r="F5" s="559">
        <f>SUM(C5:E5)</f>
        <v>216460.63999999998</v>
      </c>
      <c r="G5" s="559">
        <v>508838</v>
      </c>
      <c r="H5" s="559">
        <v>0</v>
      </c>
      <c r="I5" s="559">
        <v>0</v>
      </c>
      <c r="J5" s="559">
        <v>0</v>
      </c>
      <c r="K5" s="559">
        <v>0</v>
      </c>
      <c r="L5" s="559">
        <v>26616</v>
      </c>
      <c r="M5" s="559">
        <v>27577</v>
      </c>
      <c r="N5" s="559">
        <v>200527</v>
      </c>
      <c r="O5" s="559">
        <v>24787</v>
      </c>
      <c r="P5" s="559">
        <v>0</v>
      </c>
      <c r="Q5" s="559">
        <v>0</v>
      </c>
      <c r="R5" s="559">
        <v>520</v>
      </c>
      <c r="S5" s="559">
        <v>9456</v>
      </c>
      <c r="T5" s="559">
        <v>0</v>
      </c>
      <c r="U5" s="559">
        <v>0</v>
      </c>
      <c r="V5" s="559">
        <v>0</v>
      </c>
      <c r="W5" s="559">
        <v>0</v>
      </c>
      <c r="X5" s="559">
        <v>198840</v>
      </c>
      <c r="Y5" s="559">
        <v>3926</v>
      </c>
      <c r="Z5" s="559">
        <v>321338</v>
      </c>
      <c r="AA5" s="559">
        <v>26649</v>
      </c>
      <c r="AB5" s="559">
        <v>29743</v>
      </c>
      <c r="AC5" s="559">
        <v>0</v>
      </c>
      <c r="AD5" s="559">
        <v>4788</v>
      </c>
      <c r="AE5" s="559">
        <v>2004</v>
      </c>
      <c r="AF5" s="559">
        <v>3811</v>
      </c>
      <c r="AG5" s="559">
        <v>5435</v>
      </c>
      <c r="AH5" s="559">
        <v>607</v>
      </c>
      <c r="AI5" s="559">
        <v>8242</v>
      </c>
      <c r="AJ5" s="559">
        <v>17462</v>
      </c>
      <c r="AK5" s="559">
        <v>1469</v>
      </c>
      <c r="AL5" s="559">
        <v>872</v>
      </c>
      <c r="AM5" s="559">
        <v>2746</v>
      </c>
      <c r="AN5" s="559">
        <v>1995</v>
      </c>
      <c r="AO5" s="559">
        <v>5295</v>
      </c>
      <c r="AP5" s="559">
        <v>21742</v>
      </c>
      <c r="AQ5" s="559">
        <v>7752</v>
      </c>
      <c r="AR5" s="559">
        <v>0</v>
      </c>
      <c r="AS5" s="559">
        <v>6662</v>
      </c>
      <c r="AT5" s="559">
        <v>919</v>
      </c>
      <c r="AU5" s="559">
        <v>1594</v>
      </c>
      <c r="AV5" s="559">
        <v>11097</v>
      </c>
      <c r="AW5" s="559">
        <v>2378</v>
      </c>
      <c r="AX5" s="559">
        <v>1081</v>
      </c>
      <c r="AY5" s="559">
        <v>19875</v>
      </c>
      <c r="AZ5" s="559">
        <v>0</v>
      </c>
      <c r="BA5" s="559">
        <v>0</v>
      </c>
      <c r="BB5" s="559">
        <v>-1</v>
      </c>
      <c r="BC5" s="559">
        <v>0</v>
      </c>
      <c r="BD5" s="559">
        <v>4692</v>
      </c>
      <c r="BE5" s="559">
        <v>0</v>
      </c>
      <c r="BF5" s="559">
        <v>0</v>
      </c>
      <c r="BG5" s="131">
        <v>5000</v>
      </c>
      <c r="BH5" s="131">
        <v>0</v>
      </c>
      <c r="BI5" s="559">
        <v>5358</v>
      </c>
      <c r="BJ5" s="559">
        <v>0</v>
      </c>
      <c r="BK5" s="559">
        <v>3658</v>
      </c>
    </row>
    <row r="6" spans="1:63">
      <c r="A6" s="131">
        <v>1001</v>
      </c>
      <c r="B6" s="131" t="s">
        <v>29</v>
      </c>
      <c r="C6" s="559">
        <v>139822.57</v>
      </c>
      <c r="D6" s="559">
        <v>23105</v>
      </c>
      <c r="E6" s="559">
        <v>12888.71</v>
      </c>
      <c r="F6" s="559">
        <f t="shared" ref="F6:F69" si="0">SUM(C6:E6)</f>
        <v>175816.28</v>
      </c>
      <c r="G6" s="559">
        <v>414728</v>
      </c>
      <c r="H6" s="559">
        <v>0</v>
      </c>
      <c r="I6" s="559">
        <v>6985</v>
      </c>
      <c r="J6" s="559">
        <v>0</v>
      </c>
      <c r="K6" s="559">
        <v>0</v>
      </c>
      <c r="L6" s="559">
        <v>0</v>
      </c>
      <c r="M6" s="559">
        <v>17256</v>
      </c>
      <c r="N6" s="559">
        <v>115367</v>
      </c>
      <c r="O6" s="559">
        <v>0</v>
      </c>
      <c r="P6" s="559">
        <v>0</v>
      </c>
      <c r="Q6" s="559">
        <v>1900</v>
      </c>
      <c r="R6" s="559">
        <v>0</v>
      </c>
      <c r="S6" s="559">
        <v>3319</v>
      </c>
      <c r="T6" s="559">
        <v>0</v>
      </c>
      <c r="U6" s="559">
        <v>238588</v>
      </c>
      <c r="V6" s="559">
        <v>10999</v>
      </c>
      <c r="W6" s="559">
        <v>0</v>
      </c>
      <c r="X6" s="559">
        <v>189302</v>
      </c>
      <c r="Y6" s="559">
        <v>0</v>
      </c>
      <c r="Z6" s="559">
        <v>167825</v>
      </c>
      <c r="AA6" s="559">
        <v>17511</v>
      </c>
      <c r="AB6" s="559">
        <v>23722</v>
      </c>
      <c r="AC6" s="559">
        <v>0</v>
      </c>
      <c r="AD6" s="559">
        <v>12717</v>
      </c>
      <c r="AE6" s="559">
        <v>625</v>
      </c>
      <c r="AF6" s="559">
        <v>2536</v>
      </c>
      <c r="AG6" s="559">
        <v>5877</v>
      </c>
      <c r="AH6" s="559">
        <v>727</v>
      </c>
      <c r="AI6" s="559">
        <v>7364</v>
      </c>
      <c r="AJ6" s="559">
        <v>1150</v>
      </c>
      <c r="AK6" s="559">
        <v>766</v>
      </c>
      <c r="AL6" s="559">
        <v>982</v>
      </c>
      <c r="AM6" s="559">
        <v>1454</v>
      </c>
      <c r="AN6" s="559">
        <v>12291</v>
      </c>
      <c r="AO6" s="559">
        <v>2986</v>
      </c>
      <c r="AP6" s="559">
        <v>13834</v>
      </c>
      <c r="AQ6" s="559">
        <v>5127</v>
      </c>
      <c r="AR6" s="559">
        <v>0</v>
      </c>
      <c r="AS6" s="559">
        <v>7558</v>
      </c>
      <c r="AT6" s="559">
        <v>470</v>
      </c>
      <c r="AU6" s="559">
        <v>180</v>
      </c>
      <c r="AV6" s="559">
        <v>730</v>
      </c>
      <c r="AW6" s="559">
        <v>260</v>
      </c>
      <c r="AX6" s="559">
        <v>46710</v>
      </c>
      <c r="AY6" s="559">
        <v>9756</v>
      </c>
      <c r="AZ6" s="559">
        <v>0</v>
      </c>
      <c r="BA6" s="559">
        <v>0</v>
      </c>
      <c r="BB6" s="559">
        <v>224750</v>
      </c>
      <c r="BC6" s="559">
        <v>32465</v>
      </c>
      <c r="BD6" s="559">
        <v>4516</v>
      </c>
      <c r="BE6" s="559">
        <v>0</v>
      </c>
      <c r="BF6" s="559">
        <v>0</v>
      </c>
      <c r="BG6" s="131">
        <v>5000</v>
      </c>
      <c r="BH6" s="131">
        <v>0</v>
      </c>
      <c r="BI6" s="559">
        <v>0</v>
      </c>
      <c r="BJ6" s="559">
        <v>0</v>
      </c>
      <c r="BK6" s="559">
        <v>3959</v>
      </c>
    </row>
    <row r="7" spans="1:63">
      <c r="A7" s="131">
        <v>1002</v>
      </c>
      <c r="B7" s="131" t="s">
        <v>30</v>
      </c>
      <c r="C7" s="559">
        <v>168489.88</v>
      </c>
      <c r="D7" s="559">
        <v>0</v>
      </c>
      <c r="E7" s="559">
        <v>-0.24</v>
      </c>
      <c r="F7" s="559">
        <f t="shared" si="0"/>
        <v>168489.64</v>
      </c>
      <c r="G7" s="559">
        <v>572009</v>
      </c>
      <c r="H7" s="559">
        <v>0</v>
      </c>
      <c r="I7" s="559">
        <v>9081</v>
      </c>
      <c r="J7" s="559">
        <v>0</v>
      </c>
      <c r="K7" s="559">
        <v>0</v>
      </c>
      <c r="L7" s="559">
        <v>2500</v>
      </c>
      <c r="M7" s="559">
        <v>5347</v>
      </c>
      <c r="N7" s="559">
        <v>153409</v>
      </c>
      <c r="O7" s="559">
        <v>11282</v>
      </c>
      <c r="P7" s="559">
        <v>0</v>
      </c>
      <c r="Q7" s="559">
        <v>0</v>
      </c>
      <c r="R7" s="559">
        <v>0</v>
      </c>
      <c r="S7" s="559">
        <v>3910</v>
      </c>
      <c r="T7" s="559">
        <v>0</v>
      </c>
      <c r="U7" s="559">
        <v>0</v>
      </c>
      <c r="V7" s="559">
        <v>0</v>
      </c>
      <c r="W7" s="559">
        <v>0</v>
      </c>
      <c r="X7" s="559">
        <v>234541</v>
      </c>
      <c r="Y7" s="559">
        <v>3505</v>
      </c>
      <c r="Z7" s="559">
        <v>266181</v>
      </c>
      <c r="AA7" s="559">
        <v>25911</v>
      </c>
      <c r="AB7" s="559">
        <v>32001</v>
      </c>
      <c r="AC7" s="559">
        <v>0</v>
      </c>
      <c r="AD7" s="559">
        <v>23585</v>
      </c>
      <c r="AE7" s="559">
        <v>2212</v>
      </c>
      <c r="AF7" s="559">
        <v>1940</v>
      </c>
      <c r="AG7" s="559">
        <v>2882</v>
      </c>
      <c r="AH7" s="559">
        <v>3870</v>
      </c>
      <c r="AI7" s="559">
        <v>5894</v>
      </c>
      <c r="AJ7" s="559">
        <v>1983</v>
      </c>
      <c r="AK7" s="559">
        <v>1297</v>
      </c>
      <c r="AL7" s="559">
        <v>995</v>
      </c>
      <c r="AM7" s="559">
        <v>5066</v>
      </c>
      <c r="AN7" s="559">
        <v>5770</v>
      </c>
      <c r="AO7" s="559">
        <v>3095</v>
      </c>
      <c r="AP7" s="559">
        <v>10582</v>
      </c>
      <c r="AQ7" s="559">
        <v>7993</v>
      </c>
      <c r="AR7" s="559">
        <v>0</v>
      </c>
      <c r="AS7" s="559">
        <v>4575</v>
      </c>
      <c r="AT7" s="559">
        <v>1100</v>
      </c>
      <c r="AU7" s="559">
        <v>3499</v>
      </c>
      <c r="AV7" s="559">
        <v>11134</v>
      </c>
      <c r="AW7" s="559">
        <v>1110</v>
      </c>
      <c r="AX7" s="559">
        <v>2231</v>
      </c>
      <c r="AY7" s="559">
        <v>16468</v>
      </c>
      <c r="AZ7" s="559">
        <v>0</v>
      </c>
      <c r="BA7" s="559">
        <v>0</v>
      </c>
      <c r="BB7" s="559">
        <v>0</v>
      </c>
      <c r="BC7" s="559">
        <v>0</v>
      </c>
      <c r="BD7" s="559">
        <v>4860</v>
      </c>
      <c r="BE7" s="559">
        <v>0</v>
      </c>
      <c r="BF7" s="559">
        <v>0</v>
      </c>
      <c r="BG7" s="131">
        <v>5000</v>
      </c>
      <c r="BH7" s="131">
        <v>0</v>
      </c>
      <c r="BI7" s="559">
        <v>0</v>
      </c>
      <c r="BJ7" s="559">
        <v>0</v>
      </c>
      <c r="BK7" s="559">
        <v>0</v>
      </c>
    </row>
    <row r="8" spans="1:63">
      <c r="A8" s="131">
        <v>1003</v>
      </c>
      <c r="B8" s="131" t="s">
        <v>31</v>
      </c>
      <c r="C8" s="559">
        <v>113045.70000000001</v>
      </c>
      <c r="D8" s="559">
        <v>23565</v>
      </c>
      <c r="E8" s="559">
        <v>9839.02</v>
      </c>
      <c r="F8" s="559">
        <f t="shared" si="0"/>
        <v>146449.72</v>
      </c>
      <c r="G8" s="559">
        <v>603524</v>
      </c>
      <c r="H8" s="559">
        <v>0</v>
      </c>
      <c r="I8" s="559">
        <v>3492</v>
      </c>
      <c r="J8" s="559">
        <v>0</v>
      </c>
      <c r="K8" s="559">
        <v>0</v>
      </c>
      <c r="L8" s="559">
        <v>23785</v>
      </c>
      <c r="M8" s="559">
        <v>3290</v>
      </c>
      <c r="N8" s="559">
        <v>117407</v>
      </c>
      <c r="O8" s="559">
        <v>12514</v>
      </c>
      <c r="P8" s="559">
        <v>0</v>
      </c>
      <c r="Q8" s="559">
        <v>3224</v>
      </c>
      <c r="R8" s="559">
        <v>1231</v>
      </c>
      <c r="S8" s="559">
        <v>9988</v>
      </c>
      <c r="T8" s="559">
        <v>0</v>
      </c>
      <c r="U8" s="559">
        <v>240054</v>
      </c>
      <c r="V8" s="559">
        <v>2621</v>
      </c>
      <c r="W8" s="559">
        <v>0</v>
      </c>
      <c r="X8" s="559">
        <v>267280</v>
      </c>
      <c r="Y8" s="559">
        <v>6431</v>
      </c>
      <c r="Z8" s="559">
        <v>248067</v>
      </c>
      <c r="AA8" s="559">
        <v>17599</v>
      </c>
      <c r="AB8" s="559">
        <v>43981</v>
      </c>
      <c r="AC8" s="559">
        <v>0</v>
      </c>
      <c r="AD8" s="559">
        <v>24569</v>
      </c>
      <c r="AE8" s="559">
        <v>2498</v>
      </c>
      <c r="AF8" s="559">
        <v>5161</v>
      </c>
      <c r="AG8" s="559">
        <v>6965</v>
      </c>
      <c r="AH8" s="559">
        <v>2115</v>
      </c>
      <c r="AI8" s="559">
        <v>4775</v>
      </c>
      <c r="AJ8" s="559">
        <v>925</v>
      </c>
      <c r="AK8" s="559">
        <v>1057</v>
      </c>
      <c r="AL8" s="559">
        <v>1119</v>
      </c>
      <c r="AM8" s="559">
        <v>4134</v>
      </c>
      <c r="AN8" s="559">
        <v>7500</v>
      </c>
      <c r="AO8" s="559">
        <v>3938</v>
      </c>
      <c r="AP8" s="559">
        <v>19848</v>
      </c>
      <c r="AQ8" s="559">
        <v>7305</v>
      </c>
      <c r="AR8" s="559">
        <v>0</v>
      </c>
      <c r="AS8" s="559">
        <v>5745</v>
      </c>
      <c r="AT8" s="559">
        <v>739</v>
      </c>
      <c r="AU8" s="559">
        <v>997</v>
      </c>
      <c r="AV8" s="559">
        <v>16459</v>
      </c>
      <c r="AW8" s="559">
        <v>175</v>
      </c>
      <c r="AX8" s="559">
        <v>885</v>
      </c>
      <c r="AY8" s="559">
        <v>17522</v>
      </c>
      <c r="AZ8" s="559">
        <v>0</v>
      </c>
      <c r="BA8" s="559">
        <v>0</v>
      </c>
      <c r="BB8" s="559">
        <v>197073</v>
      </c>
      <c r="BC8" s="559">
        <v>53274</v>
      </c>
      <c r="BD8" s="559">
        <v>5000</v>
      </c>
      <c r="BE8" s="559">
        <v>0</v>
      </c>
      <c r="BF8" s="559">
        <v>0</v>
      </c>
      <c r="BG8" s="131">
        <v>5000</v>
      </c>
      <c r="BH8" s="131">
        <v>0</v>
      </c>
      <c r="BI8" s="559">
        <v>7843</v>
      </c>
      <c r="BJ8" s="559">
        <v>0</v>
      </c>
      <c r="BK8" s="559">
        <v>0</v>
      </c>
    </row>
    <row r="9" spans="1:63">
      <c r="A9" s="131">
        <v>3520</v>
      </c>
      <c r="B9" s="131" t="s">
        <v>268</v>
      </c>
      <c r="C9" s="559">
        <v>52536.63</v>
      </c>
      <c r="D9" s="559">
        <v>0</v>
      </c>
      <c r="E9" s="559">
        <v>0</v>
      </c>
      <c r="F9" s="559">
        <f t="shared" si="0"/>
        <v>52536.63</v>
      </c>
      <c r="G9" s="559">
        <v>1542532</v>
      </c>
      <c r="H9" s="559">
        <v>0</v>
      </c>
      <c r="I9" s="559">
        <v>47129</v>
      </c>
      <c r="J9" s="559">
        <v>0</v>
      </c>
      <c r="K9" s="559">
        <v>3986</v>
      </c>
      <c r="L9" s="559">
        <v>5196</v>
      </c>
      <c r="M9" s="559">
        <v>3650</v>
      </c>
      <c r="N9" s="559">
        <v>19141</v>
      </c>
      <c r="O9" s="559">
        <v>87834</v>
      </c>
      <c r="P9" s="559">
        <v>4879</v>
      </c>
      <c r="Q9" s="559">
        <v>2352</v>
      </c>
      <c r="R9" s="559">
        <v>32818</v>
      </c>
      <c r="S9" s="559">
        <v>467631</v>
      </c>
      <c r="T9" s="559">
        <v>0</v>
      </c>
      <c r="U9" s="559">
        <v>0</v>
      </c>
      <c r="V9" s="559">
        <v>0</v>
      </c>
      <c r="W9" s="559">
        <v>49417</v>
      </c>
      <c r="X9" s="559">
        <v>1017671</v>
      </c>
      <c r="Y9" s="559">
        <v>13083</v>
      </c>
      <c r="Z9" s="559">
        <v>371180</v>
      </c>
      <c r="AA9" s="559">
        <v>35034</v>
      </c>
      <c r="AB9" s="559">
        <v>118734</v>
      </c>
      <c r="AC9" s="559">
        <v>0</v>
      </c>
      <c r="AD9" s="559">
        <v>15427</v>
      </c>
      <c r="AE9" s="559">
        <v>14120</v>
      </c>
      <c r="AF9" s="559">
        <v>11263</v>
      </c>
      <c r="AG9" s="559">
        <v>17971</v>
      </c>
      <c r="AH9" s="559">
        <v>5866</v>
      </c>
      <c r="AI9" s="559">
        <v>37933</v>
      </c>
      <c r="AJ9" s="559">
        <v>7834</v>
      </c>
      <c r="AK9" s="559">
        <v>36502</v>
      </c>
      <c r="AL9" s="559">
        <v>4103</v>
      </c>
      <c r="AM9" s="559">
        <v>26780</v>
      </c>
      <c r="AN9" s="559">
        <v>0</v>
      </c>
      <c r="AO9" s="559">
        <v>88046</v>
      </c>
      <c r="AP9" s="559">
        <v>105364</v>
      </c>
      <c r="AQ9" s="559">
        <v>16886</v>
      </c>
      <c r="AR9" s="559">
        <v>0</v>
      </c>
      <c r="AS9" s="559">
        <v>18722</v>
      </c>
      <c r="AT9" s="559">
        <v>19269</v>
      </c>
      <c r="AU9" s="559">
        <v>1258</v>
      </c>
      <c r="AV9" s="559">
        <v>139753</v>
      </c>
      <c r="AW9" s="559">
        <v>54683</v>
      </c>
      <c r="AX9" s="559">
        <v>44421</v>
      </c>
      <c r="AY9" s="559">
        <v>44135</v>
      </c>
      <c r="AZ9" s="559">
        <v>0</v>
      </c>
      <c r="BA9" s="559">
        <v>0</v>
      </c>
      <c r="BB9" s="559">
        <v>0</v>
      </c>
      <c r="BC9" s="559">
        <v>0</v>
      </c>
      <c r="BD9" s="559">
        <v>0</v>
      </c>
      <c r="BE9" s="559">
        <v>0</v>
      </c>
      <c r="BF9" s="559">
        <v>0</v>
      </c>
      <c r="BG9" s="131">
        <v>5000</v>
      </c>
      <c r="BH9" s="131">
        <v>0</v>
      </c>
      <c r="BI9" s="559">
        <v>0</v>
      </c>
      <c r="BJ9" s="559">
        <v>0</v>
      </c>
      <c r="BK9" s="559">
        <v>13609</v>
      </c>
    </row>
    <row r="10" spans="1:63">
      <c r="A10" s="131">
        <v>3317</v>
      </c>
      <c r="B10" s="131" t="s">
        <v>33</v>
      </c>
      <c r="C10" s="559">
        <v>86131.91</v>
      </c>
      <c r="D10" s="559">
        <v>0</v>
      </c>
      <c r="E10" s="559">
        <v>0</v>
      </c>
      <c r="F10" s="559">
        <f t="shared" si="0"/>
        <v>86131.91</v>
      </c>
      <c r="G10" s="559">
        <v>1092687</v>
      </c>
      <c r="H10" s="559">
        <v>0</v>
      </c>
      <c r="I10" s="559">
        <v>30491</v>
      </c>
      <c r="J10" s="559">
        <v>0</v>
      </c>
      <c r="K10" s="559">
        <v>71086</v>
      </c>
      <c r="L10" s="559">
        <v>2375</v>
      </c>
      <c r="M10" s="559">
        <v>370</v>
      </c>
      <c r="N10" s="559">
        <v>26843</v>
      </c>
      <c r="O10" s="559">
        <v>31689</v>
      </c>
      <c r="P10" s="559">
        <v>0</v>
      </c>
      <c r="Q10" s="559">
        <v>297</v>
      </c>
      <c r="R10" s="559">
        <v>24049</v>
      </c>
      <c r="S10" s="559">
        <v>6994</v>
      </c>
      <c r="T10" s="559">
        <v>0</v>
      </c>
      <c r="U10" s="559">
        <v>0</v>
      </c>
      <c r="V10" s="559">
        <v>0</v>
      </c>
      <c r="W10" s="559">
        <v>31945</v>
      </c>
      <c r="X10" s="559">
        <v>565166</v>
      </c>
      <c r="Y10" s="559">
        <v>0</v>
      </c>
      <c r="Z10" s="559">
        <v>245383</v>
      </c>
      <c r="AA10" s="559">
        <v>25336</v>
      </c>
      <c r="AB10" s="559">
        <v>45062</v>
      </c>
      <c r="AC10" s="559">
        <v>0</v>
      </c>
      <c r="AD10" s="559">
        <v>32299</v>
      </c>
      <c r="AE10" s="559">
        <v>5763</v>
      </c>
      <c r="AF10" s="559">
        <v>2969</v>
      </c>
      <c r="AG10" s="559">
        <v>10615</v>
      </c>
      <c r="AH10" s="559">
        <v>1595</v>
      </c>
      <c r="AI10" s="559">
        <v>21467</v>
      </c>
      <c r="AJ10" s="559">
        <v>10875</v>
      </c>
      <c r="AK10" s="559">
        <v>29046</v>
      </c>
      <c r="AL10" s="559">
        <v>4145</v>
      </c>
      <c r="AM10" s="559">
        <v>18056</v>
      </c>
      <c r="AN10" s="559">
        <v>0</v>
      </c>
      <c r="AO10" s="559">
        <v>5274</v>
      </c>
      <c r="AP10" s="559">
        <v>53978</v>
      </c>
      <c r="AQ10" s="559">
        <v>14850</v>
      </c>
      <c r="AR10" s="559">
        <v>0</v>
      </c>
      <c r="AS10" s="559">
        <v>10564</v>
      </c>
      <c r="AT10" s="559">
        <v>4551</v>
      </c>
      <c r="AU10" s="559">
        <v>5887</v>
      </c>
      <c r="AV10" s="559">
        <v>67675</v>
      </c>
      <c r="AW10" s="559">
        <v>34747</v>
      </c>
      <c r="AX10" s="559">
        <v>44858</v>
      </c>
      <c r="AY10" s="559">
        <v>23796</v>
      </c>
      <c r="AZ10" s="559">
        <v>0</v>
      </c>
      <c r="BA10" s="559">
        <v>15803</v>
      </c>
      <c r="BB10" s="559">
        <v>1</v>
      </c>
      <c r="BC10" s="559">
        <v>0</v>
      </c>
      <c r="BD10" s="559">
        <v>0</v>
      </c>
      <c r="BE10" s="559">
        <v>0</v>
      </c>
      <c r="BF10" s="559">
        <v>15803</v>
      </c>
      <c r="BG10" s="131">
        <v>5000</v>
      </c>
      <c r="BH10" s="131">
        <v>0</v>
      </c>
      <c r="BI10" s="559">
        <v>0</v>
      </c>
      <c r="BJ10" s="559">
        <v>0</v>
      </c>
      <c r="BK10" s="559">
        <v>15803</v>
      </c>
    </row>
    <row r="11" spans="1:63">
      <c r="A11" s="131">
        <v>3300</v>
      </c>
      <c r="B11" s="131" t="s">
        <v>34</v>
      </c>
      <c r="C11" s="559">
        <v>217662.24</v>
      </c>
      <c r="D11" s="559">
        <v>0</v>
      </c>
      <c r="E11" s="559">
        <v>0</v>
      </c>
      <c r="F11" s="559">
        <f t="shared" si="0"/>
        <v>217662.24</v>
      </c>
      <c r="G11" s="559">
        <v>988107</v>
      </c>
      <c r="H11" s="559">
        <v>0</v>
      </c>
      <c r="I11" s="559">
        <v>55984</v>
      </c>
      <c r="J11" s="559">
        <v>0</v>
      </c>
      <c r="K11" s="559">
        <v>119500</v>
      </c>
      <c r="L11" s="559">
        <v>1000</v>
      </c>
      <c r="M11" s="559">
        <v>2020</v>
      </c>
      <c r="N11" s="559">
        <v>996</v>
      </c>
      <c r="O11" s="559">
        <v>17750</v>
      </c>
      <c r="P11" s="559">
        <v>23743</v>
      </c>
      <c r="Q11" s="559">
        <v>0</v>
      </c>
      <c r="R11" s="559">
        <v>16057</v>
      </c>
      <c r="S11" s="559">
        <v>11591</v>
      </c>
      <c r="T11" s="559">
        <v>0</v>
      </c>
      <c r="U11" s="559">
        <v>0</v>
      </c>
      <c r="V11" s="559">
        <v>0</v>
      </c>
      <c r="W11" s="559">
        <v>23717</v>
      </c>
      <c r="X11" s="559">
        <v>541402</v>
      </c>
      <c r="Y11" s="559">
        <v>4967</v>
      </c>
      <c r="Z11" s="559">
        <v>259192</v>
      </c>
      <c r="AA11" s="559">
        <v>16143</v>
      </c>
      <c r="AB11" s="559">
        <v>36482</v>
      </c>
      <c r="AC11" s="559">
        <v>0</v>
      </c>
      <c r="AD11" s="559">
        <v>6356</v>
      </c>
      <c r="AE11" s="559">
        <v>2813</v>
      </c>
      <c r="AF11" s="559">
        <v>5180</v>
      </c>
      <c r="AG11" s="559">
        <v>10003</v>
      </c>
      <c r="AH11" s="559">
        <v>0</v>
      </c>
      <c r="AI11" s="559">
        <v>35705</v>
      </c>
      <c r="AJ11" s="559">
        <v>4462</v>
      </c>
      <c r="AK11" s="559">
        <v>24028</v>
      </c>
      <c r="AL11" s="559">
        <v>3006</v>
      </c>
      <c r="AM11" s="559">
        <v>9731</v>
      </c>
      <c r="AN11" s="559">
        <v>0</v>
      </c>
      <c r="AO11" s="559">
        <v>4748</v>
      </c>
      <c r="AP11" s="559">
        <v>48185</v>
      </c>
      <c r="AQ11" s="559">
        <v>12634</v>
      </c>
      <c r="AR11" s="559">
        <v>0</v>
      </c>
      <c r="AS11" s="559">
        <v>10286</v>
      </c>
      <c r="AT11" s="559">
        <v>4773</v>
      </c>
      <c r="AU11" s="559">
        <v>1067</v>
      </c>
      <c r="AV11" s="559">
        <v>47939</v>
      </c>
      <c r="AW11" s="559">
        <v>27411</v>
      </c>
      <c r="AX11" s="559">
        <v>58019</v>
      </c>
      <c r="AY11" s="559">
        <v>29988</v>
      </c>
      <c r="AZ11" s="559">
        <v>0</v>
      </c>
      <c r="BA11" s="559">
        <v>207134</v>
      </c>
      <c r="BB11" s="559">
        <v>1</v>
      </c>
      <c r="BC11" s="559">
        <v>0</v>
      </c>
      <c r="BD11" s="559">
        <v>0</v>
      </c>
      <c r="BE11" s="559">
        <v>30000</v>
      </c>
      <c r="BF11" s="559">
        <v>207134</v>
      </c>
      <c r="BG11" s="131">
        <v>5000</v>
      </c>
      <c r="BH11" s="131">
        <v>0</v>
      </c>
      <c r="BI11" s="559">
        <v>226355</v>
      </c>
      <c r="BJ11" s="559">
        <v>0</v>
      </c>
      <c r="BK11" s="559">
        <v>10778</v>
      </c>
    </row>
    <row r="12" spans="1:63">
      <c r="A12" s="131">
        <v>3500</v>
      </c>
      <c r="B12" s="131" t="s">
        <v>35</v>
      </c>
      <c r="C12" s="559">
        <v>186724.98</v>
      </c>
      <c r="D12" s="559">
        <v>0</v>
      </c>
      <c r="E12" s="559">
        <v>-3280</v>
      </c>
      <c r="F12" s="559">
        <f t="shared" si="0"/>
        <v>183444.98</v>
      </c>
      <c r="G12" s="559">
        <v>887563</v>
      </c>
      <c r="H12" s="559">
        <v>0</v>
      </c>
      <c r="I12" s="559">
        <v>16879</v>
      </c>
      <c r="J12" s="559">
        <v>0</v>
      </c>
      <c r="K12" s="559">
        <v>27558</v>
      </c>
      <c r="L12" s="559">
        <v>2800</v>
      </c>
      <c r="M12" s="559">
        <v>1671</v>
      </c>
      <c r="N12" s="559">
        <v>2296</v>
      </c>
      <c r="O12" s="559">
        <v>10927</v>
      </c>
      <c r="P12" s="559">
        <v>5596</v>
      </c>
      <c r="Q12" s="559">
        <v>0</v>
      </c>
      <c r="R12" s="559">
        <v>0</v>
      </c>
      <c r="S12" s="559">
        <v>0</v>
      </c>
      <c r="T12" s="559">
        <v>0</v>
      </c>
      <c r="U12" s="559">
        <v>0</v>
      </c>
      <c r="V12" s="559">
        <v>0</v>
      </c>
      <c r="W12" s="559">
        <v>44949</v>
      </c>
      <c r="X12" s="559">
        <v>569785</v>
      </c>
      <c r="Y12" s="559">
        <v>0</v>
      </c>
      <c r="Z12" s="559">
        <v>176313</v>
      </c>
      <c r="AA12" s="559">
        <v>10102</v>
      </c>
      <c r="AB12" s="559">
        <v>34621</v>
      </c>
      <c r="AC12" s="559">
        <v>0</v>
      </c>
      <c r="AD12" s="559">
        <v>2991</v>
      </c>
      <c r="AE12" s="559">
        <v>4974</v>
      </c>
      <c r="AF12" s="559">
        <v>6650</v>
      </c>
      <c r="AG12" s="559">
        <v>7189</v>
      </c>
      <c r="AH12" s="559">
        <v>3059</v>
      </c>
      <c r="AI12" s="559">
        <v>45241</v>
      </c>
      <c r="AJ12" s="559">
        <v>302</v>
      </c>
      <c r="AK12" s="559">
        <v>4849</v>
      </c>
      <c r="AL12" s="559">
        <v>808</v>
      </c>
      <c r="AM12" s="559">
        <v>9926</v>
      </c>
      <c r="AN12" s="559">
        <v>0</v>
      </c>
      <c r="AO12" s="559">
        <v>7468</v>
      </c>
      <c r="AP12" s="559">
        <v>20293</v>
      </c>
      <c r="AQ12" s="559">
        <v>20374</v>
      </c>
      <c r="AR12" s="559">
        <v>0</v>
      </c>
      <c r="AS12" s="559">
        <v>7759</v>
      </c>
      <c r="AT12" s="559">
        <v>3727</v>
      </c>
      <c r="AU12" s="559">
        <v>1075</v>
      </c>
      <c r="AV12" s="559">
        <v>60355</v>
      </c>
      <c r="AW12" s="559">
        <v>0</v>
      </c>
      <c r="AX12" s="559">
        <v>12922</v>
      </c>
      <c r="AY12" s="559">
        <v>21423</v>
      </c>
      <c r="AZ12" s="559">
        <v>0</v>
      </c>
      <c r="BA12" s="559">
        <v>40835</v>
      </c>
      <c r="BB12" s="559">
        <v>0</v>
      </c>
      <c r="BC12" s="559">
        <v>0</v>
      </c>
      <c r="BD12" s="559">
        <v>0</v>
      </c>
      <c r="BE12" s="559">
        <v>0</v>
      </c>
      <c r="BF12" s="559">
        <v>40835</v>
      </c>
      <c r="BG12" s="131">
        <v>5000</v>
      </c>
      <c r="BH12" s="131">
        <v>0</v>
      </c>
      <c r="BI12" s="559">
        <v>17149</v>
      </c>
      <c r="BJ12" s="559">
        <v>0</v>
      </c>
      <c r="BK12" s="559">
        <v>20406</v>
      </c>
    </row>
    <row r="13" spans="1:63">
      <c r="A13" s="131">
        <v>3514</v>
      </c>
      <c r="B13" s="131" t="s">
        <v>36</v>
      </c>
      <c r="C13" s="559">
        <v>89688.11</v>
      </c>
      <c r="D13" s="559">
        <v>0</v>
      </c>
      <c r="E13" s="559">
        <v>0</v>
      </c>
      <c r="F13" s="559">
        <f t="shared" si="0"/>
        <v>89688.11</v>
      </c>
      <c r="G13" s="559">
        <v>955678</v>
      </c>
      <c r="H13" s="559">
        <v>0</v>
      </c>
      <c r="I13" s="559">
        <v>31765</v>
      </c>
      <c r="J13" s="559">
        <v>0</v>
      </c>
      <c r="K13" s="559">
        <v>67600</v>
      </c>
      <c r="L13" s="559">
        <v>1400</v>
      </c>
      <c r="M13" s="559">
        <v>1233</v>
      </c>
      <c r="N13" s="559">
        <v>6389</v>
      </c>
      <c r="O13" s="559">
        <v>40925</v>
      </c>
      <c r="P13" s="559">
        <v>8379</v>
      </c>
      <c r="Q13" s="559">
        <v>0</v>
      </c>
      <c r="R13" s="559">
        <v>15026</v>
      </c>
      <c r="S13" s="559">
        <v>411</v>
      </c>
      <c r="T13" s="559">
        <v>0</v>
      </c>
      <c r="U13" s="559">
        <v>0</v>
      </c>
      <c r="V13" s="559">
        <v>0</v>
      </c>
      <c r="W13" s="559">
        <v>8850</v>
      </c>
      <c r="X13" s="559">
        <v>628426</v>
      </c>
      <c r="Y13" s="559">
        <v>5752</v>
      </c>
      <c r="Z13" s="559">
        <v>85283</v>
      </c>
      <c r="AA13" s="559">
        <v>39906</v>
      </c>
      <c r="AB13" s="559">
        <v>21179</v>
      </c>
      <c r="AC13" s="559">
        <v>0</v>
      </c>
      <c r="AD13" s="559">
        <v>4472</v>
      </c>
      <c r="AE13" s="559">
        <v>6613</v>
      </c>
      <c r="AF13" s="559">
        <v>2853</v>
      </c>
      <c r="AG13" s="559">
        <v>8589</v>
      </c>
      <c r="AH13" s="559">
        <v>941</v>
      </c>
      <c r="AI13" s="559">
        <v>16019</v>
      </c>
      <c r="AJ13" s="559">
        <v>6058</v>
      </c>
      <c r="AK13" s="559">
        <v>2350</v>
      </c>
      <c r="AL13" s="559">
        <v>2259</v>
      </c>
      <c r="AM13" s="559">
        <v>9826</v>
      </c>
      <c r="AN13" s="559">
        <v>0</v>
      </c>
      <c r="AO13" s="559">
        <v>4754</v>
      </c>
      <c r="AP13" s="559">
        <v>39008</v>
      </c>
      <c r="AQ13" s="559">
        <v>19978</v>
      </c>
      <c r="AR13" s="559">
        <v>0</v>
      </c>
      <c r="AS13" s="559">
        <v>5438</v>
      </c>
      <c r="AT13" s="559">
        <v>6252</v>
      </c>
      <c r="AU13" s="559">
        <v>14378</v>
      </c>
      <c r="AV13" s="559">
        <v>50075</v>
      </c>
      <c r="AW13" s="559">
        <v>33844</v>
      </c>
      <c r="AX13" s="559">
        <v>90862</v>
      </c>
      <c r="AY13" s="559">
        <v>30248</v>
      </c>
      <c r="AZ13" s="559">
        <v>0</v>
      </c>
      <c r="BA13" s="559">
        <v>15964</v>
      </c>
      <c r="BB13" s="559">
        <v>0</v>
      </c>
      <c r="BC13" s="559">
        <v>0</v>
      </c>
      <c r="BD13" s="559">
        <v>0</v>
      </c>
      <c r="BE13" s="559">
        <v>0</v>
      </c>
      <c r="BF13" s="559">
        <v>15964</v>
      </c>
      <c r="BG13" s="131">
        <v>5000</v>
      </c>
      <c r="BH13" s="131">
        <v>0</v>
      </c>
      <c r="BI13" s="559">
        <v>10000</v>
      </c>
      <c r="BJ13" s="559">
        <v>0</v>
      </c>
      <c r="BK13" s="559">
        <v>5964</v>
      </c>
    </row>
    <row r="14" spans="1:63">
      <c r="A14" s="131">
        <v>2002</v>
      </c>
      <c r="B14" s="131" t="s">
        <v>37</v>
      </c>
      <c r="C14" s="559">
        <v>165216.20000000001</v>
      </c>
      <c r="D14" s="559">
        <v>21388</v>
      </c>
      <c r="E14" s="559">
        <v>-0.42</v>
      </c>
      <c r="F14" s="559">
        <f t="shared" si="0"/>
        <v>186603.78</v>
      </c>
      <c r="G14" s="559">
        <v>2476237</v>
      </c>
      <c r="H14" s="559">
        <v>0</v>
      </c>
      <c r="I14" s="559">
        <v>93529</v>
      </c>
      <c r="J14" s="559">
        <v>0</v>
      </c>
      <c r="K14" s="559">
        <v>328300</v>
      </c>
      <c r="L14" s="559">
        <v>300</v>
      </c>
      <c r="M14" s="559">
        <v>4572</v>
      </c>
      <c r="N14" s="559">
        <v>47362</v>
      </c>
      <c r="O14" s="559">
        <v>42201</v>
      </c>
      <c r="P14" s="559">
        <v>16416</v>
      </c>
      <c r="Q14" s="559">
        <v>3765</v>
      </c>
      <c r="R14" s="559">
        <v>19143</v>
      </c>
      <c r="S14" s="559">
        <v>2520</v>
      </c>
      <c r="T14" s="559">
        <v>0</v>
      </c>
      <c r="U14" s="559">
        <v>349053</v>
      </c>
      <c r="V14" s="559">
        <v>8175</v>
      </c>
      <c r="W14" s="559">
        <v>40366</v>
      </c>
      <c r="X14" s="559">
        <v>1241321</v>
      </c>
      <c r="Y14" s="559">
        <v>0</v>
      </c>
      <c r="Z14" s="559">
        <v>640416</v>
      </c>
      <c r="AA14" s="559">
        <v>38338</v>
      </c>
      <c r="AB14" s="559">
        <v>57341</v>
      </c>
      <c r="AC14" s="559">
        <v>0</v>
      </c>
      <c r="AD14" s="559">
        <v>96182</v>
      </c>
      <c r="AE14" s="559">
        <v>18174</v>
      </c>
      <c r="AF14" s="559">
        <v>7956</v>
      </c>
      <c r="AG14" s="559">
        <v>14031</v>
      </c>
      <c r="AH14" s="559">
        <v>13875</v>
      </c>
      <c r="AI14" s="559">
        <v>32496</v>
      </c>
      <c r="AJ14" s="559">
        <v>800</v>
      </c>
      <c r="AK14" s="559">
        <v>64276</v>
      </c>
      <c r="AL14" s="559">
        <v>-2472</v>
      </c>
      <c r="AM14" s="559">
        <v>36865</v>
      </c>
      <c r="AN14" s="559">
        <v>26028</v>
      </c>
      <c r="AO14" s="559">
        <v>9194</v>
      </c>
      <c r="AP14" s="559">
        <v>158862</v>
      </c>
      <c r="AQ14" s="559">
        <v>22971</v>
      </c>
      <c r="AR14" s="559">
        <v>0</v>
      </c>
      <c r="AS14" s="559">
        <v>34135</v>
      </c>
      <c r="AT14" s="559">
        <v>14409</v>
      </c>
      <c r="AU14" s="559">
        <v>24913</v>
      </c>
      <c r="AV14" s="559">
        <v>115289</v>
      </c>
      <c r="AW14" s="559">
        <v>65287</v>
      </c>
      <c r="AX14" s="559">
        <v>169646</v>
      </c>
      <c r="AY14" s="559">
        <v>20568</v>
      </c>
      <c r="AZ14" s="559">
        <v>0</v>
      </c>
      <c r="BA14" s="559">
        <v>15820</v>
      </c>
      <c r="BB14" s="559">
        <v>267020</v>
      </c>
      <c r="BC14" s="559">
        <v>66079</v>
      </c>
      <c r="BD14" s="559">
        <v>9720</v>
      </c>
      <c r="BE14" s="559">
        <v>0</v>
      </c>
      <c r="BF14" s="559">
        <v>15820</v>
      </c>
      <c r="BG14" s="131">
        <v>5000</v>
      </c>
      <c r="BH14" s="131">
        <v>0</v>
      </c>
      <c r="BI14" s="559">
        <v>0</v>
      </c>
      <c r="BJ14" s="559">
        <v>0</v>
      </c>
      <c r="BK14" s="559">
        <v>15820</v>
      </c>
    </row>
    <row r="15" spans="1:63">
      <c r="A15" s="131">
        <v>2079</v>
      </c>
      <c r="B15" s="131" t="s">
        <v>38</v>
      </c>
      <c r="C15" s="559">
        <v>18233.23</v>
      </c>
      <c r="D15" s="559">
        <v>0</v>
      </c>
      <c r="E15" s="559">
        <v>0</v>
      </c>
      <c r="F15" s="559">
        <f t="shared" si="0"/>
        <v>18233.23</v>
      </c>
      <c r="G15" s="559">
        <v>1843379</v>
      </c>
      <c r="H15" s="559">
        <v>0</v>
      </c>
      <c r="I15" s="559">
        <v>26021</v>
      </c>
      <c r="J15" s="559">
        <v>0</v>
      </c>
      <c r="K15" s="559">
        <v>39690</v>
      </c>
      <c r="L15" s="559">
        <v>-1760</v>
      </c>
      <c r="M15" s="559">
        <v>3240</v>
      </c>
      <c r="N15" s="559">
        <v>14</v>
      </c>
      <c r="O15" s="559">
        <v>22507</v>
      </c>
      <c r="P15" s="559">
        <v>33652</v>
      </c>
      <c r="Q15" s="559">
        <v>7157</v>
      </c>
      <c r="R15" s="559">
        <v>2372</v>
      </c>
      <c r="S15" s="559">
        <v>35737</v>
      </c>
      <c r="T15" s="559">
        <v>0</v>
      </c>
      <c r="U15" s="559">
        <v>0</v>
      </c>
      <c r="V15" s="559">
        <v>0</v>
      </c>
      <c r="W15" s="559">
        <v>50215</v>
      </c>
      <c r="X15" s="559">
        <v>1354029</v>
      </c>
      <c r="Y15" s="559">
        <v>0</v>
      </c>
      <c r="Z15" s="559">
        <v>140017</v>
      </c>
      <c r="AA15" s="559">
        <v>13873</v>
      </c>
      <c r="AB15" s="559">
        <v>92911</v>
      </c>
      <c r="AC15" s="559">
        <v>0</v>
      </c>
      <c r="AD15" s="559">
        <v>62013</v>
      </c>
      <c r="AE15" s="559">
        <v>11595</v>
      </c>
      <c r="AF15" s="559">
        <v>22460</v>
      </c>
      <c r="AG15" s="559">
        <v>17152</v>
      </c>
      <c r="AH15" s="559">
        <v>263</v>
      </c>
      <c r="AI15" s="559">
        <v>15160</v>
      </c>
      <c r="AJ15" s="559">
        <v>0</v>
      </c>
      <c r="AK15" s="559">
        <v>75953</v>
      </c>
      <c r="AL15" s="559">
        <v>6844</v>
      </c>
      <c r="AM15" s="559">
        <v>26218</v>
      </c>
      <c r="AN15" s="559">
        <v>13956</v>
      </c>
      <c r="AO15" s="559">
        <v>20826</v>
      </c>
      <c r="AP15" s="559">
        <v>48098</v>
      </c>
      <c r="AQ15" s="559">
        <v>46996</v>
      </c>
      <c r="AR15" s="559">
        <v>0</v>
      </c>
      <c r="AS15" s="559">
        <v>64135</v>
      </c>
      <c r="AT15" s="559">
        <v>0</v>
      </c>
      <c r="AU15" s="559">
        <v>9961</v>
      </c>
      <c r="AV15" s="559">
        <v>60653</v>
      </c>
      <c r="AW15" s="559">
        <v>0</v>
      </c>
      <c r="AX15" s="559">
        <v>28825</v>
      </c>
      <c r="AY15" s="559">
        <v>26832</v>
      </c>
      <c r="AZ15" s="559">
        <v>0</v>
      </c>
      <c r="BA15" s="559">
        <v>0</v>
      </c>
      <c r="BB15" s="559">
        <v>0</v>
      </c>
      <c r="BC15" s="559">
        <v>0</v>
      </c>
      <c r="BD15" s="559">
        <v>1</v>
      </c>
      <c r="BE15" s="559">
        <v>0</v>
      </c>
      <c r="BF15" s="559">
        <v>0</v>
      </c>
      <c r="BG15" s="131">
        <v>5000</v>
      </c>
      <c r="BH15" s="131">
        <v>0</v>
      </c>
      <c r="BI15" s="559">
        <v>1</v>
      </c>
      <c r="BJ15" s="559">
        <v>0</v>
      </c>
      <c r="BK15" s="559">
        <v>0</v>
      </c>
    </row>
    <row r="16" spans="1:63">
      <c r="A16" s="131">
        <v>3524</v>
      </c>
      <c r="B16" s="131" t="s">
        <v>456</v>
      </c>
      <c r="C16" s="559">
        <v>65947.600000000006</v>
      </c>
      <c r="D16" s="559">
        <v>0</v>
      </c>
      <c r="E16" s="559">
        <v>0</v>
      </c>
      <c r="F16" s="559">
        <f t="shared" si="0"/>
        <v>65947.600000000006</v>
      </c>
      <c r="G16" s="559">
        <v>876009</v>
      </c>
      <c r="H16" s="559">
        <v>0</v>
      </c>
      <c r="I16" s="559">
        <v>146302</v>
      </c>
      <c r="J16" s="559">
        <v>0</v>
      </c>
      <c r="K16" s="559">
        <v>23400</v>
      </c>
      <c r="L16" s="559">
        <v>0</v>
      </c>
      <c r="M16" s="559">
        <v>0</v>
      </c>
      <c r="N16" s="559">
        <v>0</v>
      </c>
      <c r="O16" s="559">
        <v>29032</v>
      </c>
      <c r="P16" s="559">
        <v>0</v>
      </c>
      <c r="Q16" s="559">
        <v>0</v>
      </c>
      <c r="R16" s="559">
        <v>19943</v>
      </c>
      <c r="S16" s="559">
        <v>30000</v>
      </c>
      <c r="T16" s="559">
        <v>18000</v>
      </c>
      <c r="U16" s="559">
        <v>0</v>
      </c>
      <c r="V16" s="559">
        <v>0</v>
      </c>
      <c r="W16" s="559">
        <v>27874</v>
      </c>
      <c r="X16" s="559">
        <v>578848</v>
      </c>
      <c r="Y16" s="559">
        <v>0</v>
      </c>
      <c r="Z16" s="559">
        <v>139317</v>
      </c>
      <c r="AA16" s="559">
        <v>0</v>
      </c>
      <c r="AB16" s="559">
        <v>37970</v>
      </c>
      <c r="AC16" s="559">
        <v>0</v>
      </c>
      <c r="AD16" s="559">
        <v>2146</v>
      </c>
      <c r="AE16" s="559">
        <v>5658</v>
      </c>
      <c r="AF16" s="559">
        <v>13538</v>
      </c>
      <c r="AG16" s="559">
        <v>675</v>
      </c>
      <c r="AH16" s="559">
        <v>4830</v>
      </c>
      <c r="AI16" s="559">
        <v>53657</v>
      </c>
      <c r="AJ16" s="559">
        <v>1439</v>
      </c>
      <c r="AK16" s="559">
        <v>50781</v>
      </c>
      <c r="AL16" s="559">
        <v>1812</v>
      </c>
      <c r="AM16" s="559">
        <v>10849</v>
      </c>
      <c r="AN16" s="559">
        <v>0</v>
      </c>
      <c r="AO16" s="559">
        <v>6597</v>
      </c>
      <c r="AP16" s="559">
        <v>94127</v>
      </c>
      <c r="AQ16" s="559">
        <v>14879</v>
      </c>
      <c r="AR16" s="559">
        <v>0</v>
      </c>
      <c r="AS16" s="559">
        <v>14038</v>
      </c>
      <c r="AT16" s="559">
        <v>9548</v>
      </c>
      <c r="AU16" s="559">
        <v>0</v>
      </c>
      <c r="AV16" s="559">
        <v>47201</v>
      </c>
      <c r="AW16" s="559">
        <v>72780</v>
      </c>
      <c r="AX16" s="559">
        <v>26160</v>
      </c>
      <c r="AY16" s="559">
        <v>22993</v>
      </c>
      <c r="AZ16" s="559">
        <v>0</v>
      </c>
      <c r="BA16" s="559">
        <v>0</v>
      </c>
      <c r="BB16" s="559">
        <v>0</v>
      </c>
      <c r="BC16" s="559">
        <v>0</v>
      </c>
      <c r="BD16" s="559">
        <v>0</v>
      </c>
      <c r="BE16" s="559">
        <v>0</v>
      </c>
      <c r="BF16" s="559">
        <v>0</v>
      </c>
      <c r="BG16" s="131">
        <v>5000</v>
      </c>
      <c r="BH16" s="131">
        <v>0</v>
      </c>
      <c r="BI16" s="559">
        <v>0</v>
      </c>
      <c r="BJ16" s="559">
        <v>0</v>
      </c>
      <c r="BK16" s="559">
        <v>0</v>
      </c>
    </row>
    <row r="17" spans="1:63">
      <c r="A17" s="131">
        <v>2003</v>
      </c>
      <c r="B17" s="131" t="s">
        <v>39</v>
      </c>
      <c r="C17" s="559">
        <v>158993.93</v>
      </c>
      <c r="D17" s="559">
        <v>31931</v>
      </c>
      <c r="E17" s="559">
        <v>0.01</v>
      </c>
      <c r="F17" s="559">
        <f t="shared" si="0"/>
        <v>190924.94</v>
      </c>
      <c r="G17" s="559">
        <v>1876771</v>
      </c>
      <c r="H17" s="559">
        <v>0</v>
      </c>
      <c r="I17" s="559">
        <v>78101</v>
      </c>
      <c r="J17" s="559">
        <v>0</v>
      </c>
      <c r="K17" s="559">
        <v>205065</v>
      </c>
      <c r="L17" s="559">
        <v>3206</v>
      </c>
      <c r="M17" s="559">
        <v>1010</v>
      </c>
      <c r="N17" s="559">
        <v>28483</v>
      </c>
      <c r="O17" s="559">
        <v>29299</v>
      </c>
      <c r="P17" s="559">
        <v>9405</v>
      </c>
      <c r="Q17" s="559">
        <v>14707</v>
      </c>
      <c r="R17" s="559">
        <v>11360</v>
      </c>
      <c r="S17" s="559">
        <v>2019</v>
      </c>
      <c r="T17" s="559">
        <v>0</v>
      </c>
      <c r="U17" s="559">
        <v>269263</v>
      </c>
      <c r="V17" s="559">
        <v>4515</v>
      </c>
      <c r="W17" s="559">
        <v>34617</v>
      </c>
      <c r="X17" s="559">
        <v>982150</v>
      </c>
      <c r="Y17" s="559">
        <v>21049</v>
      </c>
      <c r="Z17" s="559">
        <v>415787</v>
      </c>
      <c r="AA17" s="559">
        <v>62553</v>
      </c>
      <c r="AB17" s="559">
        <v>73727</v>
      </c>
      <c r="AC17" s="559">
        <v>0</v>
      </c>
      <c r="AD17" s="559">
        <v>52289</v>
      </c>
      <c r="AE17" s="559">
        <v>21521</v>
      </c>
      <c r="AF17" s="559">
        <v>31693</v>
      </c>
      <c r="AG17" s="559">
        <v>18903</v>
      </c>
      <c r="AH17" s="559">
        <v>1561</v>
      </c>
      <c r="AI17" s="559">
        <v>58784</v>
      </c>
      <c r="AJ17" s="559">
        <v>3241</v>
      </c>
      <c r="AK17" s="559">
        <v>22336</v>
      </c>
      <c r="AL17" s="559">
        <v>4929</v>
      </c>
      <c r="AM17" s="559">
        <v>27370</v>
      </c>
      <c r="AN17" s="559">
        <v>18545</v>
      </c>
      <c r="AO17" s="559">
        <v>4442</v>
      </c>
      <c r="AP17" s="559">
        <v>83704</v>
      </c>
      <c r="AQ17" s="559">
        <v>22151</v>
      </c>
      <c r="AR17" s="559">
        <v>0</v>
      </c>
      <c r="AS17" s="559">
        <v>37855</v>
      </c>
      <c r="AT17" s="559">
        <v>8307</v>
      </c>
      <c r="AU17" s="559">
        <v>11766</v>
      </c>
      <c r="AV17" s="559">
        <v>90759</v>
      </c>
      <c r="AW17" s="559">
        <v>83702</v>
      </c>
      <c r="AX17" s="559">
        <v>178116</v>
      </c>
      <c r="AY17" s="559">
        <v>38297</v>
      </c>
      <c r="AZ17" s="559">
        <v>0</v>
      </c>
      <c r="BA17" s="559">
        <v>22763</v>
      </c>
      <c r="BB17" s="559">
        <v>230866</v>
      </c>
      <c r="BC17" s="559">
        <v>60784</v>
      </c>
      <c r="BD17" s="559">
        <v>8484</v>
      </c>
      <c r="BE17" s="559">
        <v>0</v>
      </c>
      <c r="BF17" s="559">
        <v>22763</v>
      </c>
      <c r="BG17" s="131">
        <v>5000</v>
      </c>
      <c r="BH17" s="131">
        <v>0</v>
      </c>
      <c r="BI17" s="559">
        <v>25000</v>
      </c>
      <c r="BJ17" s="559">
        <v>0</v>
      </c>
      <c r="BK17" s="559">
        <v>6246</v>
      </c>
    </row>
    <row r="18" spans="1:63">
      <c r="A18" s="131">
        <v>3511</v>
      </c>
      <c r="B18" s="131" t="s">
        <v>40</v>
      </c>
      <c r="C18" s="559">
        <v>217914.42</v>
      </c>
      <c r="D18" s="559">
        <v>0</v>
      </c>
      <c r="E18" s="559">
        <v>0</v>
      </c>
      <c r="F18" s="559">
        <f t="shared" si="0"/>
        <v>217914.42</v>
      </c>
      <c r="G18" s="559">
        <v>1509471</v>
      </c>
      <c r="H18" s="559">
        <v>0</v>
      </c>
      <c r="I18" s="559">
        <v>123412</v>
      </c>
      <c r="J18" s="559">
        <v>0</v>
      </c>
      <c r="K18" s="559">
        <v>116424</v>
      </c>
      <c r="L18" s="559">
        <v>1500</v>
      </c>
      <c r="M18" s="559">
        <v>600</v>
      </c>
      <c r="N18" s="559">
        <v>32648</v>
      </c>
      <c r="O18" s="559">
        <v>33961</v>
      </c>
      <c r="P18" s="559">
        <v>0</v>
      </c>
      <c r="Q18" s="559">
        <v>0</v>
      </c>
      <c r="R18" s="559">
        <v>25561</v>
      </c>
      <c r="S18" s="559">
        <v>13860</v>
      </c>
      <c r="T18" s="559">
        <v>0</v>
      </c>
      <c r="U18" s="559">
        <v>0</v>
      </c>
      <c r="V18" s="559">
        <v>0</v>
      </c>
      <c r="W18" s="559">
        <v>40345</v>
      </c>
      <c r="X18" s="559">
        <v>730536</v>
      </c>
      <c r="Y18" s="559">
        <v>33965</v>
      </c>
      <c r="Z18" s="559">
        <v>330302</v>
      </c>
      <c r="AA18" s="559">
        <v>31873</v>
      </c>
      <c r="AB18" s="559">
        <v>80552</v>
      </c>
      <c r="AC18" s="559">
        <v>0</v>
      </c>
      <c r="AD18" s="559">
        <v>43215</v>
      </c>
      <c r="AE18" s="559">
        <v>17089</v>
      </c>
      <c r="AF18" s="559">
        <v>39904</v>
      </c>
      <c r="AG18" s="559">
        <v>7985</v>
      </c>
      <c r="AH18" s="559">
        <v>1411</v>
      </c>
      <c r="AI18" s="559">
        <v>20658</v>
      </c>
      <c r="AJ18" s="559">
        <v>887</v>
      </c>
      <c r="AK18" s="559">
        <v>14907</v>
      </c>
      <c r="AL18" s="559">
        <v>6860</v>
      </c>
      <c r="AM18" s="559">
        <v>18893</v>
      </c>
      <c r="AN18" s="559">
        <v>0</v>
      </c>
      <c r="AO18" s="559">
        <v>18043</v>
      </c>
      <c r="AP18" s="559">
        <v>129896</v>
      </c>
      <c r="AQ18" s="559">
        <v>37853</v>
      </c>
      <c r="AR18" s="559">
        <v>0</v>
      </c>
      <c r="AS18" s="559">
        <v>20577</v>
      </c>
      <c r="AT18" s="559">
        <v>8769</v>
      </c>
      <c r="AU18" s="559">
        <v>38843</v>
      </c>
      <c r="AV18" s="559">
        <v>92907</v>
      </c>
      <c r="AW18" s="559">
        <v>68540</v>
      </c>
      <c r="AX18" s="559">
        <v>85253</v>
      </c>
      <c r="AY18" s="559">
        <v>26115</v>
      </c>
      <c r="AZ18" s="559">
        <v>0</v>
      </c>
      <c r="BA18" s="559">
        <v>67950</v>
      </c>
      <c r="BB18" s="559">
        <v>1</v>
      </c>
      <c r="BC18" s="559">
        <v>0</v>
      </c>
      <c r="BD18" s="559">
        <v>0</v>
      </c>
      <c r="BE18" s="559">
        <v>0</v>
      </c>
      <c r="BF18" s="559">
        <v>67950</v>
      </c>
      <c r="BG18" s="131">
        <v>5000</v>
      </c>
      <c r="BH18" s="131">
        <v>0</v>
      </c>
      <c r="BI18" s="559">
        <v>40003</v>
      </c>
      <c r="BJ18" s="559">
        <v>13860</v>
      </c>
      <c r="BK18" s="559">
        <v>14087</v>
      </c>
    </row>
    <row r="19" spans="1:63">
      <c r="A19" s="131">
        <v>2008</v>
      </c>
      <c r="B19" s="131" t="s">
        <v>42</v>
      </c>
      <c r="C19" s="559">
        <v>62439.79</v>
      </c>
      <c r="D19" s="559">
        <v>0</v>
      </c>
      <c r="E19" s="559">
        <v>7330</v>
      </c>
      <c r="F19" s="559">
        <f t="shared" si="0"/>
        <v>69769.790000000008</v>
      </c>
      <c r="G19" s="559">
        <v>1245208</v>
      </c>
      <c r="H19" s="559">
        <v>0</v>
      </c>
      <c r="I19" s="559">
        <v>41434</v>
      </c>
      <c r="J19" s="559">
        <v>0</v>
      </c>
      <c r="K19" s="559">
        <v>66150</v>
      </c>
      <c r="L19" s="559">
        <v>3710</v>
      </c>
      <c r="M19" s="559">
        <v>1610</v>
      </c>
      <c r="N19" s="559">
        <v>30223</v>
      </c>
      <c r="O19" s="559">
        <v>17625</v>
      </c>
      <c r="P19" s="559">
        <v>38497</v>
      </c>
      <c r="Q19" s="559">
        <v>344</v>
      </c>
      <c r="R19" s="559">
        <v>19625</v>
      </c>
      <c r="S19" s="559">
        <v>2516</v>
      </c>
      <c r="T19" s="559">
        <v>0</v>
      </c>
      <c r="U19" s="559">
        <v>0</v>
      </c>
      <c r="V19" s="559">
        <v>0</v>
      </c>
      <c r="W19" s="559">
        <v>58333</v>
      </c>
      <c r="X19" s="559">
        <v>629652</v>
      </c>
      <c r="Y19" s="559">
        <v>0</v>
      </c>
      <c r="Z19" s="559">
        <v>294778</v>
      </c>
      <c r="AA19" s="559">
        <v>33374</v>
      </c>
      <c r="AB19" s="559">
        <v>63999</v>
      </c>
      <c r="AC19" s="559">
        <v>0</v>
      </c>
      <c r="AD19" s="559">
        <v>29597</v>
      </c>
      <c r="AE19" s="559">
        <v>13563</v>
      </c>
      <c r="AF19" s="559">
        <v>9309</v>
      </c>
      <c r="AG19" s="559">
        <v>7153</v>
      </c>
      <c r="AH19" s="559">
        <v>7359</v>
      </c>
      <c r="AI19" s="559">
        <v>13255</v>
      </c>
      <c r="AJ19" s="559">
        <v>5369</v>
      </c>
      <c r="AK19" s="559">
        <v>15553</v>
      </c>
      <c r="AL19" s="559">
        <v>3697</v>
      </c>
      <c r="AM19" s="559">
        <v>21975</v>
      </c>
      <c r="AN19" s="559">
        <v>16315</v>
      </c>
      <c r="AO19" s="559">
        <v>7560</v>
      </c>
      <c r="AP19" s="559">
        <v>38181</v>
      </c>
      <c r="AQ19" s="559">
        <v>16967</v>
      </c>
      <c r="AR19" s="559">
        <v>0</v>
      </c>
      <c r="AS19" s="559">
        <v>9278</v>
      </c>
      <c r="AT19" s="559">
        <v>5990</v>
      </c>
      <c r="AU19" s="559">
        <v>10794</v>
      </c>
      <c r="AV19" s="559">
        <v>82369</v>
      </c>
      <c r="AW19" s="559">
        <v>139052</v>
      </c>
      <c r="AX19" s="559">
        <v>13541</v>
      </c>
      <c r="AY19" s="559">
        <v>29244</v>
      </c>
      <c r="AZ19" s="559">
        <v>0</v>
      </c>
      <c r="BA19" s="559">
        <v>11765</v>
      </c>
      <c r="BB19" s="559">
        <v>0</v>
      </c>
      <c r="BC19" s="559">
        <v>0</v>
      </c>
      <c r="BD19" s="559">
        <v>7285</v>
      </c>
      <c r="BE19" s="559">
        <v>29874</v>
      </c>
      <c r="BF19" s="559">
        <v>11765</v>
      </c>
      <c r="BG19" s="131">
        <v>5000</v>
      </c>
      <c r="BH19" s="131">
        <v>0</v>
      </c>
      <c r="BI19" s="559">
        <v>15508</v>
      </c>
      <c r="BJ19" s="559">
        <v>0</v>
      </c>
      <c r="BK19" s="559">
        <v>33415</v>
      </c>
    </row>
    <row r="20" spans="1:63">
      <c r="A20" s="131">
        <v>2007</v>
      </c>
      <c r="B20" s="131" t="s">
        <v>43</v>
      </c>
      <c r="C20" s="559">
        <v>196812.72</v>
      </c>
      <c r="D20" s="559">
        <v>0</v>
      </c>
      <c r="E20" s="559">
        <v>10387</v>
      </c>
      <c r="F20" s="559">
        <f t="shared" si="0"/>
        <v>207199.72</v>
      </c>
      <c r="G20" s="559">
        <v>1406719</v>
      </c>
      <c r="H20" s="559">
        <v>0</v>
      </c>
      <c r="I20" s="559">
        <v>117915</v>
      </c>
      <c r="J20" s="559">
        <v>0</v>
      </c>
      <c r="K20" s="559">
        <v>72019</v>
      </c>
      <c r="L20" s="559">
        <v>6650</v>
      </c>
      <c r="M20" s="559">
        <v>1340</v>
      </c>
      <c r="N20" s="559">
        <v>35300</v>
      </c>
      <c r="O20" s="559">
        <v>54085</v>
      </c>
      <c r="P20" s="559">
        <v>4788</v>
      </c>
      <c r="Q20" s="559">
        <v>0</v>
      </c>
      <c r="R20" s="559">
        <v>45994</v>
      </c>
      <c r="S20" s="559">
        <v>6497</v>
      </c>
      <c r="T20" s="559">
        <v>0</v>
      </c>
      <c r="U20" s="559">
        <v>0</v>
      </c>
      <c r="V20" s="559">
        <v>0</v>
      </c>
      <c r="W20" s="559">
        <v>9496</v>
      </c>
      <c r="X20" s="559">
        <v>812160</v>
      </c>
      <c r="Y20" s="559">
        <v>0</v>
      </c>
      <c r="Z20" s="559">
        <v>255808</v>
      </c>
      <c r="AA20" s="559">
        <v>40729</v>
      </c>
      <c r="AB20" s="559">
        <v>49625</v>
      </c>
      <c r="AC20" s="559">
        <v>0</v>
      </c>
      <c r="AD20" s="559">
        <v>29343</v>
      </c>
      <c r="AE20" s="559">
        <v>11527</v>
      </c>
      <c r="AF20" s="559">
        <v>14656</v>
      </c>
      <c r="AG20" s="559">
        <v>14281</v>
      </c>
      <c r="AH20" s="559">
        <v>1499</v>
      </c>
      <c r="AI20" s="559">
        <v>24754</v>
      </c>
      <c r="AJ20" s="559">
        <v>5084</v>
      </c>
      <c r="AK20" s="559">
        <v>18631</v>
      </c>
      <c r="AL20" s="559">
        <v>3674</v>
      </c>
      <c r="AM20" s="559">
        <v>23044</v>
      </c>
      <c r="AN20" s="559">
        <v>16315</v>
      </c>
      <c r="AO20" s="559">
        <v>7183</v>
      </c>
      <c r="AP20" s="559">
        <v>68953</v>
      </c>
      <c r="AQ20" s="559">
        <v>21135</v>
      </c>
      <c r="AR20" s="559">
        <v>0</v>
      </c>
      <c r="AS20" s="559">
        <v>14318</v>
      </c>
      <c r="AT20" s="559">
        <v>7177</v>
      </c>
      <c r="AU20" s="559">
        <v>4700</v>
      </c>
      <c r="AV20" s="559">
        <v>65226</v>
      </c>
      <c r="AW20" s="559">
        <v>30175</v>
      </c>
      <c r="AX20" s="559">
        <v>171729</v>
      </c>
      <c r="AY20" s="559">
        <v>41479</v>
      </c>
      <c r="AZ20" s="559">
        <v>0</v>
      </c>
      <c r="BA20" s="559">
        <v>43713</v>
      </c>
      <c r="BB20" s="559">
        <v>0</v>
      </c>
      <c r="BC20" s="559">
        <v>0</v>
      </c>
      <c r="BD20" s="559">
        <v>8028</v>
      </c>
      <c r="BE20" s="559">
        <v>0</v>
      </c>
      <c r="BF20" s="559">
        <v>43713</v>
      </c>
      <c r="BG20" s="131">
        <v>5000</v>
      </c>
      <c r="BH20" s="131">
        <v>0</v>
      </c>
      <c r="BI20" s="559">
        <v>6329</v>
      </c>
      <c r="BJ20" s="559">
        <v>0</v>
      </c>
      <c r="BK20" s="559">
        <v>45412</v>
      </c>
    </row>
    <row r="21" spans="1:63">
      <c r="A21" s="131">
        <v>2009</v>
      </c>
      <c r="B21" s="131" t="s">
        <v>44</v>
      </c>
      <c r="C21" s="559">
        <v>221224.95</v>
      </c>
      <c r="D21" s="559">
        <v>0</v>
      </c>
      <c r="E21" s="559">
        <v>7508.08</v>
      </c>
      <c r="F21" s="559">
        <f t="shared" si="0"/>
        <v>228733.03</v>
      </c>
      <c r="G21" s="559">
        <v>1536779</v>
      </c>
      <c r="H21" s="559">
        <v>0</v>
      </c>
      <c r="I21" s="559">
        <v>14612</v>
      </c>
      <c r="J21" s="559">
        <v>0</v>
      </c>
      <c r="K21" s="559">
        <v>141630</v>
      </c>
      <c r="L21" s="559">
        <v>16085</v>
      </c>
      <c r="M21" s="559">
        <v>740</v>
      </c>
      <c r="N21" s="559">
        <v>71833</v>
      </c>
      <c r="O21" s="559">
        <v>27864</v>
      </c>
      <c r="P21" s="559">
        <v>2990</v>
      </c>
      <c r="Q21" s="559">
        <v>2285</v>
      </c>
      <c r="R21" s="559">
        <v>7297</v>
      </c>
      <c r="S21" s="559">
        <v>3056</v>
      </c>
      <c r="T21" s="559">
        <v>0</v>
      </c>
      <c r="U21" s="559">
        <v>0</v>
      </c>
      <c r="V21" s="559">
        <v>0</v>
      </c>
      <c r="W21" s="559">
        <v>42139</v>
      </c>
      <c r="X21" s="559">
        <v>758303</v>
      </c>
      <c r="Y21" s="559">
        <v>0</v>
      </c>
      <c r="Z21" s="559">
        <v>425937</v>
      </c>
      <c r="AA21" s="559">
        <v>31548</v>
      </c>
      <c r="AB21" s="559">
        <v>61959</v>
      </c>
      <c r="AC21" s="559">
        <v>0</v>
      </c>
      <c r="AD21" s="559">
        <v>43568</v>
      </c>
      <c r="AE21" s="559">
        <v>14057</v>
      </c>
      <c r="AF21" s="559">
        <v>11322</v>
      </c>
      <c r="AG21" s="559">
        <v>12838</v>
      </c>
      <c r="AH21" s="559">
        <v>1378</v>
      </c>
      <c r="AI21" s="559">
        <v>19596</v>
      </c>
      <c r="AJ21" s="559">
        <v>3492</v>
      </c>
      <c r="AK21" s="559">
        <v>27644</v>
      </c>
      <c r="AL21" s="559">
        <v>3552</v>
      </c>
      <c r="AM21" s="559">
        <v>29902</v>
      </c>
      <c r="AN21" s="559">
        <v>11069</v>
      </c>
      <c r="AO21" s="559">
        <v>5981</v>
      </c>
      <c r="AP21" s="559">
        <v>78730</v>
      </c>
      <c r="AQ21" s="559">
        <v>11969</v>
      </c>
      <c r="AR21" s="559">
        <v>0</v>
      </c>
      <c r="AS21" s="559">
        <v>10423</v>
      </c>
      <c r="AT21" s="559">
        <v>8969</v>
      </c>
      <c r="AU21" s="559">
        <v>14310</v>
      </c>
      <c r="AV21" s="559">
        <v>76177</v>
      </c>
      <c r="AW21" s="559">
        <v>48486</v>
      </c>
      <c r="AX21" s="559">
        <v>78464</v>
      </c>
      <c r="AY21" s="559">
        <v>23068</v>
      </c>
      <c r="AZ21" s="559">
        <v>0</v>
      </c>
      <c r="BA21" s="559">
        <v>71175</v>
      </c>
      <c r="BB21" s="559">
        <v>-1</v>
      </c>
      <c r="BC21" s="559">
        <v>0</v>
      </c>
      <c r="BD21" s="559">
        <v>7236</v>
      </c>
      <c r="BE21" s="559">
        <v>37112</v>
      </c>
      <c r="BF21" s="559">
        <v>71175</v>
      </c>
      <c r="BG21" s="131">
        <v>5000</v>
      </c>
      <c r="BH21" s="131">
        <v>0</v>
      </c>
      <c r="BI21" s="559">
        <v>11164</v>
      </c>
      <c r="BJ21" s="559">
        <v>70269</v>
      </c>
      <c r="BK21" s="559">
        <v>39558</v>
      </c>
    </row>
    <row r="22" spans="1:63">
      <c r="A22" s="131">
        <v>2067</v>
      </c>
      <c r="B22" s="131" t="s">
        <v>45</v>
      </c>
      <c r="C22" s="559">
        <v>83294.649999999994</v>
      </c>
      <c r="D22" s="559">
        <v>0</v>
      </c>
      <c r="E22" s="559">
        <v>-0.6</v>
      </c>
      <c r="F22" s="559">
        <f t="shared" si="0"/>
        <v>83294.049999999988</v>
      </c>
      <c r="G22" s="559">
        <v>1016553</v>
      </c>
      <c r="H22" s="559">
        <v>0</v>
      </c>
      <c r="I22" s="559">
        <v>31430</v>
      </c>
      <c r="J22" s="559">
        <v>0</v>
      </c>
      <c r="K22" s="559">
        <v>83800</v>
      </c>
      <c r="L22" s="559">
        <v>25135</v>
      </c>
      <c r="M22" s="559">
        <v>8238</v>
      </c>
      <c r="N22" s="559">
        <v>18488</v>
      </c>
      <c r="O22" s="559">
        <v>25156</v>
      </c>
      <c r="P22" s="559">
        <v>35739</v>
      </c>
      <c r="Q22" s="559">
        <v>-55</v>
      </c>
      <c r="R22" s="559">
        <v>18079</v>
      </c>
      <c r="S22" s="559">
        <v>2559</v>
      </c>
      <c r="T22" s="559">
        <v>0</v>
      </c>
      <c r="U22" s="559">
        <v>0</v>
      </c>
      <c r="V22" s="559">
        <v>0</v>
      </c>
      <c r="W22" s="559">
        <v>25049</v>
      </c>
      <c r="X22" s="559">
        <v>563574</v>
      </c>
      <c r="Y22" s="559">
        <v>0</v>
      </c>
      <c r="Z22" s="559">
        <v>188680</v>
      </c>
      <c r="AA22" s="559">
        <v>26060</v>
      </c>
      <c r="AB22" s="559">
        <v>49157</v>
      </c>
      <c r="AC22" s="559">
        <v>0</v>
      </c>
      <c r="AD22" s="559">
        <v>14322</v>
      </c>
      <c r="AE22" s="559">
        <v>18377</v>
      </c>
      <c r="AF22" s="559">
        <v>3053</v>
      </c>
      <c r="AG22" s="559">
        <v>9596</v>
      </c>
      <c r="AH22" s="559">
        <v>865</v>
      </c>
      <c r="AI22" s="559">
        <v>13971</v>
      </c>
      <c r="AJ22" s="559">
        <v>4872</v>
      </c>
      <c r="AK22" s="559">
        <v>25632</v>
      </c>
      <c r="AL22" s="559">
        <v>2396</v>
      </c>
      <c r="AM22" s="559">
        <v>11976</v>
      </c>
      <c r="AN22" s="559">
        <v>14701</v>
      </c>
      <c r="AO22" s="559">
        <v>8692</v>
      </c>
      <c r="AP22" s="559">
        <v>78120</v>
      </c>
      <c r="AQ22" s="559">
        <v>15541</v>
      </c>
      <c r="AR22" s="559">
        <v>0</v>
      </c>
      <c r="AS22" s="559">
        <v>7027</v>
      </c>
      <c r="AT22" s="559">
        <v>4690</v>
      </c>
      <c r="AU22" s="559">
        <v>12051</v>
      </c>
      <c r="AV22" s="559">
        <v>51974</v>
      </c>
      <c r="AW22" s="559">
        <v>42062</v>
      </c>
      <c r="AX22" s="559">
        <v>62029</v>
      </c>
      <c r="AY22" s="559">
        <v>19731</v>
      </c>
      <c r="AZ22" s="559">
        <v>0</v>
      </c>
      <c r="BA22" s="559">
        <v>10651</v>
      </c>
      <c r="BB22" s="559">
        <v>2</v>
      </c>
      <c r="BC22" s="559">
        <v>0</v>
      </c>
      <c r="BD22" s="559">
        <v>6296</v>
      </c>
      <c r="BE22" s="559">
        <v>0</v>
      </c>
      <c r="BF22" s="559">
        <v>10651</v>
      </c>
      <c r="BG22" s="131">
        <v>5000</v>
      </c>
      <c r="BH22" s="131">
        <v>0</v>
      </c>
      <c r="BI22" s="559">
        <v>16946</v>
      </c>
      <c r="BJ22" s="559">
        <v>0</v>
      </c>
      <c r="BK22" s="559">
        <v>0</v>
      </c>
    </row>
    <row r="23" spans="1:63">
      <c r="A23" s="131">
        <v>2010</v>
      </c>
      <c r="B23" s="131" t="s">
        <v>46</v>
      </c>
      <c r="C23" s="559">
        <v>223948.61</v>
      </c>
      <c r="D23" s="559">
        <v>23381</v>
      </c>
      <c r="E23" s="559">
        <v>1</v>
      </c>
      <c r="F23" s="559">
        <f t="shared" si="0"/>
        <v>247330.61</v>
      </c>
      <c r="G23" s="559">
        <v>1833804</v>
      </c>
      <c r="H23" s="559">
        <v>0</v>
      </c>
      <c r="I23" s="559">
        <v>398697</v>
      </c>
      <c r="J23" s="559">
        <v>0</v>
      </c>
      <c r="K23" s="559">
        <v>209878</v>
      </c>
      <c r="L23" s="559">
        <v>10025</v>
      </c>
      <c r="M23" s="559">
        <v>31804</v>
      </c>
      <c r="N23" s="559">
        <v>30223</v>
      </c>
      <c r="O23" s="559">
        <v>31354</v>
      </c>
      <c r="P23" s="559">
        <v>0</v>
      </c>
      <c r="Q23" s="559">
        <v>11041</v>
      </c>
      <c r="R23" s="559">
        <v>20468</v>
      </c>
      <c r="S23" s="559">
        <v>7409</v>
      </c>
      <c r="T23" s="559">
        <v>0</v>
      </c>
      <c r="U23" s="559">
        <v>278146</v>
      </c>
      <c r="V23" s="559">
        <v>2153</v>
      </c>
      <c r="W23" s="559">
        <v>29673</v>
      </c>
      <c r="X23" s="559">
        <v>1020164</v>
      </c>
      <c r="Y23" s="559">
        <v>0</v>
      </c>
      <c r="Z23" s="559">
        <v>704934</v>
      </c>
      <c r="AA23" s="559">
        <v>73265</v>
      </c>
      <c r="AB23" s="559">
        <v>94136</v>
      </c>
      <c r="AC23" s="559">
        <v>0</v>
      </c>
      <c r="AD23" s="559">
        <v>40412</v>
      </c>
      <c r="AE23" s="559">
        <v>49731</v>
      </c>
      <c r="AF23" s="559">
        <v>15870</v>
      </c>
      <c r="AG23" s="559">
        <v>24816</v>
      </c>
      <c r="AH23" s="559">
        <v>1353</v>
      </c>
      <c r="AI23" s="559">
        <v>61167</v>
      </c>
      <c r="AJ23" s="559">
        <v>2333</v>
      </c>
      <c r="AK23" s="559">
        <v>4649</v>
      </c>
      <c r="AL23" s="559">
        <v>3505</v>
      </c>
      <c r="AM23" s="559">
        <v>18828</v>
      </c>
      <c r="AN23" s="559">
        <v>20469</v>
      </c>
      <c r="AO23" s="559">
        <v>12153</v>
      </c>
      <c r="AP23" s="559">
        <v>99849</v>
      </c>
      <c r="AQ23" s="559">
        <v>36211</v>
      </c>
      <c r="AR23" s="559">
        <v>0</v>
      </c>
      <c r="AS23" s="559">
        <v>19405</v>
      </c>
      <c r="AT23" s="559">
        <v>8722</v>
      </c>
      <c r="AU23" s="559">
        <v>10569</v>
      </c>
      <c r="AV23" s="559">
        <v>81376</v>
      </c>
      <c r="AW23" s="559">
        <v>102099</v>
      </c>
      <c r="AX23" s="559">
        <v>149557</v>
      </c>
      <c r="AY23" s="559">
        <v>51345</v>
      </c>
      <c r="AZ23" s="559">
        <v>0</v>
      </c>
      <c r="BA23" s="559">
        <v>16560</v>
      </c>
      <c r="BB23" s="559">
        <v>244099</v>
      </c>
      <c r="BC23" s="559">
        <v>50159</v>
      </c>
      <c r="BD23" s="559">
        <v>7832</v>
      </c>
      <c r="BE23" s="559">
        <v>0</v>
      </c>
      <c r="BF23" s="559">
        <v>16560</v>
      </c>
      <c r="BG23" s="131">
        <v>5000</v>
      </c>
      <c r="BH23" s="131">
        <v>0</v>
      </c>
      <c r="BI23" s="559">
        <v>0</v>
      </c>
      <c r="BJ23" s="559">
        <v>19000</v>
      </c>
      <c r="BK23" s="559">
        <v>5391</v>
      </c>
    </row>
    <row r="24" spans="1:63">
      <c r="A24" s="131">
        <v>3302</v>
      </c>
      <c r="B24" s="131" t="s">
        <v>47</v>
      </c>
      <c r="C24" s="559">
        <v>46560.78</v>
      </c>
      <c r="D24" s="559">
        <v>0</v>
      </c>
      <c r="E24" s="559">
        <v>-14447</v>
      </c>
      <c r="F24" s="559">
        <f t="shared" si="0"/>
        <v>32113.78</v>
      </c>
      <c r="G24" s="559">
        <v>919340</v>
      </c>
      <c r="H24" s="559">
        <v>0</v>
      </c>
      <c r="I24" s="559">
        <v>19207</v>
      </c>
      <c r="J24" s="559">
        <v>0</v>
      </c>
      <c r="K24" s="559">
        <v>23400</v>
      </c>
      <c r="L24" s="559">
        <v>21064</v>
      </c>
      <c r="M24" s="559">
        <v>-1</v>
      </c>
      <c r="N24" s="559">
        <v>17242</v>
      </c>
      <c r="O24" s="559">
        <v>36922</v>
      </c>
      <c r="P24" s="559">
        <v>8550</v>
      </c>
      <c r="Q24" s="559">
        <v>0</v>
      </c>
      <c r="R24" s="559">
        <v>33011</v>
      </c>
      <c r="S24" s="559">
        <v>14005</v>
      </c>
      <c r="T24" s="559">
        <v>0</v>
      </c>
      <c r="U24" s="559">
        <v>0</v>
      </c>
      <c r="V24" s="559">
        <v>0</v>
      </c>
      <c r="W24" s="559">
        <v>27496</v>
      </c>
      <c r="X24" s="559">
        <v>480678</v>
      </c>
      <c r="Y24" s="559">
        <v>34828</v>
      </c>
      <c r="Z24" s="559">
        <v>165147</v>
      </c>
      <c r="AA24" s="559">
        <v>35031</v>
      </c>
      <c r="AB24" s="559">
        <v>34947</v>
      </c>
      <c r="AC24" s="559">
        <v>0</v>
      </c>
      <c r="AD24" s="559">
        <v>22425</v>
      </c>
      <c r="AE24" s="559">
        <v>5578</v>
      </c>
      <c r="AF24" s="559">
        <v>2859</v>
      </c>
      <c r="AG24" s="559">
        <v>8667</v>
      </c>
      <c r="AH24" s="559">
        <v>958</v>
      </c>
      <c r="AI24" s="559">
        <v>13282</v>
      </c>
      <c r="AJ24" s="559">
        <v>898</v>
      </c>
      <c r="AK24" s="559">
        <v>3651</v>
      </c>
      <c r="AL24" s="559">
        <v>2577</v>
      </c>
      <c r="AM24" s="559">
        <v>9735</v>
      </c>
      <c r="AN24" s="559">
        <v>0</v>
      </c>
      <c r="AO24" s="559">
        <v>3333</v>
      </c>
      <c r="AP24" s="559">
        <v>49204</v>
      </c>
      <c r="AQ24" s="559">
        <v>15598</v>
      </c>
      <c r="AR24" s="559">
        <v>0</v>
      </c>
      <c r="AS24" s="559">
        <v>4356</v>
      </c>
      <c r="AT24" s="559">
        <v>2620</v>
      </c>
      <c r="AU24" s="559">
        <v>476</v>
      </c>
      <c r="AV24" s="559">
        <v>62273</v>
      </c>
      <c r="AW24" s="559">
        <v>41612</v>
      </c>
      <c r="AX24" s="559">
        <v>31398</v>
      </c>
      <c r="AY24" s="559">
        <v>23412</v>
      </c>
      <c r="AZ24" s="559">
        <v>0</v>
      </c>
      <c r="BA24" s="559">
        <v>14447</v>
      </c>
      <c r="BB24" s="559">
        <v>0</v>
      </c>
      <c r="BC24" s="559">
        <v>0</v>
      </c>
      <c r="BD24" s="559">
        <v>0</v>
      </c>
      <c r="BE24" s="559">
        <v>0</v>
      </c>
      <c r="BF24" s="559">
        <v>14447</v>
      </c>
      <c r="BG24" s="131">
        <v>5000</v>
      </c>
      <c r="BH24" s="131">
        <v>0</v>
      </c>
      <c r="BI24" s="559">
        <v>0</v>
      </c>
      <c r="BJ24" s="559">
        <v>0</v>
      </c>
      <c r="BK24" s="559">
        <v>0</v>
      </c>
    </row>
    <row r="25" spans="1:63">
      <c r="A25" s="131">
        <v>2011</v>
      </c>
      <c r="B25" s="131" t="s">
        <v>48</v>
      </c>
      <c r="C25" s="559">
        <v>65623.070000000007</v>
      </c>
      <c r="D25" s="559">
        <v>0</v>
      </c>
      <c r="E25" s="559">
        <v>6817.7</v>
      </c>
      <c r="F25" s="559">
        <f t="shared" si="0"/>
        <v>72440.77</v>
      </c>
      <c r="G25" s="559">
        <v>989775</v>
      </c>
      <c r="H25" s="559">
        <v>0</v>
      </c>
      <c r="I25" s="559">
        <v>32292</v>
      </c>
      <c r="J25" s="559">
        <v>0</v>
      </c>
      <c r="K25" s="559">
        <v>45482</v>
      </c>
      <c r="L25" s="559">
        <v>0</v>
      </c>
      <c r="M25" s="559">
        <v>7765</v>
      </c>
      <c r="N25" s="559">
        <v>15777</v>
      </c>
      <c r="O25" s="559">
        <v>36965</v>
      </c>
      <c r="P25" s="559">
        <v>522</v>
      </c>
      <c r="Q25" s="559">
        <v>0</v>
      </c>
      <c r="R25" s="559">
        <v>35613</v>
      </c>
      <c r="S25" s="559">
        <v>1493</v>
      </c>
      <c r="T25" s="559">
        <v>0</v>
      </c>
      <c r="U25" s="559">
        <v>0</v>
      </c>
      <c r="V25" s="559">
        <v>0</v>
      </c>
      <c r="W25" s="559">
        <v>33236</v>
      </c>
      <c r="X25" s="559">
        <v>581419</v>
      </c>
      <c r="Y25" s="559">
        <v>840</v>
      </c>
      <c r="Z25" s="559">
        <v>217204</v>
      </c>
      <c r="AA25" s="559">
        <v>31708</v>
      </c>
      <c r="AB25" s="559">
        <v>59246</v>
      </c>
      <c r="AC25" s="559">
        <v>1</v>
      </c>
      <c r="AD25" s="559">
        <v>34066</v>
      </c>
      <c r="AE25" s="559">
        <v>5545</v>
      </c>
      <c r="AF25" s="559">
        <v>7871</v>
      </c>
      <c r="AG25" s="559">
        <v>9503</v>
      </c>
      <c r="AH25" s="559">
        <v>991</v>
      </c>
      <c r="AI25" s="559">
        <v>18626</v>
      </c>
      <c r="AJ25" s="559">
        <v>5295</v>
      </c>
      <c r="AK25" s="559">
        <v>13027</v>
      </c>
      <c r="AL25" s="559">
        <v>3503</v>
      </c>
      <c r="AM25" s="559">
        <v>19994</v>
      </c>
      <c r="AN25" s="559">
        <v>15183</v>
      </c>
      <c r="AO25" s="559">
        <v>5075</v>
      </c>
      <c r="AP25" s="559">
        <v>66421</v>
      </c>
      <c r="AQ25" s="559">
        <v>12791</v>
      </c>
      <c r="AR25" s="559">
        <v>0</v>
      </c>
      <c r="AS25" s="559">
        <v>5255</v>
      </c>
      <c r="AT25" s="559">
        <v>9242</v>
      </c>
      <c r="AU25" s="559">
        <v>2831</v>
      </c>
      <c r="AV25" s="559">
        <v>62651</v>
      </c>
      <c r="AW25" s="559">
        <v>16754</v>
      </c>
      <c r="AX25" s="559">
        <v>40872</v>
      </c>
      <c r="AY25" s="559">
        <v>14737</v>
      </c>
      <c r="AZ25" s="559">
        <v>0</v>
      </c>
      <c r="BA25" s="559">
        <v>0</v>
      </c>
      <c r="BB25" s="559">
        <v>0</v>
      </c>
      <c r="BC25" s="559">
        <v>0</v>
      </c>
      <c r="BD25" s="559">
        <v>6588</v>
      </c>
      <c r="BE25" s="559">
        <v>0</v>
      </c>
      <c r="BF25" s="559">
        <v>0</v>
      </c>
      <c r="BG25" s="131">
        <v>5000</v>
      </c>
      <c r="BH25" s="131">
        <v>0</v>
      </c>
      <c r="BI25" s="559">
        <v>9000</v>
      </c>
      <c r="BJ25" s="559">
        <v>0</v>
      </c>
      <c r="BK25" s="559">
        <v>0</v>
      </c>
    </row>
    <row r="26" spans="1:63">
      <c r="A26" s="131">
        <v>3522</v>
      </c>
      <c r="B26" s="131" t="s">
        <v>49</v>
      </c>
      <c r="C26" s="559">
        <v>254160.89</v>
      </c>
      <c r="D26" s="559">
        <v>0</v>
      </c>
      <c r="E26" s="559">
        <v>-0.18</v>
      </c>
      <c r="F26" s="559">
        <f t="shared" si="0"/>
        <v>254160.71000000002</v>
      </c>
      <c r="G26" s="559">
        <v>2065846</v>
      </c>
      <c r="H26" s="559">
        <v>0</v>
      </c>
      <c r="I26" s="559">
        <v>21528</v>
      </c>
      <c r="J26" s="559">
        <v>0</v>
      </c>
      <c r="K26" s="559">
        <v>307800</v>
      </c>
      <c r="L26" s="559">
        <v>4960</v>
      </c>
      <c r="M26" s="559">
        <v>1280</v>
      </c>
      <c r="N26" s="559">
        <v>6992</v>
      </c>
      <c r="O26" s="559">
        <v>17583</v>
      </c>
      <c r="P26" s="559">
        <v>0</v>
      </c>
      <c r="Q26" s="559">
        <v>10878</v>
      </c>
      <c r="R26" s="559">
        <v>4292</v>
      </c>
      <c r="S26" s="559">
        <v>3357</v>
      </c>
      <c r="T26" s="559">
        <v>0</v>
      </c>
      <c r="U26" s="559">
        <v>0</v>
      </c>
      <c r="V26" s="559">
        <v>0</v>
      </c>
      <c r="W26" s="559">
        <v>34821</v>
      </c>
      <c r="X26" s="559">
        <v>1033520</v>
      </c>
      <c r="Y26" s="559">
        <v>8636</v>
      </c>
      <c r="Z26" s="559">
        <v>496218</v>
      </c>
      <c r="AA26" s="559">
        <v>55484</v>
      </c>
      <c r="AB26" s="559">
        <v>66804</v>
      </c>
      <c r="AC26" s="559">
        <v>0</v>
      </c>
      <c r="AD26" s="559">
        <v>1551</v>
      </c>
      <c r="AE26" s="559">
        <v>22210</v>
      </c>
      <c r="AF26" s="559">
        <v>15169</v>
      </c>
      <c r="AG26" s="559">
        <v>12332</v>
      </c>
      <c r="AH26" s="559">
        <v>11460</v>
      </c>
      <c r="AI26" s="559">
        <v>49249</v>
      </c>
      <c r="AJ26" s="559">
        <v>4174</v>
      </c>
      <c r="AK26" s="559">
        <v>23406</v>
      </c>
      <c r="AL26" s="559">
        <v>6304</v>
      </c>
      <c r="AM26" s="559">
        <v>25227</v>
      </c>
      <c r="AN26" s="559">
        <v>18316</v>
      </c>
      <c r="AO26" s="559">
        <v>9378</v>
      </c>
      <c r="AP26" s="559">
        <v>64497</v>
      </c>
      <c r="AQ26" s="559">
        <v>32155</v>
      </c>
      <c r="AR26" s="559">
        <v>0</v>
      </c>
      <c r="AS26" s="559">
        <v>12330</v>
      </c>
      <c r="AT26" s="559">
        <v>9758</v>
      </c>
      <c r="AU26" s="559">
        <v>10634</v>
      </c>
      <c r="AV26" s="559">
        <v>96489</v>
      </c>
      <c r="AW26" s="559">
        <v>92300</v>
      </c>
      <c r="AX26" s="559">
        <v>248364</v>
      </c>
      <c r="AY26" s="559">
        <v>39335</v>
      </c>
      <c r="AZ26" s="559">
        <v>0</v>
      </c>
      <c r="BA26" s="559">
        <v>38258</v>
      </c>
      <c r="BB26" s="559">
        <v>0</v>
      </c>
      <c r="BC26" s="559">
        <v>0</v>
      </c>
      <c r="BD26" s="559">
        <v>8512</v>
      </c>
      <c r="BE26" s="559">
        <v>0</v>
      </c>
      <c r="BF26" s="559">
        <v>38258</v>
      </c>
      <c r="BG26" s="131">
        <v>5000</v>
      </c>
      <c r="BH26" s="131">
        <v>0</v>
      </c>
      <c r="BI26" s="559">
        <v>0</v>
      </c>
      <c r="BJ26" s="559">
        <v>35597</v>
      </c>
      <c r="BK26" s="559">
        <v>11173</v>
      </c>
    </row>
    <row r="27" spans="1:63">
      <c r="A27" s="131">
        <v>2014</v>
      </c>
      <c r="B27" s="131" t="s">
        <v>50</v>
      </c>
      <c r="C27" s="559">
        <v>447596.34</v>
      </c>
      <c r="D27" s="559">
        <v>0</v>
      </c>
      <c r="E27" s="559">
        <v>0.42</v>
      </c>
      <c r="F27" s="559">
        <f t="shared" si="0"/>
        <v>447596.76</v>
      </c>
      <c r="G27" s="559">
        <v>2846044</v>
      </c>
      <c r="H27" s="559">
        <v>0</v>
      </c>
      <c r="I27" s="559">
        <v>326723</v>
      </c>
      <c r="J27" s="559">
        <v>0</v>
      </c>
      <c r="K27" s="559">
        <v>219618</v>
      </c>
      <c r="L27" s="559">
        <v>9700</v>
      </c>
      <c r="M27" s="559">
        <v>1340</v>
      </c>
      <c r="N27" s="559">
        <v>27585</v>
      </c>
      <c r="O27" s="559">
        <v>65755</v>
      </c>
      <c r="P27" s="559">
        <v>24111</v>
      </c>
      <c r="Q27" s="559">
        <v>0</v>
      </c>
      <c r="R27" s="559">
        <v>31275</v>
      </c>
      <c r="S27" s="559">
        <v>8171</v>
      </c>
      <c r="T27" s="559">
        <v>0</v>
      </c>
      <c r="U27" s="559">
        <v>0</v>
      </c>
      <c r="V27" s="559">
        <v>0</v>
      </c>
      <c r="W27" s="559">
        <v>67085</v>
      </c>
      <c r="X27" s="559">
        <v>1398891</v>
      </c>
      <c r="Y27" s="559">
        <v>0</v>
      </c>
      <c r="Z27" s="559">
        <v>695333</v>
      </c>
      <c r="AA27" s="559">
        <v>85225</v>
      </c>
      <c r="AB27" s="559">
        <v>96819</v>
      </c>
      <c r="AC27" s="559">
        <v>0</v>
      </c>
      <c r="AD27" s="559">
        <v>36969</v>
      </c>
      <c r="AE27" s="559">
        <v>28651</v>
      </c>
      <c r="AF27" s="559">
        <v>6633</v>
      </c>
      <c r="AG27" s="559">
        <v>20426</v>
      </c>
      <c r="AH27" s="559">
        <v>8730</v>
      </c>
      <c r="AI27" s="559">
        <v>61092</v>
      </c>
      <c r="AJ27" s="559">
        <v>12570</v>
      </c>
      <c r="AK27" s="559">
        <v>5421</v>
      </c>
      <c r="AL27" s="559">
        <v>4456</v>
      </c>
      <c r="AM27" s="559">
        <v>67990</v>
      </c>
      <c r="AN27" s="559">
        <v>22775</v>
      </c>
      <c r="AO27" s="559">
        <v>26166</v>
      </c>
      <c r="AP27" s="559">
        <v>131803</v>
      </c>
      <c r="AQ27" s="559">
        <v>27705</v>
      </c>
      <c r="AR27" s="559">
        <v>0</v>
      </c>
      <c r="AS27" s="559">
        <v>31105</v>
      </c>
      <c r="AT27" s="559">
        <v>23218</v>
      </c>
      <c r="AU27" s="559">
        <v>3115</v>
      </c>
      <c r="AV27" s="559">
        <v>156425</v>
      </c>
      <c r="AW27" s="559">
        <v>156363</v>
      </c>
      <c r="AX27" s="559">
        <v>302362</v>
      </c>
      <c r="AY27" s="559">
        <v>41195</v>
      </c>
      <c r="AZ27" s="559">
        <v>0</v>
      </c>
      <c r="BA27" s="559">
        <v>99322</v>
      </c>
      <c r="BB27" s="559">
        <v>0</v>
      </c>
      <c r="BC27" s="559">
        <v>0</v>
      </c>
      <c r="BD27" s="559">
        <v>10824</v>
      </c>
      <c r="BE27" s="559">
        <v>0</v>
      </c>
      <c r="BF27" s="559">
        <v>99321</v>
      </c>
      <c r="BG27" s="131">
        <v>5000</v>
      </c>
      <c r="BH27" s="131">
        <v>0</v>
      </c>
      <c r="BI27" s="559">
        <v>38782</v>
      </c>
      <c r="BJ27" s="559">
        <v>0</v>
      </c>
      <c r="BK27" s="559">
        <v>71363</v>
      </c>
    </row>
    <row r="28" spans="1:63">
      <c r="A28" s="131">
        <v>2015</v>
      </c>
      <c r="B28" s="131" t="s">
        <v>51</v>
      </c>
      <c r="C28" s="559">
        <v>197477.05</v>
      </c>
      <c r="D28" s="559">
        <v>53813</v>
      </c>
      <c r="E28" s="559">
        <v>0.24</v>
      </c>
      <c r="F28" s="559">
        <f t="shared" si="0"/>
        <v>251290.28999999998</v>
      </c>
      <c r="G28" s="559">
        <v>1462594</v>
      </c>
      <c r="H28" s="559">
        <v>0</v>
      </c>
      <c r="I28" s="559">
        <v>187927</v>
      </c>
      <c r="J28" s="559">
        <v>0</v>
      </c>
      <c r="K28" s="559">
        <v>130300</v>
      </c>
      <c r="L28" s="559">
        <v>6100</v>
      </c>
      <c r="M28" s="559">
        <v>2145</v>
      </c>
      <c r="N28" s="559">
        <v>2745</v>
      </c>
      <c r="O28" s="559">
        <v>26864</v>
      </c>
      <c r="P28" s="559">
        <v>14740</v>
      </c>
      <c r="Q28" s="559">
        <v>6301</v>
      </c>
      <c r="R28" s="559">
        <v>23082</v>
      </c>
      <c r="S28" s="559">
        <v>2761</v>
      </c>
      <c r="T28" s="559">
        <v>0</v>
      </c>
      <c r="U28" s="559">
        <v>334158</v>
      </c>
      <c r="V28" s="559">
        <v>76631</v>
      </c>
      <c r="W28" s="559">
        <v>26920</v>
      </c>
      <c r="X28" s="559">
        <v>763563</v>
      </c>
      <c r="Y28" s="559">
        <v>0</v>
      </c>
      <c r="Z28" s="559">
        <v>578215</v>
      </c>
      <c r="AA28" s="559">
        <v>28178</v>
      </c>
      <c r="AB28" s="559">
        <v>92149</v>
      </c>
      <c r="AC28" s="559">
        <v>0</v>
      </c>
      <c r="AD28" s="559">
        <v>138852</v>
      </c>
      <c r="AE28" s="559">
        <v>9844</v>
      </c>
      <c r="AF28" s="559">
        <v>8282</v>
      </c>
      <c r="AG28" s="559">
        <v>16842</v>
      </c>
      <c r="AH28" s="559">
        <v>1163</v>
      </c>
      <c r="AI28" s="559">
        <v>18599</v>
      </c>
      <c r="AJ28" s="559">
        <v>12433</v>
      </c>
      <c r="AK28" s="559">
        <v>25740</v>
      </c>
      <c r="AL28" s="559">
        <v>4705</v>
      </c>
      <c r="AM28" s="559">
        <v>13658</v>
      </c>
      <c r="AN28" s="559">
        <v>17232</v>
      </c>
      <c r="AO28" s="559">
        <v>9923</v>
      </c>
      <c r="AP28" s="559">
        <v>72717</v>
      </c>
      <c r="AQ28" s="559">
        <v>22104</v>
      </c>
      <c r="AR28" s="559">
        <v>0</v>
      </c>
      <c r="AS28" s="559">
        <v>7889</v>
      </c>
      <c r="AT28" s="559">
        <v>5908</v>
      </c>
      <c r="AU28" s="559">
        <v>3796</v>
      </c>
      <c r="AV28" s="559">
        <v>56811</v>
      </c>
      <c r="AW28" s="559">
        <v>47464</v>
      </c>
      <c r="AX28" s="559">
        <v>40024</v>
      </c>
      <c r="AY28" s="559">
        <v>37500</v>
      </c>
      <c r="AZ28" s="559">
        <v>0</v>
      </c>
      <c r="BA28" s="559">
        <v>74465</v>
      </c>
      <c r="BB28" s="559">
        <v>47462</v>
      </c>
      <c r="BC28" s="559">
        <v>94351</v>
      </c>
      <c r="BD28" s="559">
        <v>7004</v>
      </c>
      <c r="BE28" s="559">
        <v>0</v>
      </c>
      <c r="BF28" s="559">
        <v>74465</v>
      </c>
      <c r="BG28" s="131">
        <v>5000</v>
      </c>
      <c r="BH28" s="131">
        <v>0</v>
      </c>
      <c r="BI28" s="559">
        <v>62649</v>
      </c>
      <c r="BJ28" s="559">
        <v>0</v>
      </c>
      <c r="BK28" s="559">
        <v>18821</v>
      </c>
    </row>
    <row r="29" spans="1:63">
      <c r="A29" s="131">
        <v>2016</v>
      </c>
      <c r="B29" s="131" t="s">
        <v>53</v>
      </c>
      <c r="C29" s="559">
        <v>71423.67</v>
      </c>
      <c r="D29" s="559">
        <v>0</v>
      </c>
      <c r="E29" s="559">
        <v>6284.51</v>
      </c>
      <c r="F29" s="559">
        <f t="shared" si="0"/>
        <v>77708.179999999993</v>
      </c>
      <c r="G29" s="559">
        <v>936486</v>
      </c>
      <c r="H29" s="559">
        <v>0</v>
      </c>
      <c r="I29" s="559">
        <v>41762</v>
      </c>
      <c r="J29" s="559">
        <v>0</v>
      </c>
      <c r="K29" s="559">
        <v>51597</v>
      </c>
      <c r="L29" s="559">
        <v>7098</v>
      </c>
      <c r="M29" s="559">
        <v>3878</v>
      </c>
      <c r="N29" s="559">
        <v>4150</v>
      </c>
      <c r="O29" s="559">
        <v>27156</v>
      </c>
      <c r="P29" s="559">
        <v>821</v>
      </c>
      <c r="Q29" s="559">
        <v>4412</v>
      </c>
      <c r="R29" s="559">
        <v>18269</v>
      </c>
      <c r="S29" s="559">
        <v>14401</v>
      </c>
      <c r="T29" s="559">
        <v>0</v>
      </c>
      <c r="U29" s="559">
        <v>0</v>
      </c>
      <c r="V29" s="559">
        <v>0</v>
      </c>
      <c r="W29" s="559">
        <v>27074</v>
      </c>
      <c r="X29" s="559">
        <v>539327</v>
      </c>
      <c r="Y29" s="559">
        <v>2010</v>
      </c>
      <c r="Z29" s="559">
        <v>208546</v>
      </c>
      <c r="AA29" s="559">
        <v>26445</v>
      </c>
      <c r="AB29" s="559">
        <v>17683</v>
      </c>
      <c r="AC29" s="559">
        <v>0</v>
      </c>
      <c r="AD29" s="559">
        <v>19538</v>
      </c>
      <c r="AE29" s="559">
        <v>5984</v>
      </c>
      <c r="AF29" s="559">
        <v>1863</v>
      </c>
      <c r="AG29" s="559">
        <v>9069</v>
      </c>
      <c r="AH29" s="559">
        <v>4145</v>
      </c>
      <c r="AI29" s="559">
        <v>23154</v>
      </c>
      <c r="AJ29" s="559">
        <v>4282</v>
      </c>
      <c r="AK29" s="559">
        <v>9213</v>
      </c>
      <c r="AL29" s="559">
        <v>3758</v>
      </c>
      <c r="AM29" s="559">
        <v>12327</v>
      </c>
      <c r="AN29" s="559">
        <v>15304</v>
      </c>
      <c r="AO29" s="559">
        <v>6053</v>
      </c>
      <c r="AP29" s="559">
        <v>42648</v>
      </c>
      <c r="AQ29" s="559">
        <v>16149</v>
      </c>
      <c r="AR29" s="559">
        <v>0</v>
      </c>
      <c r="AS29" s="559">
        <v>14182</v>
      </c>
      <c r="AT29" s="559">
        <v>948</v>
      </c>
      <c r="AU29" s="559">
        <v>3130</v>
      </c>
      <c r="AV29" s="559">
        <v>54656</v>
      </c>
      <c r="AW29" s="559">
        <v>21784</v>
      </c>
      <c r="AX29" s="559">
        <v>59528</v>
      </c>
      <c r="AY29" s="559">
        <v>26107</v>
      </c>
      <c r="AZ29" s="559">
        <v>0</v>
      </c>
      <c r="BA29" s="559">
        <v>0</v>
      </c>
      <c r="BB29" s="559">
        <v>0</v>
      </c>
      <c r="BC29" s="559">
        <v>0</v>
      </c>
      <c r="BD29" s="559">
        <v>6396</v>
      </c>
      <c r="BE29" s="559">
        <v>10000</v>
      </c>
      <c r="BF29" s="559">
        <v>0</v>
      </c>
      <c r="BG29" s="131">
        <v>5000</v>
      </c>
      <c r="BH29" s="131">
        <v>0</v>
      </c>
      <c r="BI29" s="559">
        <v>16700</v>
      </c>
      <c r="BJ29" s="559">
        <v>0</v>
      </c>
      <c r="BK29" s="559">
        <v>5050</v>
      </c>
    </row>
    <row r="30" spans="1:63">
      <c r="A30" s="131">
        <v>2017</v>
      </c>
      <c r="B30" s="131" t="s">
        <v>54</v>
      </c>
      <c r="C30" s="559">
        <v>259466.99</v>
      </c>
      <c r="D30" s="559">
        <v>0</v>
      </c>
      <c r="E30" s="559">
        <v>0.25</v>
      </c>
      <c r="F30" s="559">
        <f t="shared" si="0"/>
        <v>259467.24</v>
      </c>
      <c r="G30" s="559">
        <v>1730059</v>
      </c>
      <c r="H30" s="559">
        <v>0</v>
      </c>
      <c r="I30" s="559">
        <v>51519</v>
      </c>
      <c r="J30" s="559">
        <v>0</v>
      </c>
      <c r="K30" s="559">
        <v>164227</v>
      </c>
      <c r="L30" s="559">
        <v>500</v>
      </c>
      <c r="M30" s="559">
        <v>2090</v>
      </c>
      <c r="N30" s="559">
        <v>75021</v>
      </c>
      <c r="O30" s="559">
        <v>39761</v>
      </c>
      <c r="P30" s="559">
        <v>23146</v>
      </c>
      <c r="Q30" s="559">
        <v>3211</v>
      </c>
      <c r="R30" s="559">
        <v>40605</v>
      </c>
      <c r="S30" s="559">
        <v>19774</v>
      </c>
      <c r="T30" s="559">
        <v>0</v>
      </c>
      <c r="U30" s="559">
        <v>0</v>
      </c>
      <c r="V30" s="559">
        <v>0</v>
      </c>
      <c r="W30" s="559">
        <v>41831</v>
      </c>
      <c r="X30" s="559">
        <v>1058937</v>
      </c>
      <c r="Y30" s="559">
        <v>0</v>
      </c>
      <c r="Z30" s="559">
        <v>395612</v>
      </c>
      <c r="AA30" s="559">
        <v>34936</v>
      </c>
      <c r="AB30" s="559">
        <v>51019</v>
      </c>
      <c r="AC30" s="559">
        <v>0</v>
      </c>
      <c r="AD30" s="559">
        <v>84010</v>
      </c>
      <c r="AE30" s="559">
        <v>7807</v>
      </c>
      <c r="AF30" s="559">
        <v>8050</v>
      </c>
      <c r="AG30" s="559">
        <v>18004</v>
      </c>
      <c r="AH30" s="559">
        <v>1735</v>
      </c>
      <c r="AI30" s="559">
        <v>39533</v>
      </c>
      <c r="AJ30" s="559">
        <v>3756</v>
      </c>
      <c r="AK30" s="559">
        <v>25622</v>
      </c>
      <c r="AL30" s="559">
        <v>5669</v>
      </c>
      <c r="AM30" s="559">
        <v>39876</v>
      </c>
      <c r="AN30" s="559">
        <v>19883</v>
      </c>
      <c r="AO30" s="559">
        <v>8840</v>
      </c>
      <c r="AP30" s="559">
        <v>97593</v>
      </c>
      <c r="AQ30" s="559">
        <v>21323</v>
      </c>
      <c r="AR30" s="559">
        <v>0</v>
      </c>
      <c r="AS30" s="559">
        <v>17027</v>
      </c>
      <c r="AT30" s="559">
        <v>9966</v>
      </c>
      <c r="AU30" s="559">
        <v>14930</v>
      </c>
      <c r="AV30" s="559">
        <v>97001</v>
      </c>
      <c r="AW30" s="559">
        <v>24683</v>
      </c>
      <c r="AX30" s="559">
        <v>50518</v>
      </c>
      <c r="AY30" s="559">
        <v>56061</v>
      </c>
      <c r="AZ30" s="559">
        <v>0</v>
      </c>
      <c r="BA30" s="559">
        <v>0</v>
      </c>
      <c r="BB30" s="559">
        <v>0</v>
      </c>
      <c r="BC30" s="559">
        <v>0</v>
      </c>
      <c r="BD30" s="559">
        <v>8556</v>
      </c>
      <c r="BE30" s="559">
        <v>0</v>
      </c>
      <c r="BF30" s="559">
        <v>0</v>
      </c>
      <c r="BG30" s="131">
        <v>5000</v>
      </c>
      <c r="BH30" s="131">
        <v>0</v>
      </c>
      <c r="BI30" s="559">
        <v>0</v>
      </c>
      <c r="BJ30" s="559">
        <v>0</v>
      </c>
      <c r="BK30" s="559">
        <v>0</v>
      </c>
    </row>
    <row r="31" spans="1:63">
      <c r="A31" s="131">
        <v>2073</v>
      </c>
      <c r="B31" s="131" t="s">
        <v>55</v>
      </c>
      <c r="C31" s="559">
        <v>447128.42</v>
      </c>
      <c r="D31" s="559">
        <v>-4558</v>
      </c>
      <c r="E31" s="559">
        <v>0</v>
      </c>
      <c r="F31" s="559">
        <f t="shared" si="0"/>
        <v>442570.42</v>
      </c>
      <c r="G31" s="559">
        <v>2640229</v>
      </c>
      <c r="H31" s="559">
        <v>0</v>
      </c>
      <c r="I31" s="559">
        <v>277960</v>
      </c>
      <c r="J31" s="559">
        <v>0</v>
      </c>
      <c r="K31" s="559">
        <v>231471</v>
      </c>
      <c r="L31" s="559">
        <v>0</v>
      </c>
      <c r="M31" s="559">
        <v>3860</v>
      </c>
      <c r="N31" s="559">
        <v>121983</v>
      </c>
      <c r="O31" s="559">
        <v>91871</v>
      </c>
      <c r="P31" s="559">
        <v>13958</v>
      </c>
      <c r="Q31" s="559">
        <v>4075</v>
      </c>
      <c r="R31" s="559">
        <v>57291</v>
      </c>
      <c r="S31" s="559">
        <v>20000</v>
      </c>
      <c r="T31" s="559">
        <v>0</v>
      </c>
      <c r="U31" s="559">
        <v>0</v>
      </c>
      <c r="V31" s="559">
        <v>0</v>
      </c>
      <c r="W31" s="559">
        <v>64574</v>
      </c>
      <c r="X31" s="559">
        <v>1299674</v>
      </c>
      <c r="Y31" s="559">
        <v>0</v>
      </c>
      <c r="Z31" s="559">
        <v>763470</v>
      </c>
      <c r="AA31" s="559">
        <v>95820</v>
      </c>
      <c r="AB31" s="559">
        <v>103977</v>
      </c>
      <c r="AC31" s="559">
        <v>105059</v>
      </c>
      <c r="AD31" s="559">
        <v>193431</v>
      </c>
      <c r="AE31" s="559">
        <v>12572</v>
      </c>
      <c r="AF31" s="559">
        <v>19992</v>
      </c>
      <c r="AG31" s="559">
        <v>26848</v>
      </c>
      <c r="AH31" s="559">
        <v>8267</v>
      </c>
      <c r="AI31" s="559">
        <v>332134</v>
      </c>
      <c r="AJ31" s="559">
        <v>46213</v>
      </c>
      <c r="AK31" s="559">
        <v>6421</v>
      </c>
      <c r="AL31" s="559">
        <v>5680</v>
      </c>
      <c r="AM31" s="559">
        <v>47377</v>
      </c>
      <c r="AN31" s="559">
        <v>38655</v>
      </c>
      <c r="AO31" s="559">
        <v>17771</v>
      </c>
      <c r="AP31" s="559">
        <v>142577</v>
      </c>
      <c r="AQ31" s="559">
        <v>52560</v>
      </c>
      <c r="AR31" s="559">
        <v>0</v>
      </c>
      <c r="AS31" s="559">
        <v>39005</v>
      </c>
      <c r="AT31" s="559">
        <v>14847</v>
      </c>
      <c r="AU31" s="559">
        <v>18318</v>
      </c>
      <c r="AV31" s="559">
        <v>138912</v>
      </c>
      <c r="AW31" s="559">
        <v>77493</v>
      </c>
      <c r="AX31" s="559">
        <v>20327</v>
      </c>
      <c r="AY31" s="559">
        <v>18220</v>
      </c>
      <c r="AZ31" s="559">
        <v>0</v>
      </c>
      <c r="BA31" s="559">
        <v>0</v>
      </c>
      <c r="BB31" s="559">
        <v>1545</v>
      </c>
      <c r="BC31" s="559">
        <v>0</v>
      </c>
      <c r="BD31" s="559">
        <v>11380</v>
      </c>
      <c r="BE31" s="559">
        <v>0</v>
      </c>
      <c r="BF31" s="559">
        <v>0</v>
      </c>
      <c r="BG31" s="131">
        <v>5000</v>
      </c>
      <c r="BH31" s="131">
        <v>0</v>
      </c>
      <c r="BI31" s="559">
        <v>0</v>
      </c>
      <c r="BJ31" s="559">
        <v>10542</v>
      </c>
      <c r="BK31" s="559">
        <v>0</v>
      </c>
    </row>
    <row r="32" spans="1:63">
      <c r="A32" s="131">
        <v>2019</v>
      </c>
      <c r="B32" s="131" t="s">
        <v>56</v>
      </c>
      <c r="C32" s="559">
        <v>261630.74</v>
      </c>
      <c r="D32" s="559">
        <v>0</v>
      </c>
      <c r="E32" s="559">
        <v>0</v>
      </c>
      <c r="F32" s="559">
        <f t="shared" si="0"/>
        <v>261630.74</v>
      </c>
      <c r="G32" s="559">
        <v>1635894</v>
      </c>
      <c r="H32" s="559">
        <v>0</v>
      </c>
      <c r="I32" s="559">
        <v>35086</v>
      </c>
      <c r="J32" s="559">
        <v>0</v>
      </c>
      <c r="K32" s="559">
        <v>140238</v>
      </c>
      <c r="L32" s="559">
        <v>3200</v>
      </c>
      <c r="M32" s="559">
        <v>740</v>
      </c>
      <c r="N32" s="559">
        <v>3580</v>
      </c>
      <c r="O32" s="559">
        <v>15427</v>
      </c>
      <c r="P32" s="559">
        <v>26334</v>
      </c>
      <c r="Q32" s="559">
        <v>7708</v>
      </c>
      <c r="R32" s="559">
        <v>5873</v>
      </c>
      <c r="S32" s="559">
        <v>1005</v>
      </c>
      <c r="T32" s="559">
        <v>0</v>
      </c>
      <c r="U32" s="559">
        <v>0</v>
      </c>
      <c r="V32" s="559">
        <v>0</v>
      </c>
      <c r="W32" s="559">
        <v>60632</v>
      </c>
      <c r="X32" s="559">
        <v>714783</v>
      </c>
      <c r="Y32" s="559">
        <v>0</v>
      </c>
      <c r="Z32" s="559">
        <v>481322</v>
      </c>
      <c r="AA32" s="559">
        <v>35368</v>
      </c>
      <c r="AB32" s="559">
        <v>66113</v>
      </c>
      <c r="AC32" s="559">
        <v>0</v>
      </c>
      <c r="AD32" s="559">
        <v>49239</v>
      </c>
      <c r="AE32" s="559">
        <v>15345</v>
      </c>
      <c r="AF32" s="559">
        <v>5109</v>
      </c>
      <c r="AG32" s="559">
        <v>17923</v>
      </c>
      <c r="AH32" s="559">
        <v>1550</v>
      </c>
      <c r="AI32" s="559">
        <v>36991</v>
      </c>
      <c r="AJ32" s="559">
        <v>8645</v>
      </c>
      <c r="AK32" s="559">
        <v>3354</v>
      </c>
      <c r="AL32" s="559">
        <v>4409</v>
      </c>
      <c r="AM32" s="559">
        <v>22825</v>
      </c>
      <c r="AN32" s="559">
        <v>14460</v>
      </c>
      <c r="AO32" s="559">
        <v>8262</v>
      </c>
      <c r="AP32" s="559">
        <v>54223</v>
      </c>
      <c r="AQ32" s="559">
        <v>22726</v>
      </c>
      <c r="AR32" s="559">
        <v>0</v>
      </c>
      <c r="AS32" s="559">
        <v>19749</v>
      </c>
      <c r="AT32" s="559">
        <v>6192</v>
      </c>
      <c r="AU32" s="559">
        <v>3424</v>
      </c>
      <c r="AV32" s="559">
        <v>82027</v>
      </c>
      <c r="AW32" s="559">
        <v>118885</v>
      </c>
      <c r="AX32" s="559">
        <v>59113</v>
      </c>
      <c r="AY32" s="559">
        <v>54197</v>
      </c>
      <c r="AZ32" s="559">
        <v>0</v>
      </c>
      <c r="BA32" s="559">
        <v>148489</v>
      </c>
      <c r="BB32" s="559">
        <v>-1</v>
      </c>
      <c r="BC32" s="559">
        <v>0</v>
      </c>
      <c r="BD32" s="559">
        <v>7808</v>
      </c>
      <c r="BE32" s="559">
        <v>0</v>
      </c>
      <c r="BF32" s="559">
        <v>148489</v>
      </c>
      <c r="BG32" s="131">
        <v>5000</v>
      </c>
      <c r="BH32" s="131">
        <v>0</v>
      </c>
      <c r="BI32" s="559">
        <v>137469</v>
      </c>
      <c r="BJ32" s="559">
        <v>0</v>
      </c>
      <c r="BK32" s="559">
        <v>18828</v>
      </c>
    </row>
    <row r="33" spans="1:63">
      <c r="A33" s="131">
        <v>2021</v>
      </c>
      <c r="B33" s="131" t="s">
        <v>58</v>
      </c>
      <c r="C33" s="559">
        <v>81407.11</v>
      </c>
      <c r="D33" s="559">
        <v>0</v>
      </c>
      <c r="E33" s="559">
        <v>4027.76</v>
      </c>
      <c r="F33" s="559">
        <f t="shared" si="0"/>
        <v>85434.87</v>
      </c>
      <c r="G33" s="559">
        <v>1430531</v>
      </c>
      <c r="H33" s="559">
        <v>0</v>
      </c>
      <c r="I33" s="559">
        <v>84215</v>
      </c>
      <c r="J33" s="559">
        <v>0</v>
      </c>
      <c r="K33" s="559">
        <v>142138</v>
      </c>
      <c r="L33" s="559">
        <v>3400</v>
      </c>
      <c r="M33" s="559">
        <v>27631</v>
      </c>
      <c r="N33" s="559">
        <v>22319</v>
      </c>
      <c r="O33" s="559">
        <v>14754</v>
      </c>
      <c r="P33" s="559">
        <v>15390</v>
      </c>
      <c r="Q33" s="559">
        <v>9765</v>
      </c>
      <c r="R33" s="559">
        <v>7416</v>
      </c>
      <c r="S33" s="559">
        <v>517</v>
      </c>
      <c r="T33" s="559">
        <v>0</v>
      </c>
      <c r="U33" s="559">
        <v>0</v>
      </c>
      <c r="V33" s="559">
        <v>0</v>
      </c>
      <c r="W33" s="559">
        <v>55093</v>
      </c>
      <c r="X33" s="559">
        <v>713816</v>
      </c>
      <c r="Y33" s="559">
        <v>26248</v>
      </c>
      <c r="Z33" s="559">
        <v>532081</v>
      </c>
      <c r="AA33" s="559">
        <v>34846</v>
      </c>
      <c r="AB33" s="559">
        <v>71950</v>
      </c>
      <c r="AC33" s="559">
        <v>0</v>
      </c>
      <c r="AD33" s="559">
        <v>11546</v>
      </c>
      <c r="AE33" s="559">
        <v>1933</v>
      </c>
      <c r="AF33" s="559">
        <v>12839</v>
      </c>
      <c r="AG33" s="559">
        <v>18204</v>
      </c>
      <c r="AH33" s="559">
        <v>4148</v>
      </c>
      <c r="AI33" s="559">
        <v>32705</v>
      </c>
      <c r="AJ33" s="559">
        <v>7121</v>
      </c>
      <c r="AK33" s="559">
        <v>26559</v>
      </c>
      <c r="AL33" s="559">
        <v>3306</v>
      </c>
      <c r="AM33" s="559">
        <v>23983</v>
      </c>
      <c r="AN33" s="559">
        <v>19280</v>
      </c>
      <c r="AO33" s="559">
        <v>13012</v>
      </c>
      <c r="AP33" s="559">
        <v>54327</v>
      </c>
      <c r="AQ33" s="559">
        <v>13319</v>
      </c>
      <c r="AR33" s="559">
        <v>0</v>
      </c>
      <c r="AS33" s="559">
        <v>13403</v>
      </c>
      <c r="AT33" s="559">
        <v>3817</v>
      </c>
      <c r="AU33" s="559">
        <v>1507</v>
      </c>
      <c r="AV33" s="559">
        <v>86879</v>
      </c>
      <c r="AW33" s="559">
        <v>43071</v>
      </c>
      <c r="AX33" s="559">
        <v>43551</v>
      </c>
      <c r="AY33" s="559">
        <v>22585</v>
      </c>
      <c r="AZ33" s="559">
        <v>0</v>
      </c>
      <c r="BA33" s="559">
        <v>0</v>
      </c>
      <c r="BB33" s="559">
        <v>1</v>
      </c>
      <c r="BC33" s="559">
        <v>0</v>
      </c>
      <c r="BD33" s="559">
        <v>7644</v>
      </c>
      <c r="BE33" s="559">
        <v>0</v>
      </c>
      <c r="BF33" s="559">
        <v>0</v>
      </c>
      <c r="BG33" s="131">
        <v>5000</v>
      </c>
      <c r="BH33" s="131">
        <v>0</v>
      </c>
      <c r="BI33" s="559">
        <v>0</v>
      </c>
      <c r="BJ33" s="559">
        <v>0</v>
      </c>
      <c r="BK33" s="559">
        <v>0</v>
      </c>
    </row>
    <row r="34" spans="1:63">
      <c r="A34" s="131">
        <v>5200</v>
      </c>
      <c r="B34" s="131" t="s">
        <v>59</v>
      </c>
      <c r="C34" s="559">
        <v>111027.44</v>
      </c>
      <c r="D34" s="559">
        <v>0</v>
      </c>
      <c r="E34" s="559">
        <v>-0.71</v>
      </c>
      <c r="F34" s="559">
        <f t="shared" si="0"/>
        <v>111026.73</v>
      </c>
      <c r="G34" s="559">
        <v>1576016</v>
      </c>
      <c r="H34" s="559">
        <v>0</v>
      </c>
      <c r="I34" s="559">
        <v>101033</v>
      </c>
      <c r="J34" s="559">
        <v>0</v>
      </c>
      <c r="K34" s="559">
        <v>267003</v>
      </c>
      <c r="L34" s="559">
        <v>0</v>
      </c>
      <c r="M34" s="559">
        <v>894</v>
      </c>
      <c r="N34" s="559">
        <v>39436</v>
      </c>
      <c r="O34" s="559">
        <v>53256</v>
      </c>
      <c r="P34" s="559">
        <v>5500</v>
      </c>
      <c r="Q34" s="559">
        <v>14215</v>
      </c>
      <c r="R34" s="559">
        <v>26346</v>
      </c>
      <c r="S34" s="559">
        <v>31688</v>
      </c>
      <c r="T34" s="559">
        <v>0</v>
      </c>
      <c r="U34" s="559">
        <v>0</v>
      </c>
      <c r="V34" s="559">
        <v>0</v>
      </c>
      <c r="W34" s="559">
        <v>9404</v>
      </c>
      <c r="X34" s="559">
        <v>808374</v>
      </c>
      <c r="Y34" s="559">
        <v>0</v>
      </c>
      <c r="Z34" s="559">
        <v>424294</v>
      </c>
      <c r="AA34" s="559">
        <v>66178</v>
      </c>
      <c r="AB34" s="559">
        <v>94839</v>
      </c>
      <c r="AC34" s="559">
        <v>0</v>
      </c>
      <c r="AD34" s="559">
        <v>26580</v>
      </c>
      <c r="AE34" s="559">
        <v>9976</v>
      </c>
      <c r="AF34" s="559">
        <v>6490</v>
      </c>
      <c r="AG34" s="559">
        <v>16581</v>
      </c>
      <c r="AH34" s="559">
        <v>1800</v>
      </c>
      <c r="AI34" s="559">
        <v>60601</v>
      </c>
      <c r="AJ34" s="559">
        <v>3310</v>
      </c>
      <c r="AK34" s="559">
        <v>2577</v>
      </c>
      <c r="AL34" s="559">
        <v>11791</v>
      </c>
      <c r="AM34" s="559">
        <v>33524</v>
      </c>
      <c r="AN34" s="559">
        <v>0</v>
      </c>
      <c r="AO34" s="559">
        <v>14812</v>
      </c>
      <c r="AP34" s="559">
        <v>114323</v>
      </c>
      <c r="AQ34" s="559">
        <v>15723</v>
      </c>
      <c r="AR34" s="559">
        <v>0</v>
      </c>
      <c r="AS34" s="559">
        <v>8034</v>
      </c>
      <c r="AT34" s="559">
        <v>12615</v>
      </c>
      <c r="AU34" s="559">
        <v>0</v>
      </c>
      <c r="AV34" s="559">
        <v>62539</v>
      </c>
      <c r="AW34" s="559">
        <v>86417</v>
      </c>
      <c r="AX34" s="559">
        <v>245086</v>
      </c>
      <c r="AY34" s="559">
        <v>29104</v>
      </c>
      <c r="AZ34" s="559">
        <v>0</v>
      </c>
      <c r="BA34" s="559">
        <v>19546</v>
      </c>
      <c r="BB34" s="559">
        <v>0</v>
      </c>
      <c r="BC34" s="559">
        <v>0</v>
      </c>
      <c r="BD34" s="559">
        <v>7824</v>
      </c>
      <c r="BE34" s="559">
        <v>0</v>
      </c>
      <c r="BF34" s="559">
        <v>19546</v>
      </c>
      <c r="BG34" s="131">
        <v>5000</v>
      </c>
      <c r="BH34" s="131">
        <v>0</v>
      </c>
      <c r="BI34" s="559">
        <v>13040</v>
      </c>
      <c r="BJ34" s="559">
        <v>0</v>
      </c>
      <c r="BK34" s="559">
        <v>14331</v>
      </c>
    </row>
    <row r="35" spans="1:63">
      <c r="A35" s="131">
        <v>2023</v>
      </c>
      <c r="B35" s="131" t="s">
        <v>60</v>
      </c>
      <c r="C35" s="559">
        <v>77688.56</v>
      </c>
      <c r="D35" s="559">
        <v>1357</v>
      </c>
      <c r="E35" s="559">
        <v>0</v>
      </c>
      <c r="F35" s="559">
        <f t="shared" si="0"/>
        <v>79045.56</v>
      </c>
      <c r="G35" s="559">
        <v>2442673</v>
      </c>
      <c r="H35" s="559">
        <v>0</v>
      </c>
      <c r="I35" s="559">
        <v>114481</v>
      </c>
      <c r="J35" s="559">
        <v>0</v>
      </c>
      <c r="K35" s="559">
        <v>208370</v>
      </c>
      <c r="L35" s="559">
        <v>0</v>
      </c>
      <c r="M35" s="559">
        <v>15094</v>
      </c>
      <c r="N35" s="559">
        <v>30277</v>
      </c>
      <c r="O35" s="559">
        <v>34135</v>
      </c>
      <c r="P35" s="559">
        <v>22818</v>
      </c>
      <c r="Q35" s="559">
        <v>1483</v>
      </c>
      <c r="R35" s="559">
        <v>5834</v>
      </c>
      <c r="S35" s="559">
        <v>15413</v>
      </c>
      <c r="T35" s="559">
        <v>0</v>
      </c>
      <c r="U35" s="559">
        <v>0</v>
      </c>
      <c r="V35" s="559">
        <v>0</v>
      </c>
      <c r="W35" s="559">
        <v>54870</v>
      </c>
      <c r="X35" s="559">
        <v>1136999</v>
      </c>
      <c r="Y35" s="559">
        <v>0</v>
      </c>
      <c r="Z35" s="559">
        <v>610627</v>
      </c>
      <c r="AA35" s="559">
        <v>41770</v>
      </c>
      <c r="AB35" s="559">
        <v>122045</v>
      </c>
      <c r="AC35" s="559">
        <v>0</v>
      </c>
      <c r="AD35" s="559">
        <v>93280</v>
      </c>
      <c r="AE35" s="559">
        <v>16757</v>
      </c>
      <c r="AF35" s="559">
        <v>16789</v>
      </c>
      <c r="AG35" s="559">
        <v>18308</v>
      </c>
      <c r="AH35" s="559">
        <v>7189</v>
      </c>
      <c r="AI35" s="559">
        <v>20917</v>
      </c>
      <c r="AJ35" s="559">
        <v>6178</v>
      </c>
      <c r="AK35" s="559">
        <v>38933</v>
      </c>
      <c r="AL35" s="559">
        <v>8378</v>
      </c>
      <c r="AM35" s="559">
        <v>36894</v>
      </c>
      <c r="AN35" s="559">
        <v>9219</v>
      </c>
      <c r="AO35" s="559">
        <v>8730</v>
      </c>
      <c r="AP35" s="559">
        <v>103939</v>
      </c>
      <c r="AQ35" s="559">
        <v>13996</v>
      </c>
      <c r="AR35" s="559">
        <v>0</v>
      </c>
      <c r="AS35" s="559">
        <v>10305</v>
      </c>
      <c r="AT35" s="559">
        <v>15424</v>
      </c>
      <c r="AU35" s="559">
        <v>8149</v>
      </c>
      <c r="AV35" s="559">
        <v>102913</v>
      </c>
      <c r="AW35" s="559">
        <v>192186</v>
      </c>
      <c r="AX35" s="559">
        <v>118433</v>
      </c>
      <c r="AY35" s="559">
        <v>60221</v>
      </c>
      <c r="AZ35" s="559">
        <v>0</v>
      </c>
      <c r="BA35" s="559">
        <v>0</v>
      </c>
      <c r="BB35" s="559">
        <v>-2</v>
      </c>
      <c r="BC35" s="559">
        <v>0</v>
      </c>
      <c r="BD35" s="559">
        <v>12005</v>
      </c>
      <c r="BE35" s="559">
        <v>0</v>
      </c>
      <c r="BF35" s="559">
        <v>0</v>
      </c>
      <c r="BG35" s="131">
        <v>5000</v>
      </c>
      <c r="BH35" s="131">
        <v>0</v>
      </c>
      <c r="BI35" s="559">
        <v>6923</v>
      </c>
      <c r="BJ35" s="559">
        <v>0</v>
      </c>
      <c r="BK35" s="559">
        <v>3737</v>
      </c>
    </row>
    <row r="36" spans="1:63">
      <c r="A36" s="131">
        <v>2022</v>
      </c>
      <c r="B36" s="131" t="s">
        <v>61</v>
      </c>
      <c r="C36" s="559">
        <v>249902.55</v>
      </c>
      <c r="D36" s="559">
        <v>0</v>
      </c>
      <c r="E36" s="559">
        <v>0.4</v>
      </c>
      <c r="F36" s="559">
        <f t="shared" si="0"/>
        <v>249902.94999999998</v>
      </c>
      <c r="G36" s="559">
        <v>694366</v>
      </c>
      <c r="H36" s="559">
        <v>0</v>
      </c>
      <c r="I36" s="559">
        <v>50205</v>
      </c>
      <c r="J36" s="559">
        <v>0</v>
      </c>
      <c r="K36" s="559">
        <v>79542</v>
      </c>
      <c r="L36" s="559">
        <v>0</v>
      </c>
      <c r="M36" s="559">
        <v>0</v>
      </c>
      <c r="N36" s="559">
        <v>2191</v>
      </c>
      <c r="O36" s="559">
        <v>13791</v>
      </c>
      <c r="P36" s="559">
        <v>1348</v>
      </c>
      <c r="Q36" s="559">
        <v>0</v>
      </c>
      <c r="R36" s="559">
        <v>12195</v>
      </c>
      <c r="S36" s="559">
        <v>0</v>
      </c>
      <c r="T36" s="559">
        <v>0</v>
      </c>
      <c r="U36" s="559">
        <v>0</v>
      </c>
      <c r="V36" s="559">
        <v>0</v>
      </c>
      <c r="W36" s="559">
        <v>3755</v>
      </c>
      <c r="X36" s="559">
        <v>208490</v>
      </c>
      <c r="Y36" s="559">
        <v>3543</v>
      </c>
      <c r="Z36" s="559">
        <v>123371</v>
      </c>
      <c r="AA36" s="559">
        <v>11291</v>
      </c>
      <c r="AB36" s="559">
        <v>33568</v>
      </c>
      <c r="AC36" s="559">
        <v>63</v>
      </c>
      <c r="AD36" s="559">
        <v>19532</v>
      </c>
      <c r="AE36" s="559">
        <v>67650</v>
      </c>
      <c r="AF36" s="559">
        <v>3863</v>
      </c>
      <c r="AG36" s="559">
        <v>10467</v>
      </c>
      <c r="AH36" s="559">
        <v>671</v>
      </c>
      <c r="AI36" s="559">
        <v>24212</v>
      </c>
      <c r="AJ36" s="559">
        <v>2365</v>
      </c>
      <c r="AK36" s="559">
        <v>14485</v>
      </c>
      <c r="AL36" s="559">
        <v>2702</v>
      </c>
      <c r="AM36" s="559">
        <v>6560</v>
      </c>
      <c r="AN36" s="559">
        <v>10074</v>
      </c>
      <c r="AO36" s="559">
        <v>9925</v>
      </c>
      <c r="AP36" s="559">
        <v>70523</v>
      </c>
      <c r="AQ36" s="559">
        <v>11132</v>
      </c>
      <c r="AR36" s="559">
        <v>0</v>
      </c>
      <c r="AS36" s="559">
        <v>4729</v>
      </c>
      <c r="AT36" s="559">
        <v>3146</v>
      </c>
      <c r="AU36" s="559">
        <v>3771</v>
      </c>
      <c r="AV36" s="559">
        <v>23865</v>
      </c>
      <c r="AW36" s="559">
        <v>92324</v>
      </c>
      <c r="AX36" s="559">
        <v>44198</v>
      </c>
      <c r="AY36" s="559">
        <v>91719</v>
      </c>
      <c r="AZ36" s="559">
        <v>0</v>
      </c>
      <c r="BA36" s="559">
        <v>209248</v>
      </c>
      <c r="BB36" s="559">
        <v>0</v>
      </c>
      <c r="BC36" s="559">
        <v>0</v>
      </c>
      <c r="BD36" s="559">
        <v>3298</v>
      </c>
      <c r="BE36" s="559">
        <v>0</v>
      </c>
      <c r="BF36" s="559">
        <v>209248</v>
      </c>
      <c r="BG36" s="131">
        <v>5000</v>
      </c>
      <c r="BH36" s="131">
        <v>0</v>
      </c>
      <c r="BI36" s="559">
        <v>51649</v>
      </c>
      <c r="BJ36" s="559">
        <v>0</v>
      </c>
      <c r="BK36" s="559">
        <v>160896</v>
      </c>
    </row>
    <row r="37" spans="1:63">
      <c r="A37" s="131">
        <v>2024</v>
      </c>
      <c r="B37" s="131" t="s">
        <v>62</v>
      </c>
      <c r="C37" s="559">
        <v>217069.87</v>
      </c>
      <c r="D37" s="559">
        <v>2778</v>
      </c>
      <c r="E37" s="559">
        <v>30137.119999999999</v>
      </c>
      <c r="F37" s="559">
        <f t="shared" si="0"/>
        <v>249984.99</v>
      </c>
      <c r="G37" s="559">
        <v>1303926</v>
      </c>
      <c r="H37" s="559">
        <v>0</v>
      </c>
      <c r="I37" s="559">
        <v>68569</v>
      </c>
      <c r="J37" s="559">
        <v>0</v>
      </c>
      <c r="K37" s="559">
        <v>111132</v>
      </c>
      <c r="L37" s="559">
        <v>4471</v>
      </c>
      <c r="M37" s="559">
        <v>1961</v>
      </c>
      <c r="N37" s="559">
        <v>15616</v>
      </c>
      <c r="O37" s="559">
        <v>19890</v>
      </c>
      <c r="P37" s="559">
        <v>0</v>
      </c>
      <c r="Q37" s="559">
        <v>7890</v>
      </c>
      <c r="R37" s="559">
        <v>22044</v>
      </c>
      <c r="S37" s="559">
        <v>469</v>
      </c>
      <c r="T37" s="559">
        <v>0</v>
      </c>
      <c r="U37" s="559">
        <v>485338</v>
      </c>
      <c r="V37" s="559">
        <v>169801</v>
      </c>
      <c r="W37" s="559">
        <v>27786</v>
      </c>
      <c r="X37" s="559">
        <v>668434</v>
      </c>
      <c r="Y37" s="559">
        <v>605</v>
      </c>
      <c r="Z37" s="559">
        <v>336245</v>
      </c>
      <c r="AA37" s="559">
        <v>27814</v>
      </c>
      <c r="AB37" s="559">
        <v>108159</v>
      </c>
      <c r="AC37" s="559">
        <v>0</v>
      </c>
      <c r="AD37" s="559">
        <v>27765</v>
      </c>
      <c r="AE37" s="559">
        <v>7216</v>
      </c>
      <c r="AF37" s="559">
        <v>5457</v>
      </c>
      <c r="AG37" s="559">
        <v>11825</v>
      </c>
      <c r="AH37" s="559">
        <v>806</v>
      </c>
      <c r="AI37" s="559">
        <v>104749</v>
      </c>
      <c r="AJ37" s="559">
        <v>2374</v>
      </c>
      <c r="AK37" s="559">
        <v>17781</v>
      </c>
      <c r="AL37" s="559">
        <v>-914</v>
      </c>
      <c r="AM37" s="559">
        <v>18992</v>
      </c>
      <c r="AN37" s="559">
        <v>46686</v>
      </c>
      <c r="AO37" s="559">
        <v>3365</v>
      </c>
      <c r="AP37" s="559">
        <v>61487</v>
      </c>
      <c r="AQ37" s="559">
        <v>44549</v>
      </c>
      <c r="AR37" s="559">
        <v>0</v>
      </c>
      <c r="AS37" s="559">
        <v>27558</v>
      </c>
      <c r="AT37" s="559">
        <v>9693</v>
      </c>
      <c r="AU37" s="559">
        <v>17306</v>
      </c>
      <c r="AV37" s="559">
        <v>44904</v>
      </c>
      <c r="AW37" s="559">
        <v>21753</v>
      </c>
      <c r="AX37" s="559">
        <v>73922</v>
      </c>
      <c r="AY37" s="559">
        <v>17452</v>
      </c>
      <c r="AZ37" s="559">
        <v>0</v>
      </c>
      <c r="BA37" s="559">
        <v>0</v>
      </c>
      <c r="BB37" s="559">
        <v>527377</v>
      </c>
      <c r="BC37" s="559">
        <v>93607</v>
      </c>
      <c r="BD37" s="559">
        <v>6920</v>
      </c>
      <c r="BE37" s="559">
        <v>0</v>
      </c>
      <c r="BF37" s="559">
        <v>0</v>
      </c>
      <c r="BG37" s="131">
        <v>5000</v>
      </c>
      <c r="BH37" s="131">
        <v>0</v>
      </c>
      <c r="BI37" s="559">
        <v>0</v>
      </c>
      <c r="BJ37" s="559">
        <v>0</v>
      </c>
      <c r="BK37" s="559">
        <v>0</v>
      </c>
    </row>
    <row r="38" spans="1:63">
      <c r="A38" s="131">
        <v>2025</v>
      </c>
      <c r="B38" s="131" t="s">
        <v>63</v>
      </c>
      <c r="C38" s="559">
        <v>69915.59</v>
      </c>
      <c r="D38" s="559">
        <v>0</v>
      </c>
      <c r="E38" s="559">
        <v>22130.5</v>
      </c>
      <c r="F38" s="559">
        <f t="shared" si="0"/>
        <v>92046.09</v>
      </c>
      <c r="G38" s="559">
        <v>1236924</v>
      </c>
      <c r="H38" s="559">
        <v>0</v>
      </c>
      <c r="I38" s="559">
        <v>48705</v>
      </c>
      <c r="J38" s="559">
        <v>0</v>
      </c>
      <c r="K38" s="559">
        <v>32800</v>
      </c>
      <c r="L38" s="559">
        <v>18584</v>
      </c>
      <c r="M38" s="559">
        <v>5160</v>
      </c>
      <c r="N38" s="559">
        <v>43663</v>
      </c>
      <c r="O38" s="559">
        <v>48065</v>
      </c>
      <c r="P38" s="559">
        <v>13229</v>
      </c>
      <c r="Q38" s="559">
        <v>3080</v>
      </c>
      <c r="R38" s="559">
        <v>44732</v>
      </c>
      <c r="S38" s="559">
        <v>14126</v>
      </c>
      <c r="T38" s="559">
        <v>0</v>
      </c>
      <c r="U38" s="559">
        <v>0</v>
      </c>
      <c r="V38" s="559">
        <v>0</v>
      </c>
      <c r="W38" s="559">
        <v>38348</v>
      </c>
      <c r="X38" s="559">
        <v>717151</v>
      </c>
      <c r="Y38" s="559">
        <v>13773</v>
      </c>
      <c r="Z38" s="559">
        <v>251375</v>
      </c>
      <c r="AA38" s="559">
        <v>57327</v>
      </c>
      <c r="AB38" s="559">
        <v>46737</v>
      </c>
      <c r="AC38" s="559">
        <v>0</v>
      </c>
      <c r="AD38" s="559">
        <v>29018</v>
      </c>
      <c r="AE38" s="559">
        <v>29469</v>
      </c>
      <c r="AF38" s="559">
        <v>6622</v>
      </c>
      <c r="AG38" s="559">
        <v>5501</v>
      </c>
      <c r="AH38" s="559">
        <v>6370</v>
      </c>
      <c r="AI38" s="559">
        <v>17276</v>
      </c>
      <c r="AJ38" s="559">
        <v>5</v>
      </c>
      <c r="AK38" s="559">
        <v>4722</v>
      </c>
      <c r="AL38" s="559">
        <v>5000</v>
      </c>
      <c r="AM38" s="559">
        <v>26151</v>
      </c>
      <c r="AN38" s="559">
        <v>20967</v>
      </c>
      <c r="AO38" s="559">
        <v>4477</v>
      </c>
      <c r="AP38" s="559">
        <v>83303</v>
      </c>
      <c r="AQ38" s="559">
        <v>16780</v>
      </c>
      <c r="AR38" s="559">
        <v>0</v>
      </c>
      <c r="AS38" s="559">
        <v>7791</v>
      </c>
      <c r="AT38" s="559">
        <v>7323</v>
      </c>
      <c r="AU38" s="559">
        <v>7126</v>
      </c>
      <c r="AV38" s="559">
        <v>71338</v>
      </c>
      <c r="AW38" s="559">
        <v>65827</v>
      </c>
      <c r="AX38" s="559">
        <v>34156</v>
      </c>
      <c r="AY38" s="559">
        <v>32612</v>
      </c>
      <c r="AZ38" s="559">
        <v>0</v>
      </c>
      <c r="BA38" s="559">
        <v>0</v>
      </c>
      <c r="BB38" s="559">
        <v>0</v>
      </c>
      <c r="BC38" s="559">
        <v>0</v>
      </c>
      <c r="BD38" s="559">
        <v>7532</v>
      </c>
      <c r="BE38" s="559">
        <v>0</v>
      </c>
      <c r="BF38" s="559">
        <v>0</v>
      </c>
      <c r="BG38" s="131">
        <v>5000</v>
      </c>
      <c r="BH38" s="131">
        <v>0</v>
      </c>
      <c r="BI38" s="559">
        <v>0</v>
      </c>
      <c r="BJ38" s="559">
        <v>0</v>
      </c>
      <c r="BK38" s="559">
        <v>13173</v>
      </c>
    </row>
    <row r="39" spans="1:63">
      <c r="A39" s="131">
        <v>2026</v>
      </c>
      <c r="B39" s="131" t="s">
        <v>64</v>
      </c>
      <c r="C39" s="559">
        <v>91130.46</v>
      </c>
      <c r="D39" s="559">
        <v>0</v>
      </c>
      <c r="E39" s="559">
        <v>2324.87</v>
      </c>
      <c r="F39" s="559">
        <f t="shared" si="0"/>
        <v>93455.33</v>
      </c>
      <c r="G39" s="559">
        <v>2625070</v>
      </c>
      <c r="H39" s="559">
        <v>0</v>
      </c>
      <c r="I39" s="559">
        <v>120823</v>
      </c>
      <c r="J39" s="559">
        <v>0</v>
      </c>
      <c r="K39" s="559">
        <v>174637</v>
      </c>
      <c r="L39" s="559">
        <v>1240</v>
      </c>
      <c r="M39" s="559">
        <v>0</v>
      </c>
      <c r="N39" s="559">
        <v>87486</v>
      </c>
      <c r="O39" s="559">
        <v>48145</v>
      </c>
      <c r="P39" s="559">
        <v>0</v>
      </c>
      <c r="Q39" s="559">
        <v>0</v>
      </c>
      <c r="R39" s="559">
        <v>82060</v>
      </c>
      <c r="S39" s="559">
        <v>35706</v>
      </c>
      <c r="T39" s="559">
        <v>0</v>
      </c>
      <c r="U39" s="559">
        <v>0</v>
      </c>
      <c r="V39" s="559">
        <v>0</v>
      </c>
      <c r="W39" s="559">
        <v>62642</v>
      </c>
      <c r="X39" s="559">
        <v>1566669</v>
      </c>
      <c r="Y39" s="559">
        <v>14060</v>
      </c>
      <c r="Z39" s="559">
        <v>600209</v>
      </c>
      <c r="AA39" s="559">
        <v>53442</v>
      </c>
      <c r="AB39" s="559">
        <v>131511</v>
      </c>
      <c r="AC39" s="559">
        <v>0</v>
      </c>
      <c r="AD39" s="559">
        <v>86121</v>
      </c>
      <c r="AE39" s="559">
        <v>18553</v>
      </c>
      <c r="AF39" s="559">
        <v>10293</v>
      </c>
      <c r="AG39" s="559">
        <v>2036</v>
      </c>
      <c r="AH39" s="559">
        <v>0</v>
      </c>
      <c r="AI39" s="559">
        <v>27589</v>
      </c>
      <c r="AJ39" s="559">
        <v>2721</v>
      </c>
      <c r="AK39" s="559">
        <v>37011</v>
      </c>
      <c r="AL39" s="559">
        <v>4108</v>
      </c>
      <c r="AM39" s="559">
        <v>36743</v>
      </c>
      <c r="AN39" s="559">
        <v>38905</v>
      </c>
      <c r="AO39" s="559">
        <v>19923</v>
      </c>
      <c r="AP39" s="559">
        <v>117880</v>
      </c>
      <c r="AQ39" s="559">
        <v>30919</v>
      </c>
      <c r="AR39" s="559">
        <v>0</v>
      </c>
      <c r="AS39" s="559">
        <v>27172</v>
      </c>
      <c r="AT39" s="559">
        <v>16053</v>
      </c>
      <c r="AU39" s="559">
        <v>6790</v>
      </c>
      <c r="AV39" s="559">
        <v>146993</v>
      </c>
      <c r="AW39" s="559">
        <v>129823</v>
      </c>
      <c r="AX39" s="559">
        <v>140594</v>
      </c>
      <c r="AY39" s="559">
        <v>42109</v>
      </c>
      <c r="AZ39" s="559">
        <v>0</v>
      </c>
      <c r="BA39" s="559">
        <v>4429</v>
      </c>
      <c r="BB39" s="559">
        <v>2</v>
      </c>
      <c r="BC39" s="559">
        <v>0</v>
      </c>
      <c r="BD39" s="559">
        <v>11482</v>
      </c>
      <c r="BE39" s="559">
        <v>0</v>
      </c>
      <c r="BF39" s="559">
        <v>4429</v>
      </c>
      <c r="BG39" s="131">
        <v>5000</v>
      </c>
      <c r="BH39" s="131">
        <v>0</v>
      </c>
      <c r="BI39" s="559">
        <v>18236</v>
      </c>
      <c r="BJ39" s="559">
        <v>0</v>
      </c>
      <c r="BK39" s="559">
        <v>0</v>
      </c>
    </row>
    <row r="40" spans="1:63">
      <c r="A40" s="131">
        <v>2028</v>
      </c>
      <c r="B40" s="131" t="s">
        <v>65</v>
      </c>
      <c r="C40" s="559">
        <v>89086.74</v>
      </c>
      <c r="D40" s="559">
        <v>0</v>
      </c>
      <c r="E40" s="559">
        <v>0</v>
      </c>
      <c r="F40" s="559">
        <f t="shared" si="0"/>
        <v>89086.74</v>
      </c>
      <c r="G40" s="559">
        <v>1126980</v>
      </c>
      <c r="H40" s="559">
        <v>0</v>
      </c>
      <c r="I40" s="559">
        <v>71870</v>
      </c>
      <c r="J40" s="559">
        <v>0</v>
      </c>
      <c r="K40" s="559">
        <v>50851</v>
      </c>
      <c r="L40" s="559">
        <v>3540</v>
      </c>
      <c r="M40" s="559">
        <v>0</v>
      </c>
      <c r="N40" s="559">
        <v>6489</v>
      </c>
      <c r="O40" s="559">
        <v>22035</v>
      </c>
      <c r="P40" s="559">
        <v>2052</v>
      </c>
      <c r="Q40" s="559">
        <v>325</v>
      </c>
      <c r="R40" s="559">
        <v>1280</v>
      </c>
      <c r="S40" s="559">
        <v>3116</v>
      </c>
      <c r="T40" s="559">
        <v>0</v>
      </c>
      <c r="U40" s="559">
        <v>0</v>
      </c>
      <c r="V40" s="559">
        <v>0</v>
      </c>
      <c r="W40" s="559">
        <v>57807</v>
      </c>
      <c r="X40" s="559">
        <v>658871</v>
      </c>
      <c r="Y40" s="559">
        <v>0</v>
      </c>
      <c r="Z40" s="559">
        <v>295665</v>
      </c>
      <c r="AA40" s="559">
        <v>25332</v>
      </c>
      <c r="AB40" s="559">
        <v>36080</v>
      </c>
      <c r="AC40" s="559">
        <v>0</v>
      </c>
      <c r="AD40" s="559">
        <v>29013</v>
      </c>
      <c r="AE40" s="559">
        <v>5552</v>
      </c>
      <c r="AF40" s="559">
        <v>2835</v>
      </c>
      <c r="AG40" s="559">
        <v>13882</v>
      </c>
      <c r="AH40" s="559">
        <v>1134</v>
      </c>
      <c r="AI40" s="559">
        <v>6856</v>
      </c>
      <c r="AJ40" s="559">
        <v>2005</v>
      </c>
      <c r="AK40" s="559">
        <v>16692</v>
      </c>
      <c r="AL40" s="559">
        <v>-72</v>
      </c>
      <c r="AM40" s="559">
        <v>13128</v>
      </c>
      <c r="AN40" s="559">
        <v>17194</v>
      </c>
      <c r="AO40" s="559">
        <v>6598</v>
      </c>
      <c r="AP40" s="559">
        <v>20738</v>
      </c>
      <c r="AQ40" s="559">
        <v>10891</v>
      </c>
      <c r="AR40" s="559">
        <v>0</v>
      </c>
      <c r="AS40" s="559">
        <v>12263</v>
      </c>
      <c r="AT40" s="559">
        <v>5570</v>
      </c>
      <c r="AU40" s="559">
        <v>3201</v>
      </c>
      <c r="AV40" s="559">
        <v>79943</v>
      </c>
      <c r="AW40" s="559">
        <v>15660</v>
      </c>
      <c r="AX40" s="559">
        <v>24561</v>
      </c>
      <c r="AY40" s="559">
        <v>24518</v>
      </c>
      <c r="AZ40" s="559">
        <v>0</v>
      </c>
      <c r="BA40" s="559">
        <v>0</v>
      </c>
      <c r="BB40" s="559">
        <v>-1</v>
      </c>
      <c r="BC40" s="559">
        <v>0</v>
      </c>
      <c r="BD40" s="559">
        <v>7016</v>
      </c>
      <c r="BE40" s="559">
        <v>15233</v>
      </c>
      <c r="BF40" s="559">
        <v>0</v>
      </c>
      <c r="BG40" s="131">
        <v>5000</v>
      </c>
      <c r="BH40" s="131">
        <v>0</v>
      </c>
      <c r="BI40" s="559">
        <v>0</v>
      </c>
      <c r="BJ40" s="559">
        <v>0</v>
      </c>
      <c r="BK40" s="559">
        <v>19027</v>
      </c>
    </row>
    <row r="41" spans="1:63">
      <c r="A41" s="131">
        <v>2027</v>
      </c>
      <c r="B41" s="131" t="s">
        <v>66</v>
      </c>
      <c r="C41" s="559">
        <v>120135.57</v>
      </c>
      <c r="D41" s="559">
        <v>0</v>
      </c>
      <c r="E41" s="559">
        <v>0.5</v>
      </c>
      <c r="F41" s="559">
        <f t="shared" si="0"/>
        <v>120136.07</v>
      </c>
      <c r="G41" s="559">
        <v>1450901</v>
      </c>
      <c r="H41" s="559">
        <v>0</v>
      </c>
      <c r="I41" s="559">
        <v>74718</v>
      </c>
      <c r="J41" s="559">
        <v>0</v>
      </c>
      <c r="K41" s="559">
        <v>103194</v>
      </c>
      <c r="L41" s="559">
        <v>6150</v>
      </c>
      <c r="M41" s="559">
        <v>0</v>
      </c>
      <c r="N41" s="559">
        <v>11463</v>
      </c>
      <c r="O41" s="559">
        <v>70949</v>
      </c>
      <c r="P41" s="559">
        <v>7695</v>
      </c>
      <c r="Q41" s="559">
        <v>3082</v>
      </c>
      <c r="R41" s="559">
        <v>27561</v>
      </c>
      <c r="S41" s="559">
        <v>8730</v>
      </c>
      <c r="T41" s="559">
        <v>0</v>
      </c>
      <c r="U41" s="559">
        <v>0</v>
      </c>
      <c r="V41" s="559">
        <v>0</v>
      </c>
      <c r="W41" s="559">
        <v>9466</v>
      </c>
      <c r="X41" s="559">
        <v>918903</v>
      </c>
      <c r="Y41" s="559">
        <v>1455</v>
      </c>
      <c r="Z41" s="559">
        <v>252915</v>
      </c>
      <c r="AA41" s="559">
        <v>25333</v>
      </c>
      <c r="AB41" s="559">
        <v>43583</v>
      </c>
      <c r="AC41" s="559">
        <v>0</v>
      </c>
      <c r="AD41" s="559">
        <v>24382</v>
      </c>
      <c r="AE41" s="559">
        <v>11430</v>
      </c>
      <c r="AF41" s="559">
        <v>1990</v>
      </c>
      <c r="AG41" s="559">
        <v>15492</v>
      </c>
      <c r="AH41" s="559">
        <v>1491</v>
      </c>
      <c r="AI41" s="559">
        <v>20881</v>
      </c>
      <c r="AJ41" s="559">
        <v>1442</v>
      </c>
      <c r="AK41" s="559">
        <v>23536</v>
      </c>
      <c r="AL41" s="559">
        <v>-245</v>
      </c>
      <c r="AM41" s="559">
        <v>23602</v>
      </c>
      <c r="AN41" s="559">
        <v>17193</v>
      </c>
      <c r="AO41" s="559">
        <v>6152</v>
      </c>
      <c r="AP41" s="559">
        <v>76841</v>
      </c>
      <c r="AQ41" s="559">
        <v>17215</v>
      </c>
      <c r="AR41" s="559">
        <v>0</v>
      </c>
      <c r="AS41" s="559">
        <v>12964</v>
      </c>
      <c r="AT41" s="559">
        <v>7979</v>
      </c>
      <c r="AU41" s="559">
        <v>11274</v>
      </c>
      <c r="AV41" s="559">
        <v>84585</v>
      </c>
      <c r="AW41" s="559">
        <v>37731</v>
      </c>
      <c r="AX41" s="559">
        <v>126140</v>
      </c>
      <c r="AY41" s="559">
        <v>29310</v>
      </c>
      <c r="AZ41" s="559">
        <v>0</v>
      </c>
      <c r="BA41" s="559">
        <v>680</v>
      </c>
      <c r="BB41" s="559">
        <v>1</v>
      </c>
      <c r="BC41" s="559">
        <v>0</v>
      </c>
      <c r="BD41" s="559">
        <v>7960</v>
      </c>
      <c r="BE41" s="559">
        <v>1000</v>
      </c>
      <c r="BF41" s="559">
        <v>680</v>
      </c>
      <c r="BG41" s="131">
        <v>5000</v>
      </c>
      <c r="BH41" s="131">
        <v>0</v>
      </c>
      <c r="BI41" s="559">
        <v>0</v>
      </c>
      <c r="BJ41" s="559">
        <v>0</v>
      </c>
      <c r="BK41" s="559">
        <v>9641</v>
      </c>
    </row>
    <row r="42" spans="1:63">
      <c r="A42" s="131">
        <v>2029</v>
      </c>
      <c r="B42" s="131" t="s">
        <v>67</v>
      </c>
      <c r="C42" s="559">
        <v>163754.21</v>
      </c>
      <c r="D42" s="559">
        <v>0</v>
      </c>
      <c r="E42" s="559">
        <v>-0.5</v>
      </c>
      <c r="F42" s="559">
        <f t="shared" si="0"/>
        <v>163753.71</v>
      </c>
      <c r="G42" s="559">
        <v>2275419</v>
      </c>
      <c r="H42" s="559">
        <v>0</v>
      </c>
      <c r="I42" s="559">
        <v>57243</v>
      </c>
      <c r="J42" s="559">
        <v>0</v>
      </c>
      <c r="K42" s="559">
        <v>300832</v>
      </c>
      <c r="L42" s="559">
        <v>8800</v>
      </c>
      <c r="M42" s="559">
        <v>1152</v>
      </c>
      <c r="N42" s="559">
        <v>16571</v>
      </c>
      <c r="O42" s="559">
        <v>24963</v>
      </c>
      <c r="P42" s="559">
        <v>248</v>
      </c>
      <c r="Q42" s="559">
        <v>0</v>
      </c>
      <c r="R42" s="559">
        <v>26059</v>
      </c>
      <c r="S42" s="559">
        <v>1492</v>
      </c>
      <c r="T42" s="559">
        <v>0</v>
      </c>
      <c r="U42" s="559">
        <v>0</v>
      </c>
      <c r="V42" s="559">
        <v>0</v>
      </c>
      <c r="W42" s="559">
        <v>37644</v>
      </c>
      <c r="X42" s="559">
        <v>1011511</v>
      </c>
      <c r="Y42" s="559">
        <v>0</v>
      </c>
      <c r="Z42" s="559">
        <v>480479</v>
      </c>
      <c r="AA42" s="559">
        <v>65878</v>
      </c>
      <c r="AB42" s="559">
        <v>74762</v>
      </c>
      <c r="AC42" s="559">
        <v>-2</v>
      </c>
      <c r="AD42" s="559">
        <v>89155</v>
      </c>
      <c r="AE42" s="559">
        <v>7785</v>
      </c>
      <c r="AF42" s="559">
        <v>6144</v>
      </c>
      <c r="AG42" s="559">
        <v>17621</v>
      </c>
      <c r="AH42" s="559">
        <v>-7608</v>
      </c>
      <c r="AI42" s="559">
        <v>38013</v>
      </c>
      <c r="AJ42" s="559">
        <v>916</v>
      </c>
      <c r="AK42" s="559">
        <v>25488</v>
      </c>
      <c r="AL42" s="559">
        <v>2317</v>
      </c>
      <c r="AM42" s="559">
        <v>37727</v>
      </c>
      <c r="AN42" s="559">
        <v>22052</v>
      </c>
      <c r="AO42" s="559">
        <v>14458</v>
      </c>
      <c r="AP42" s="559">
        <v>130387</v>
      </c>
      <c r="AQ42" s="559">
        <v>22707</v>
      </c>
      <c r="AR42" s="559">
        <v>0</v>
      </c>
      <c r="AS42" s="559">
        <v>15659</v>
      </c>
      <c r="AT42" s="559">
        <v>9307</v>
      </c>
      <c r="AU42" s="559">
        <v>25723</v>
      </c>
      <c r="AV42" s="559">
        <v>95105</v>
      </c>
      <c r="AW42" s="559">
        <v>158196</v>
      </c>
      <c r="AX42" s="559">
        <v>156981</v>
      </c>
      <c r="AY42" s="559">
        <v>51208</v>
      </c>
      <c r="AZ42" s="559">
        <v>0</v>
      </c>
      <c r="BA42" s="559">
        <v>120706</v>
      </c>
      <c r="BB42" s="559">
        <v>-1</v>
      </c>
      <c r="BC42" s="559">
        <v>0</v>
      </c>
      <c r="BD42" s="559">
        <v>8984</v>
      </c>
      <c r="BE42" s="559">
        <v>0</v>
      </c>
      <c r="BF42" s="559">
        <v>120706</v>
      </c>
      <c r="BG42" s="131">
        <v>5000</v>
      </c>
      <c r="BH42" s="131">
        <v>0</v>
      </c>
      <c r="BI42" s="559">
        <v>103537</v>
      </c>
      <c r="BJ42" s="559">
        <v>7274</v>
      </c>
      <c r="BK42" s="559">
        <v>18878</v>
      </c>
    </row>
    <row r="43" spans="1:63">
      <c r="A43" s="131">
        <v>3516</v>
      </c>
      <c r="B43" s="131" t="s">
        <v>69</v>
      </c>
      <c r="C43" s="559">
        <v>-657.02</v>
      </c>
      <c r="D43" s="559">
        <v>0</v>
      </c>
      <c r="E43" s="559">
        <v>0</v>
      </c>
      <c r="F43" s="559">
        <f t="shared" si="0"/>
        <v>-657.02</v>
      </c>
      <c r="G43" s="559">
        <v>931111</v>
      </c>
      <c r="H43" s="559">
        <v>0</v>
      </c>
      <c r="I43" s="559">
        <v>87762</v>
      </c>
      <c r="J43" s="559">
        <v>0</v>
      </c>
      <c r="K43" s="559">
        <v>23981</v>
      </c>
      <c r="L43" s="559">
        <v>0</v>
      </c>
      <c r="M43" s="559">
        <v>0</v>
      </c>
      <c r="N43" s="559">
        <v>0</v>
      </c>
      <c r="O43" s="559">
        <v>34237</v>
      </c>
      <c r="P43" s="559">
        <v>0</v>
      </c>
      <c r="Q43" s="559">
        <v>12556</v>
      </c>
      <c r="R43" s="559">
        <v>0</v>
      </c>
      <c r="S43" s="559">
        <v>25225</v>
      </c>
      <c r="T43" s="559">
        <v>0</v>
      </c>
      <c r="U43" s="559">
        <v>0</v>
      </c>
      <c r="V43" s="559">
        <v>0</v>
      </c>
      <c r="W43" s="559">
        <v>27506</v>
      </c>
      <c r="X43" s="559">
        <v>570188</v>
      </c>
      <c r="Y43" s="559">
        <v>1514</v>
      </c>
      <c r="Z43" s="559">
        <v>227594</v>
      </c>
      <c r="AA43" s="559">
        <v>18391</v>
      </c>
      <c r="AB43" s="559">
        <v>66865</v>
      </c>
      <c r="AC43" s="559">
        <v>0</v>
      </c>
      <c r="AD43" s="559">
        <v>16252</v>
      </c>
      <c r="AE43" s="559">
        <v>2499</v>
      </c>
      <c r="AF43" s="559">
        <v>3826</v>
      </c>
      <c r="AG43" s="559">
        <v>804</v>
      </c>
      <c r="AH43" s="559">
        <v>0</v>
      </c>
      <c r="AI43" s="559">
        <v>12079</v>
      </c>
      <c r="AJ43" s="559">
        <v>0</v>
      </c>
      <c r="AK43" s="559">
        <v>34974</v>
      </c>
      <c r="AL43" s="559">
        <v>5500</v>
      </c>
      <c r="AM43" s="559">
        <v>14309</v>
      </c>
      <c r="AN43" s="559">
        <v>0</v>
      </c>
      <c r="AO43" s="559">
        <v>3276</v>
      </c>
      <c r="AP43" s="559">
        <v>21354</v>
      </c>
      <c r="AQ43" s="559">
        <v>15677</v>
      </c>
      <c r="AR43" s="559">
        <v>0</v>
      </c>
      <c r="AS43" s="559">
        <v>19158</v>
      </c>
      <c r="AT43" s="559">
        <v>7567</v>
      </c>
      <c r="AU43" s="559">
        <v>0</v>
      </c>
      <c r="AV43" s="559">
        <v>59887</v>
      </c>
      <c r="AW43" s="559">
        <v>0</v>
      </c>
      <c r="AX43" s="559">
        <v>2301</v>
      </c>
      <c r="AY43" s="559">
        <v>33786</v>
      </c>
      <c r="AZ43" s="559">
        <v>0</v>
      </c>
      <c r="BA43" s="559">
        <v>0</v>
      </c>
      <c r="BB43" s="559">
        <v>0</v>
      </c>
      <c r="BC43" s="559">
        <v>0</v>
      </c>
      <c r="BD43" s="559">
        <v>0</v>
      </c>
      <c r="BE43" s="559">
        <v>0</v>
      </c>
      <c r="BF43" s="559">
        <v>0</v>
      </c>
      <c r="BG43" s="131">
        <v>5000</v>
      </c>
      <c r="BH43" s="131">
        <v>0</v>
      </c>
      <c r="BI43" s="559">
        <v>0</v>
      </c>
      <c r="BJ43" s="559">
        <v>0</v>
      </c>
      <c r="BK43" s="559">
        <v>0</v>
      </c>
    </row>
    <row r="44" spans="1:63">
      <c r="A44" s="131">
        <v>2031</v>
      </c>
      <c r="B44" s="131" t="s">
        <v>70</v>
      </c>
      <c r="C44" s="559">
        <v>248394.45</v>
      </c>
      <c r="D44" s="559">
        <v>0</v>
      </c>
      <c r="E44" s="559">
        <v>-0.18</v>
      </c>
      <c r="F44" s="559">
        <f t="shared" si="0"/>
        <v>248394.27000000002</v>
      </c>
      <c r="G44" s="559">
        <v>1183116</v>
      </c>
      <c r="H44" s="559">
        <v>0</v>
      </c>
      <c r="I44" s="559">
        <v>30970</v>
      </c>
      <c r="J44" s="559">
        <v>0</v>
      </c>
      <c r="K44" s="559">
        <v>117000</v>
      </c>
      <c r="L44" s="559">
        <v>2785</v>
      </c>
      <c r="M44" s="559">
        <v>2890</v>
      </c>
      <c r="N44" s="559">
        <v>49221</v>
      </c>
      <c r="O44" s="559">
        <v>24184</v>
      </c>
      <c r="P44" s="559">
        <v>12572</v>
      </c>
      <c r="Q44" s="559">
        <v>6167</v>
      </c>
      <c r="R44" s="559">
        <v>12670</v>
      </c>
      <c r="S44" s="559">
        <v>7320</v>
      </c>
      <c r="T44" s="559">
        <v>0</v>
      </c>
      <c r="U44" s="559">
        <v>0</v>
      </c>
      <c r="V44" s="559">
        <v>0</v>
      </c>
      <c r="W44" s="559">
        <v>23218</v>
      </c>
      <c r="X44" s="559">
        <v>631267</v>
      </c>
      <c r="Y44" s="559">
        <v>2799</v>
      </c>
      <c r="Z44" s="559">
        <v>338403</v>
      </c>
      <c r="AA44" s="559">
        <v>22550</v>
      </c>
      <c r="AB44" s="559">
        <v>35060</v>
      </c>
      <c r="AC44" s="559">
        <v>0</v>
      </c>
      <c r="AD44" s="559">
        <v>51741</v>
      </c>
      <c r="AE44" s="559">
        <v>7088</v>
      </c>
      <c r="AF44" s="559">
        <v>12527</v>
      </c>
      <c r="AG44" s="559">
        <v>11703</v>
      </c>
      <c r="AH44" s="559">
        <v>941</v>
      </c>
      <c r="AI44" s="559">
        <v>33781</v>
      </c>
      <c r="AJ44" s="559">
        <v>10836</v>
      </c>
      <c r="AK44" s="559">
        <v>20659</v>
      </c>
      <c r="AL44" s="559">
        <v>4084</v>
      </c>
      <c r="AM44" s="559">
        <v>18193</v>
      </c>
      <c r="AN44" s="559">
        <v>0</v>
      </c>
      <c r="AO44" s="559">
        <v>7407</v>
      </c>
      <c r="AP44" s="559">
        <v>71695</v>
      </c>
      <c r="AQ44" s="559">
        <v>13083</v>
      </c>
      <c r="AR44" s="559">
        <v>0</v>
      </c>
      <c r="AS44" s="559">
        <v>8348</v>
      </c>
      <c r="AT44" s="559">
        <v>5590</v>
      </c>
      <c r="AU44" s="559">
        <v>8550</v>
      </c>
      <c r="AV44" s="559">
        <v>54686</v>
      </c>
      <c r="AW44" s="559">
        <v>80992</v>
      </c>
      <c r="AX44" s="559">
        <v>74704</v>
      </c>
      <c r="AY44" s="559">
        <v>34445</v>
      </c>
      <c r="AZ44" s="559">
        <v>0</v>
      </c>
      <c r="BA44" s="559">
        <v>50621</v>
      </c>
      <c r="BB44" s="559">
        <v>0</v>
      </c>
      <c r="BC44" s="559">
        <v>0</v>
      </c>
      <c r="BD44" s="559">
        <v>6373</v>
      </c>
      <c r="BE44" s="559">
        <v>0</v>
      </c>
      <c r="BF44" s="559">
        <v>50621</v>
      </c>
      <c r="BG44" s="131">
        <v>5000</v>
      </c>
      <c r="BH44" s="131">
        <v>0</v>
      </c>
      <c r="BI44" s="559">
        <v>46600</v>
      </c>
      <c r="BJ44" s="559">
        <v>0</v>
      </c>
      <c r="BK44" s="559">
        <v>10395</v>
      </c>
    </row>
    <row r="45" spans="1:63">
      <c r="A45" s="131">
        <v>2032</v>
      </c>
      <c r="B45" s="131" t="s">
        <v>71</v>
      </c>
      <c r="C45" s="559">
        <v>150371.49</v>
      </c>
      <c r="D45" s="559">
        <v>0</v>
      </c>
      <c r="E45" s="559">
        <v>260.74</v>
      </c>
      <c r="F45" s="559">
        <f t="shared" si="0"/>
        <v>150632.22999999998</v>
      </c>
      <c r="G45" s="559">
        <v>2184774</v>
      </c>
      <c r="H45" s="559">
        <v>0</v>
      </c>
      <c r="I45" s="559">
        <v>87922</v>
      </c>
      <c r="J45" s="559">
        <v>0</v>
      </c>
      <c r="K45" s="559">
        <v>164350</v>
      </c>
      <c r="L45" s="559">
        <v>0</v>
      </c>
      <c r="M45" s="559">
        <v>0</v>
      </c>
      <c r="N45" s="559">
        <v>101383</v>
      </c>
      <c r="O45" s="559">
        <v>47733</v>
      </c>
      <c r="P45" s="559">
        <v>0</v>
      </c>
      <c r="Q45" s="559">
        <v>0</v>
      </c>
      <c r="R45" s="559">
        <v>0</v>
      </c>
      <c r="S45" s="559">
        <v>28722</v>
      </c>
      <c r="T45" s="559">
        <v>0</v>
      </c>
      <c r="U45" s="559">
        <v>0</v>
      </c>
      <c r="V45" s="559">
        <v>0</v>
      </c>
      <c r="W45" s="559">
        <v>48724</v>
      </c>
      <c r="X45" s="559">
        <v>1137567</v>
      </c>
      <c r="Y45" s="559">
        <v>27613</v>
      </c>
      <c r="Z45" s="559">
        <v>553608</v>
      </c>
      <c r="AA45" s="559">
        <v>30432</v>
      </c>
      <c r="AB45" s="559">
        <v>82637</v>
      </c>
      <c r="AC45" s="559">
        <v>0</v>
      </c>
      <c r="AD45" s="559">
        <v>48227</v>
      </c>
      <c r="AE45" s="559">
        <v>5391</v>
      </c>
      <c r="AF45" s="559">
        <v>6339</v>
      </c>
      <c r="AG45" s="559">
        <v>17022</v>
      </c>
      <c r="AH45" s="559">
        <v>2272</v>
      </c>
      <c r="AI45" s="559">
        <v>121498</v>
      </c>
      <c r="AJ45" s="559">
        <v>2366</v>
      </c>
      <c r="AK45" s="559">
        <v>40321</v>
      </c>
      <c r="AL45" s="559">
        <v>4600</v>
      </c>
      <c r="AM45" s="559">
        <v>31301</v>
      </c>
      <c r="AN45" s="559">
        <v>20967</v>
      </c>
      <c r="AO45" s="559">
        <v>7840</v>
      </c>
      <c r="AP45" s="559">
        <v>114714</v>
      </c>
      <c r="AQ45" s="559">
        <v>17892</v>
      </c>
      <c r="AR45" s="559">
        <v>0</v>
      </c>
      <c r="AS45" s="559">
        <v>10747</v>
      </c>
      <c r="AT45" s="559">
        <v>10363</v>
      </c>
      <c r="AU45" s="559">
        <v>7650</v>
      </c>
      <c r="AV45" s="559">
        <v>147236</v>
      </c>
      <c r="AW45" s="559">
        <v>136443</v>
      </c>
      <c r="AX45" s="559">
        <v>68697</v>
      </c>
      <c r="AY45" s="559">
        <v>30524</v>
      </c>
      <c r="AZ45" s="559">
        <v>0</v>
      </c>
      <c r="BA45" s="559">
        <v>0</v>
      </c>
      <c r="BB45" s="559">
        <v>-2</v>
      </c>
      <c r="BC45" s="559">
        <v>0</v>
      </c>
      <c r="BD45" s="559">
        <v>9816</v>
      </c>
      <c r="BE45" s="559">
        <v>0</v>
      </c>
      <c r="BF45" s="559">
        <v>0</v>
      </c>
      <c r="BG45" s="131">
        <v>5000</v>
      </c>
      <c r="BH45" s="131">
        <v>0</v>
      </c>
      <c r="BI45" s="559">
        <v>10068</v>
      </c>
      <c r="BJ45" s="559">
        <v>0</v>
      </c>
      <c r="BK45" s="559">
        <v>0</v>
      </c>
    </row>
    <row r="46" spans="1:63">
      <c r="A46" s="131">
        <v>3304</v>
      </c>
      <c r="B46" s="131" t="s">
        <v>72</v>
      </c>
      <c r="C46" s="559">
        <v>1912.32</v>
      </c>
      <c r="D46" s="559">
        <v>0</v>
      </c>
      <c r="E46" s="559">
        <v>-0.95</v>
      </c>
      <c r="F46" s="559">
        <f t="shared" si="0"/>
        <v>1911.37</v>
      </c>
      <c r="G46" s="559">
        <v>1079355</v>
      </c>
      <c r="H46" s="559">
        <v>0</v>
      </c>
      <c r="I46" s="559">
        <v>28368</v>
      </c>
      <c r="J46" s="559">
        <v>0</v>
      </c>
      <c r="K46" s="559">
        <v>84300</v>
      </c>
      <c r="L46" s="559">
        <v>11264</v>
      </c>
      <c r="M46" s="559">
        <v>2400</v>
      </c>
      <c r="N46" s="559">
        <v>60950</v>
      </c>
      <c r="O46" s="559">
        <v>26234</v>
      </c>
      <c r="P46" s="559">
        <v>0</v>
      </c>
      <c r="Q46" s="559">
        <v>226</v>
      </c>
      <c r="R46" s="559">
        <v>19637</v>
      </c>
      <c r="S46" s="559">
        <v>8906</v>
      </c>
      <c r="T46" s="559">
        <v>0</v>
      </c>
      <c r="U46" s="559">
        <v>0</v>
      </c>
      <c r="V46" s="559">
        <v>0</v>
      </c>
      <c r="W46" s="559">
        <v>26377</v>
      </c>
      <c r="X46" s="559">
        <v>567321</v>
      </c>
      <c r="Y46" s="559">
        <v>0</v>
      </c>
      <c r="Z46" s="559">
        <v>194310</v>
      </c>
      <c r="AA46" s="559">
        <v>32675</v>
      </c>
      <c r="AB46" s="559">
        <v>59500</v>
      </c>
      <c r="AC46" s="559">
        <v>0</v>
      </c>
      <c r="AD46" s="559">
        <v>55688</v>
      </c>
      <c r="AE46" s="559">
        <v>8010</v>
      </c>
      <c r="AF46" s="559">
        <v>3536</v>
      </c>
      <c r="AG46" s="559">
        <v>11027</v>
      </c>
      <c r="AH46" s="559">
        <v>2469</v>
      </c>
      <c r="AI46" s="559">
        <v>24466</v>
      </c>
      <c r="AJ46" s="559">
        <v>2546</v>
      </c>
      <c r="AK46" s="559">
        <v>21217</v>
      </c>
      <c r="AL46" s="559">
        <v>3698</v>
      </c>
      <c r="AM46" s="559">
        <v>14891</v>
      </c>
      <c r="AN46" s="559">
        <v>0</v>
      </c>
      <c r="AO46" s="559">
        <v>10733</v>
      </c>
      <c r="AP46" s="559">
        <v>46292</v>
      </c>
      <c r="AQ46" s="559">
        <v>9796</v>
      </c>
      <c r="AR46" s="559">
        <v>0</v>
      </c>
      <c r="AS46" s="559">
        <v>12592</v>
      </c>
      <c r="AT46" s="559">
        <v>300</v>
      </c>
      <c r="AU46" s="559">
        <v>29897</v>
      </c>
      <c r="AV46" s="559">
        <v>62593</v>
      </c>
      <c r="AW46" s="559">
        <v>53276</v>
      </c>
      <c r="AX46" s="559">
        <v>54601</v>
      </c>
      <c r="AY46" s="559">
        <v>38047</v>
      </c>
      <c r="AZ46" s="559">
        <v>0</v>
      </c>
      <c r="BA46" s="559">
        <v>7088</v>
      </c>
      <c r="BB46" s="559">
        <v>0</v>
      </c>
      <c r="BC46" s="559">
        <v>0</v>
      </c>
      <c r="BD46" s="559">
        <v>0</v>
      </c>
      <c r="BE46" s="559">
        <v>0</v>
      </c>
      <c r="BF46" s="559">
        <v>7088</v>
      </c>
      <c r="BG46" s="131">
        <v>5000</v>
      </c>
      <c r="BH46" s="131">
        <v>0</v>
      </c>
      <c r="BI46" s="559">
        <v>-5007</v>
      </c>
      <c r="BJ46" s="559">
        <v>0</v>
      </c>
      <c r="BK46" s="559">
        <v>5242</v>
      </c>
    </row>
    <row r="47" spans="1:63">
      <c r="A47" s="131">
        <v>2036</v>
      </c>
      <c r="B47" s="131" t="s">
        <v>74</v>
      </c>
      <c r="C47" s="559">
        <v>473310.03</v>
      </c>
      <c r="D47" s="559">
        <v>0</v>
      </c>
      <c r="E47" s="559">
        <v>-3098.67</v>
      </c>
      <c r="F47" s="559">
        <f t="shared" si="0"/>
        <v>470211.36000000004</v>
      </c>
      <c r="G47" s="559">
        <v>1517717</v>
      </c>
      <c r="H47" s="559">
        <v>0</v>
      </c>
      <c r="I47" s="559">
        <v>452151</v>
      </c>
      <c r="J47" s="559">
        <v>0</v>
      </c>
      <c r="K47" s="559">
        <v>114400</v>
      </c>
      <c r="L47" s="559">
        <v>0</v>
      </c>
      <c r="M47" s="559">
        <v>1940</v>
      </c>
      <c r="N47" s="559">
        <v>33220</v>
      </c>
      <c r="O47" s="559">
        <v>21415</v>
      </c>
      <c r="P47" s="559">
        <v>0</v>
      </c>
      <c r="Q47" s="559">
        <v>0</v>
      </c>
      <c r="R47" s="559">
        <v>20411</v>
      </c>
      <c r="S47" s="559">
        <v>726</v>
      </c>
      <c r="T47" s="559">
        <v>0</v>
      </c>
      <c r="U47" s="559">
        <v>0</v>
      </c>
      <c r="V47" s="559">
        <v>0</v>
      </c>
      <c r="W47" s="559">
        <v>27665</v>
      </c>
      <c r="X47" s="559">
        <v>872531</v>
      </c>
      <c r="Y47" s="559">
        <v>15420</v>
      </c>
      <c r="Z47" s="559">
        <v>597592</v>
      </c>
      <c r="AA47" s="559">
        <v>47931</v>
      </c>
      <c r="AB47" s="559">
        <v>61483</v>
      </c>
      <c r="AC47" s="559">
        <v>0</v>
      </c>
      <c r="AD47" s="559">
        <v>13511</v>
      </c>
      <c r="AE47" s="559">
        <v>12070</v>
      </c>
      <c r="AF47" s="559">
        <v>9072</v>
      </c>
      <c r="AG47" s="559">
        <v>672</v>
      </c>
      <c r="AH47" s="559">
        <v>1063</v>
      </c>
      <c r="AI47" s="559">
        <v>77422</v>
      </c>
      <c r="AJ47" s="559">
        <v>21567</v>
      </c>
      <c r="AK47" s="559">
        <v>13103</v>
      </c>
      <c r="AL47" s="559">
        <v>2430</v>
      </c>
      <c r="AM47" s="559">
        <v>19660</v>
      </c>
      <c r="AN47" s="559">
        <v>13858</v>
      </c>
      <c r="AO47" s="559">
        <v>7048</v>
      </c>
      <c r="AP47" s="559">
        <v>88683</v>
      </c>
      <c r="AQ47" s="559">
        <v>35389</v>
      </c>
      <c r="AR47" s="559">
        <v>0</v>
      </c>
      <c r="AS47" s="559">
        <v>16751</v>
      </c>
      <c r="AT47" s="559">
        <v>8382</v>
      </c>
      <c r="AU47" s="559">
        <v>7421</v>
      </c>
      <c r="AV47" s="559">
        <v>63796</v>
      </c>
      <c r="AW47" s="559">
        <v>31216</v>
      </c>
      <c r="AX47" s="559">
        <v>118141</v>
      </c>
      <c r="AY47" s="559">
        <v>30840</v>
      </c>
      <c r="AZ47" s="559">
        <v>0</v>
      </c>
      <c r="BA47" s="559">
        <v>107481</v>
      </c>
      <c r="BB47" s="559">
        <v>0</v>
      </c>
      <c r="BC47" s="559">
        <v>0</v>
      </c>
      <c r="BD47" s="559">
        <v>6432</v>
      </c>
      <c r="BE47" s="559">
        <v>0</v>
      </c>
      <c r="BF47" s="559">
        <v>107481</v>
      </c>
      <c r="BG47" s="131">
        <v>5000</v>
      </c>
      <c r="BH47" s="131">
        <v>0</v>
      </c>
      <c r="BI47" s="559">
        <v>77660</v>
      </c>
      <c r="BJ47" s="559">
        <v>0</v>
      </c>
      <c r="BK47" s="559">
        <v>33120</v>
      </c>
    </row>
    <row r="48" spans="1:63">
      <c r="A48" s="131">
        <v>2037</v>
      </c>
      <c r="B48" s="131" t="s">
        <v>75</v>
      </c>
      <c r="C48" s="559">
        <v>90475.57</v>
      </c>
      <c r="D48" s="559">
        <v>0</v>
      </c>
      <c r="E48" s="559">
        <v>6941.75</v>
      </c>
      <c r="F48" s="559">
        <f t="shared" si="0"/>
        <v>97417.32</v>
      </c>
      <c r="G48" s="559">
        <v>1346831</v>
      </c>
      <c r="H48" s="559">
        <v>0</v>
      </c>
      <c r="I48" s="559">
        <v>82798</v>
      </c>
      <c r="J48" s="559">
        <v>0</v>
      </c>
      <c r="K48" s="559">
        <v>111132</v>
      </c>
      <c r="L48" s="559">
        <v>2306</v>
      </c>
      <c r="M48" s="559">
        <v>11622</v>
      </c>
      <c r="N48" s="559">
        <v>23543</v>
      </c>
      <c r="O48" s="559">
        <v>34664</v>
      </c>
      <c r="P48" s="559">
        <v>10568</v>
      </c>
      <c r="Q48" s="559">
        <v>0</v>
      </c>
      <c r="R48" s="559">
        <v>18382</v>
      </c>
      <c r="S48" s="559">
        <v>4445</v>
      </c>
      <c r="T48" s="559">
        <v>0</v>
      </c>
      <c r="U48" s="559">
        <v>0</v>
      </c>
      <c r="V48" s="559">
        <v>0</v>
      </c>
      <c r="W48" s="559">
        <v>31418</v>
      </c>
      <c r="X48" s="559">
        <v>668650</v>
      </c>
      <c r="Y48" s="559">
        <v>600</v>
      </c>
      <c r="Z48" s="559">
        <v>404480</v>
      </c>
      <c r="AA48" s="559">
        <v>42020</v>
      </c>
      <c r="AB48" s="559">
        <v>45843</v>
      </c>
      <c r="AC48" s="559">
        <v>2741</v>
      </c>
      <c r="AD48" s="559">
        <v>46605</v>
      </c>
      <c r="AE48" s="559">
        <v>3380</v>
      </c>
      <c r="AF48" s="559">
        <v>4117</v>
      </c>
      <c r="AG48" s="559">
        <v>13036</v>
      </c>
      <c r="AH48" s="559">
        <v>1176</v>
      </c>
      <c r="AI48" s="559">
        <v>18402</v>
      </c>
      <c r="AJ48" s="559">
        <v>633</v>
      </c>
      <c r="AK48" s="559">
        <v>27894</v>
      </c>
      <c r="AL48" s="559">
        <v>2078</v>
      </c>
      <c r="AM48" s="559">
        <v>31690</v>
      </c>
      <c r="AN48" s="559">
        <v>16147</v>
      </c>
      <c r="AO48" s="559">
        <v>6182</v>
      </c>
      <c r="AP48" s="559">
        <v>63025</v>
      </c>
      <c r="AQ48" s="559">
        <v>26823</v>
      </c>
      <c r="AR48" s="559">
        <v>0</v>
      </c>
      <c r="AS48" s="559">
        <v>6358</v>
      </c>
      <c r="AT48" s="559">
        <v>12184</v>
      </c>
      <c r="AU48" s="559">
        <v>8358</v>
      </c>
      <c r="AV48" s="559">
        <v>75921</v>
      </c>
      <c r="AW48" s="559">
        <v>42235</v>
      </c>
      <c r="AX48" s="559">
        <v>60415</v>
      </c>
      <c r="AY48" s="559">
        <v>43001</v>
      </c>
      <c r="AZ48" s="559">
        <v>0</v>
      </c>
      <c r="BA48" s="559">
        <v>0</v>
      </c>
      <c r="BB48" s="559">
        <v>1</v>
      </c>
      <c r="BC48" s="559">
        <v>0</v>
      </c>
      <c r="BD48" s="559">
        <v>6976</v>
      </c>
      <c r="BE48" s="559">
        <v>0</v>
      </c>
      <c r="BF48" s="559">
        <v>0</v>
      </c>
      <c r="BG48" s="131">
        <v>5000</v>
      </c>
      <c r="BH48" s="131">
        <v>0</v>
      </c>
      <c r="BI48" s="559">
        <v>5964</v>
      </c>
      <c r="BJ48" s="559">
        <v>0</v>
      </c>
      <c r="BK48" s="559">
        <v>7615</v>
      </c>
    </row>
    <row r="49" spans="1:63">
      <c r="A49" s="131">
        <v>3523</v>
      </c>
      <c r="B49" s="131" t="s">
        <v>269</v>
      </c>
      <c r="C49" s="559">
        <v>250828.1</v>
      </c>
      <c r="D49" s="559">
        <v>0</v>
      </c>
      <c r="E49" s="559">
        <v>-0.59</v>
      </c>
      <c r="F49" s="559">
        <f t="shared" si="0"/>
        <v>250827.51</v>
      </c>
      <c r="G49" s="559">
        <v>2443852</v>
      </c>
      <c r="H49" s="559">
        <v>0</v>
      </c>
      <c r="I49" s="559">
        <v>162750</v>
      </c>
      <c r="J49" s="559">
        <v>0</v>
      </c>
      <c r="K49" s="559">
        <v>198390</v>
      </c>
      <c r="L49" s="559">
        <v>3038</v>
      </c>
      <c r="M49" s="559">
        <v>27248</v>
      </c>
      <c r="N49" s="559">
        <v>72713</v>
      </c>
      <c r="O49" s="559">
        <v>39022</v>
      </c>
      <c r="P49" s="559">
        <v>9151</v>
      </c>
      <c r="Q49" s="559">
        <v>6253</v>
      </c>
      <c r="R49" s="559">
        <v>55922</v>
      </c>
      <c r="S49" s="559">
        <v>14074</v>
      </c>
      <c r="T49" s="559">
        <v>0</v>
      </c>
      <c r="U49" s="559">
        <v>0</v>
      </c>
      <c r="V49" s="559">
        <v>0</v>
      </c>
      <c r="W49" s="559">
        <v>62709</v>
      </c>
      <c r="X49" s="559">
        <v>1259432</v>
      </c>
      <c r="Y49" s="559">
        <v>0</v>
      </c>
      <c r="Z49" s="559">
        <v>761855</v>
      </c>
      <c r="AA49" s="559">
        <v>124081</v>
      </c>
      <c r="AB49" s="559">
        <v>182452</v>
      </c>
      <c r="AC49" s="559">
        <v>0</v>
      </c>
      <c r="AD49" s="559">
        <v>80240</v>
      </c>
      <c r="AE49" s="559">
        <v>41537</v>
      </c>
      <c r="AF49" s="559">
        <v>10519</v>
      </c>
      <c r="AG49" s="559">
        <v>30327</v>
      </c>
      <c r="AH49" s="559">
        <v>2356</v>
      </c>
      <c r="AI49" s="559">
        <v>56610</v>
      </c>
      <c r="AJ49" s="559">
        <v>515</v>
      </c>
      <c r="AK49" s="559">
        <v>6415</v>
      </c>
      <c r="AL49" s="559">
        <v>1177</v>
      </c>
      <c r="AM49" s="559">
        <v>38711</v>
      </c>
      <c r="AN49" s="559">
        <v>29116</v>
      </c>
      <c r="AO49" s="559">
        <v>7778</v>
      </c>
      <c r="AP49" s="559">
        <v>120353</v>
      </c>
      <c r="AQ49" s="559">
        <v>20439</v>
      </c>
      <c r="AR49" s="559">
        <v>0</v>
      </c>
      <c r="AS49" s="559">
        <v>14846</v>
      </c>
      <c r="AT49" s="559">
        <v>12091</v>
      </c>
      <c r="AU49" s="559">
        <v>1038</v>
      </c>
      <c r="AV49" s="559">
        <v>122999</v>
      </c>
      <c r="AW49" s="559">
        <v>51578</v>
      </c>
      <c r="AX49" s="559">
        <v>73172</v>
      </c>
      <c r="AY49" s="559">
        <v>26761</v>
      </c>
      <c r="AZ49" s="559">
        <v>0</v>
      </c>
      <c r="BA49" s="559">
        <v>89689</v>
      </c>
      <c r="BB49" s="559">
        <v>0</v>
      </c>
      <c r="BC49" s="559">
        <v>0</v>
      </c>
      <c r="BD49" s="559">
        <v>9772</v>
      </c>
      <c r="BE49" s="559">
        <v>16000</v>
      </c>
      <c r="BF49" s="559">
        <v>89689</v>
      </c>
      <c r="BG49" s="131">
        <v>5000</v>
      </c>
      <c r="BH49" s="131">
        <v>0</v>
      </c>
      <c r="BI49" s="559">
        <v>97367</v>
      </c>
      <c r="BJ49" s="559">
        <v>0</v>
      </c>
      <c r="BK49" s="559">
        <v>23238</v>
      </c>
    </row>
    <row r="50" spans="1:63">
      <c r="A50" s="131">
        <v>5948</v>
      </c>
      <c r="B50" s="131" t="s">
        <v>77</v>
      </c>
      <c r="C50" s="559">
        <v>3413.57</v>
      </c>
      <c r="D50" s="559">
        <v>0</v>
      </c>
      <c r="E50" s="559">
        <v>0</v>
      </c>
      <c r="F50" s="559">
        <f t="shared" si="0"/>
        <v>3413.57</v>
      </c>
      <c r="G50" s="559">
        <v>907089</v>
      </c>
      <c r="H50" s="559">
        <v>0</v>
      </c>
      <c r="I50" s="559">
        <v>60332</v>
      </c>
      <c r="J50" s="559">
        <v>0</v>
      </c>
      <c r="K50" s="559">
        <v>20100</v>
      </c>
      <c r="L50" s="559">
        <v>60013</v>
      </c>
      <c r="M50" s="559">
        <v>8347</v>
      </c>
      <c r="N50" s="559">
        <v>58039</v>
      </c>
      <c r="O50" s="559">
        <v>23170</v>
      </c>
      <c r="P50" s="559">
        <v>7850</v>
      </c>
      <c r="Q50" s="559">
        <v>1734</v>
      </c>
      <c r="R50" s="559">
        <v>28661</v>
      </c>
      <c r="S50" s="559">
        <v>285754</v>
      </c>
      <c r="T50" s="559">
        <v>0</v>
      </c>
      <c r="U50" s="559">
        <v>0</v>
      </c>
      <c r="V50" s="559">
        <v>-4614</v>
      </c>
      <c r="W50" s="559">
        <v>28631</v>
      </c>
      <c r="X50" s="559">
        <v>640342</v>
      </c>
      <c r="Y50" s="559">
        <v>28827</v>
      </c>
      <c r="Z50" s="559">
        <v>380929</v>
      </c>
      <c r="AA50" s="559">
        <v>39288</v>
      </c>
      <c r="AB50" s="559">
        <v>65972</v>
      </c>
      <c r="AC50" s="559">
        <v>0</v>
      </c>
      <c r="AD50" s="559">
        <v>4730</v>
      </c>
      <c r="AE50" s="559">
        <v>3729</v>
      </c>
      <c r="AF50" s="559">
        <v>4140</v>
      </c>
      <c r="AG50" s="559">
        <v>5896</v>
      </c>
      <c r="AH50" s="559">
        <v>7015</v>
      </c>
      <c r="AI50" s="559">
        <v>23282</v>
      </c>
      <c r="AJ50" s="559">
        <v>2287</v>
      </c>
      <c r="AK50" s="559">
        <v>15034</v>
      </c>
      <c r="AL50" s="559">
        <v>2131</v>
      </c>
      <c r="AM50" s="559">
        <v>17545</v>
      </c>
      <c r="AN50" s="559">
        <v>0</v>
      </c>
      <c r="AO50" s="559">
        <v>55755</v>
      </c>
      <c r="AP50" s="559">
        <v>36665</v>
      </c>
      <c r="AQ50" s="559">
        <v>22851</v>
      </c>
      <c r="AR50" s="559">
        <v>0</v>
      </c>
      <c r="AS50" s="559">
        <v>10209</v>
      </c>
      <c r="AT50" s="559">
        <v>12352</v>
      </c>
      <c r="AU50" s="559">
        <v>11149</v>
      </c>
      <c r="AV50" s="559">
        <v>48961</v>
      </c>
      <c r="AW50" s="559">
        <v>10663</v>
      </c>
      <c r="AX50" s="559">
        <v>15907</v>
      </c>
      <c r="AY50" s="559">
        <v>22394</v>
      </c>
      <c r="AZ50" s="559">
        <v>0</v>
      </c>
      <c r="BA50" s="559">
        <v>0</v>
      </c>
      <c r="BB50" s="559">
        <v>0</v>
      </c>
      <c r="BC50" s="559">
        <v>0</v>
      </c>
      <c r="BD50" s="559">
        <v>0</v>
      </c>
      <c r="BE50" s="559">
        <v>0</v>
      </c>
      <c r="BF50" s="559">
        <v>0</v>
      </c>
      <c r="BG50" s="131">
        <v>5000</v>
      </c>
      <c r="BH50" s="131">
        <v>0</v>
      </c>
      <c r="BI50" s="559">
        <v>0</v>
      </c>
      <c r="BJ50" s="559">
        <v>0</v>
      </c>
      <c r="BK50" s="559">
        <v>0</v>
      </c>
    </row>
    <row r="51" spans="1:63">
      <c r="A51" s="131">
        <v>5949</v>
      </c>
      <c r="B51" s="131" t="s">
        <v>78</v>
      </c>
      <c r="C51" s="559">
        <v>20540.79</v>
      </c>
      <c r="D51" s="559">
        <v>0</v>
      </c>
      <c r="E51" s="559">
        <v>0</v>
      </c>
      <c r="F51" s="559">
        <f t="shared" si="0"/>
        <v>20540.79</v>
      </c>
      <c r="G51" s="559">
        <v>1068136</v>
      </c>
      <c r="H51" s="559">
        <v>0</v>
      </c>
      <c r="I51" s="559">
        <v>66966</v>
      </c>
      <c r="J51" s="559">
        <v>0</v>
      </c>
      <c r="K51" s="559">
        <v>19300</v>
      </c>
      <c r="L51" s="559">
        <v>20594</v>
      </c>
      <c r="M51" s="559">
        <v>58138</v>
      </c>
      <c r="N51" s="559">
        <v>2522</v>
      </c>
      <c r="O51" s="559">
        <v>22139</v>
      </c>
      <c r="P51" s="559">
        <v>0</v>
      </c>
      <c r="Q51" s="559">
        <v>8372</v>
      </c>
      <c r="R51" s="559">
        <v>25247</v>
      </c>
      <c r="S51" s="559">
        <v>145193</v>
      </c>
      <c r="T51" s="559">
        <v>0</v>
      </c>
      <c r="U51" s="559">
        <v>0</v>
      </c>
      <c r="V51" s="559">
        <v>0</v>
      </c>
      <c r="W51" s="559">
        <v>34654</v>
      </c>
      <c r="X51" s="559">
        <v>655608</v>
      </c>
      <c r="Y51" s="559">
        <v>16997</v>
      </c>
      <c r="Z51" s="559">
        <v>251942</v>
      </c>
      <c r="AA51" s="559">
        <v>28243</v>
      </c>
      <c r="AB51" s="559">
        <v>92274</v>
      </c>
      <c r="AC51" s="559">
        <v>2296</v>
      </c>
      <c r="AD51" s="559">
        <v>22903</v>
      </c>
      <c r="AE51" s="559">
        <v>36728</v>
      </c>
      <c r="AF51" s="559">
        <v>4830</v>
      </c>
      <c r="AG51" s="559">
        <v>13707</v>
      </c>
      <c r="AH51" s="559">
        <v>2600</v>
      </c>
      <c r="AI51" s="559">
        <v>28892</v>
      </c>
      <c r="AJ51" s="559">
        <v>0</v>
      </c>
      <c r="AK51" s="559">
        <v>13022</v>
      </c>
      <c r="AL51" s="559">
        <v>2317</v>
      </c>
      <c r="AM51" s="559">
        <v>20522</v>
      </c>
      <c r="AN51" s="559">
        <v>0</v>
      </c>
      <c r="AO51" s="559">
        <v>9331</v>
      </c>
      <c r="AP51" s="559">
        <v>53931</v>
      </c>
      <c r="AQ51" s="559">
        <v>33313</v>
      </c>
      <c r="AR51" s="559">
        <v>0</v>
      </c>
      <c r="AS51" s="559">
        <v>8783</v>
      </c>
      <c r="AT51" s="559">
        <v>16247</v>
      </c>
      <c r="AU51" s="559">
        <v>2279</v>
      </c>
      <c r="AV51" s="559">
        <v>67577</v>
      </c>
      <c r="AW51" s="559">
        <v>92384</v>
      </c>
      <c r="AX51" s="559">
        <v>25836</v>
      </c>
      <c r="AY51" s="559">
        <v>49537</v>
      </c>
      <c r="AZ51" s="559">
        <v>0</v>
      </c>
      <c r="BA51" s="559">
        <v>0</v>
      </c>
      <c r="BB51" s="559">
        <v>0</v>
      </c>
      <c r="BC51" s="559">
        <v>0</v>
      </c>
      <c r="BD51" s="559">
        <v>0</v>
      </c>
      <c r="BE51" s="559">
        <v>0</v>
      </c>
      <c r="BF51" s="559">
        <v>0</v>
      </c>
      <c r="BG51" s="131">
        <v>5000</v>
      </c>
      <c r="BH51" s="131">
        <v>0</v>
      </c>
      <c r="BI51" s="559">
        <v>0</v>
      </c>
      <c r="BJ51" s="559">
        <v>0</v>
      </c>
      <c r="BK51" s="559">
        <v>0</v>
      </c>
    </row>
    <row r="52" spans="1:63">
      <c r="A52" s="131">
        <v>3513</v>
      </c>
      <c r="B52" s="131" t="s">
        <v>79</v>
      </c>
      <c r="C52" s="559">
        <v>33815.17</v>
      </c>
      <c r="D52" s="559">
        <v>0</v>
      </c>
      <c r="E52" s="559">
        <v>0</v>
      </c>
      <c r="F52" s="559">
        <f t="shared" si="0"/>
        <v>33815.17</v>
      </c>
      <c r="G52" s="559">
        <v>1589804</v>
      </c>
      <c r="H52" s="559">
        <v>0</v>
      </c>
      <c r="I52" s="559">
        <v>139206</v>
      </c>
      <c r="J52" s="559">
        <v>0</v>
      </c>
      <c r="K52" s="559">
        <v>20958</v>
      </c>
      <c r="L52" s="559">
        <v>0</v>
      </c>
      <c r="M52" s="559">
        <v>0</v>
      </c>
      <c r="N52" s="559">
        <v>0</v>
      </c>
      <c r="O52" s="559">
        <v>34372</v>
      </c>
      <c r="P52" s="559">
        <v>35884</v>
      </c>
      <c r="Q52" s="559">
        <v>8755</v>
      </c>
      <c r="R52" s="559">
        <v>14143</v>
      </c>
      <c r="S52" s="559">
        <v>47749</v>
      </c>
      <c r="T52" s="559">
        <v>0</v>
      </c>
      <c r="U52" s="559">
        <v>0</v>
      </c>
      <c r="V52" s="559">
        <v>0</v>
      </c>
      <c r="W52" s="559">
        <v>46427</v>
      </c>
      <c r="X52" s="559">
        <v>1145637</v>
      </c>
      <c r="Y52" s="559">
        <v>1156</v>
      </c>
      <c r="Z52" s="559">
        <v>191902</v>
      </c>
      <c r="AA52" s="559">
        <v>30626</v>
      </c>
      <c r="AB52" s="559">
        <v>75398</v>
      </c>
      <c r="AC52" s="559">
        <v>0</v>
      </c>
      <c r="AD52" s="559">
        <v>4513</v>
      </c>
      <c r="AE52" s="559">
        <v>8214</v>
      </c>
      <c r="AF52" s="559">
        <v>6666</v>
      </c>
      <c r="AG52" s="559">
        <v>14156</v>
      </c>
      <c r="AH52" s="559">
        <v>0</v>
      </c>
      <c r="AI52" s="559">
        <v>28112</v>
      </c>
      <c r="AJ52" s="559">
        <v>10</v>
      </c>
      <c r="AK52" s="559">
        <v>62194</v>
      </c>
      <c r="AL52" s="559">
        <v>5656</v>
      </c>
      <c r="AM52" s="559">
        <v>30440</v>
      </c>
      <c r="AN52" s="559">
        <v>0</v>
      </c>
      <c r="AO52" s="559">
        <v>18495</v>
      </c>
      <c r="AP52" s="559">
        <v>74030</v>
      </c>
      <c r="AQ52" s="559">
        <v>16118</v>
      </c>
      <c r="AR52" s="559">
        <v>0</v>
      </c>
      <c r="AS52" s="559">
        <v>10500</v>
      </c>
      <c r="AT52" s="559">
        <v>0</v>
      </c>
      <c r="AU52" s="559">
        <v>0</v>
      </c>
      <c r="AV52" s="559">
        <v>90765</v>
      </c>
      <c r="AW52" s="559">
        <v>0</v>
      </c>
      <c r="AX52" s="559">
        <v>110788</v>
      </c>
      <c r="AY52" s="559">
        <v>14811</v>
      </c>
      <c r="AZ52" s="559">
        <v>0</v>
      </c>
      <c r="BA52" s="559">
        <v>0</v>
      </c>
      <c r="BB52" s="559">
        <v>-1</v>
      </c>
      <c r="BC52" s="559">
        <v>0</v>
      </c>
      <c r="BD52" s="559">
        <v>0</v>
      </c>
      <c r="BE52" s="559">
        <v>0</v>
      </c>
      <c r="BF52" s="559">
        <v>0</v>
      </c>
      <c r="BG52" s="131">
        <v>5000</v>
      </c>
      <c r="BH52" s="131">
        <v>0</v>
      </c>
      <c r="BI52" s="559">
        <v>0</v>
      </c>
      <c r="BJ52" s="559">
        <v>0</v>
      </c>
      <c r="BK52" s="559">
        <v>0</v>
      </c>
    </row>
    <row r="53" spans="1:63">
      <c r="A53" s="131">
        <v>3305</v>
      </c>
      <c r="B53" s="131" t="s">
        <v>80</v>
      </c>
      <c r="C53" s="559">
        <v>928.16</v>
      </c>
      <c r="D53" s="559">
        <v>0</v>
      </c>
      <c r="E53" s="559">
        <v>-0.08</v>
      </c>
      <c r="F53" s="559">
        <f t="shared" si="0"/>
        <v>928.07999999999993</v>
      </c>
      <c r="G53" s="559">
        <v>609967</v>
      </c>
      <c r="H53" s="559">
        <v>0</v>
      </c>
      <c r="I53" s="559">
        <v>36099</v>
      </c>
      <c r="J53" s="559">
        <v>0</v>
      </c>
      <c r="K53" s="559">
        <v>10490</v>
      </c>
      <c r="L53" s="559">
        <v>1625</v>
      </c>
      <c r="M53" s="559">
        <v>1964</v>
      </c>
      <c r="N53" s="559">
        <v>8748</v>
      </c>
      <c r="O53" s="559">
        <v>16271</v>
      </c>
      <c r="P53" s="559">
        <v>9234</v>
      </c>
      <c r="Q53" s="559">
        <v>0</v>
      </c>
      <c r="R53" s="559">
        <v>19154</v>
      </c>
      <c r="S53" s="559">
        <v>7888</v>
      </c>
      <c r="T53" s="559">
        <v>0</v>
      </c>
      <c r="U53" s="559">
        <v>0</v>
      </c>
      <c r="V53" s="559">
        <v>0</v>
      </c>
      <c r="W53" s="559">
        <v>28410</v>
      </c>
      <c r="X53" s="559">
        <v>363150</v>
      </c>
      <c r="Y53" s="559">
        <v>0</v>
      </c>
      <c r="Z53" s="559">
        <v>98698</v>
      </c>
      <c r="AA53" s="559">
        <v>26215</v>
      </c>
      <c r="AB53" s="559">
        <v>25881</v>
      </c>
      <c r="AC53" s="559">
        <v>0</v>
      </c>
      <c r="AD53" s="559">
        <v>21001</v>
      </c>
      <c r="AE53" s="559">
        <v>5549</v>
      </c>
      <c r="AF53" s="559">
        <v>2505</v>
      </c>
      <c r="AG53" s="559">
        <v>5648</v>
      </c>
      <c r="AH53" s="559">
        <v>605</v>
      </c>
      <c r="AI53" s="559">
        <v>5363</v>
      </c>
      <c r="AJ53" s="559">
        <v>75</v>
      </c>
      <c r="AK53" s="559">
        <v>910</v>
      </c>
      <c r="AL53" s="559">
        <v>1579</v>
      </c>
      <c r="AM53" s="559">
        <v>11711</v>
      </c>
      <c r="AN53" s="559">
        <v>0</v>
      </c>
      <c r="AO53" s="559">
        <v>4801</v>
      </c>
      <c r="AP53" s="559">
        <v>39597</v>
      </c>
      <c r="AQ53" s="559">
        <v>8192</v>
      </c>
      <c r="AR53" s="559">
        <v>0</v>
      </c>
      <c r="AS53" s="559">
        <v>6183</v>
      </c>
      <c r="AT53" s="559">
        <v>1474</v>
      </c>
      <c r="AU53" s="559">
        <v>5673</v>
      </c>
      <c r="AV53" s="559">
        <v>36801</v>
      </c>
      <c r="AW53" s="559">
        <v>6019</v>
      </c>
      <c r="AX53" s="559">
        <v>24601</v>
      </c>
      <c r="AY53" s="559">
        <v>18877</v>
      </c>
      <c r="AZ53" s="559">
        <v>0</v>
      </c>
      <c r="BA53" s="559">
        <v>0</v>
      </c>
      <c r="BB53" s="559">
        <v>0</v>
      </c>
      <c r="BC53" s="559">
        <v>0</v>
      </c>
      <c r="BD53" s="559">
        <v>0</v>
      </c>
      <c r="BE53" s="559">
        <v>0</v>
      </c>
      <c r="BF53" s="559">
        <v>0</v>
      </c>
      <c r="BG53" s="131">
        <v>5000</v>
      </c>
      <c r="BH53" s="131">
        <v>0</v>
      </c>
      <c r="BI53" s="559">
        <v>0</v>
      </c>
      <c r="BJ53" s="559">
        <v>0</v>
      </c>
      <c r="BK53" s="559">
        <v>0</v>
      </c>
    </row>
    <row r="54" spans="1:63">
      <c r="A54" s="131">
        <v>2042</v>
      </c>
      <c r="B54" s="131" t="s">
        <v>81</v>
      </c>
      <c r="C54" s="559">
        <v>117621.69</v>
      </c>
      <c r="D54" s="559">
        <v>0</v>
      </c>
      <c r="E54" s="559">
        <v>0</v>
      </c>
      <c r="F54" s="559">
        <f t="shared" si="0"/>
        <v>117621.69</v>
      </c>
      <c r="G54" s="559">
        <v>1062597</v>
      </c>
      <c r="H54" s="559">
        <v>0</v>
      </c>
      <c r="I54" s="559">
        <v>76985</v>
      </c>
      <c r="J54" s="559">
        <v>0</v>
      </c>
      <c r="K54" s="559">
        <v>46700</v>
      </c>
      <c r="L54" s="559">
        <v>63972</v>
      </c>
      <c r="M54" s="559">
        <v>870</v>
      </c>
      <c r="N54" s="559">
        <v>41489</v>
      </c>
      <c r="O54" s="559">
        <v>45656</v>
      </c>
      <c r="P54" s="559">
        <v>330</v>
      </c>
      <c r="Q54" s="559">
        <v>8410</v>
      </c>
      <c r="R54" s="559">
        <v>26813</v>
      </c>
      <c r="S54" s="559">
        <v>12147</v>
      </c>
      <c r="T54" s="559">
        <v>0</v>
      </c>
      <c r="U54" s="559">
        <v>0</v>
      </c>
      <c r="V54" s="559">
        <v>0</v>
      </c>
      <c r="W54" s="559">
        <v>33702</v>
      </c>
      <c r="X54" s="559">
        <v>522172</v>
      </c>
      <c r="Y54" s="559">
        <v>0</v>
      </c>
      <c r="Z54" s="559">
        <v>322096</v>
      </c>
      <c r="AA54" s="559">
        <v>38515</v>
      </c>
      <c r="AB54" s="559">
        <v>80645</v>
      </c>
      <c r="AC54" s="559">
        <v>0</v>
      </c>
      <c r="AD54" s="559">
        <v>69405</v>
      </c>
      <c r="AE54" s="559">
        <v>4122</v>
      </c>
      <c r="AF54" s="559">
        <v>1962</v>
      </c>
      <c r="AG54" s="559">
        <v>5258</v>
      </c>
      <c r="AH54" s="559">
        <v>1025</v>
      </c>
      <c r="AI54" s="559">
        <v>15384</v>
      </c>
      <c r="AJ54" s="559">
        <v>5034</v>
      </c>
      <c r="AK54" s="559">
        <v>399</v>
      </c>
      <c r="AL54" s="559">
        <v>1916</v>
      </c>
      <c r="AM54" s="559">
        <v>16435</v>
      </c>
      <c r="AN54" s="559">
        <v>15304</v>
      </c>
      <c r="AO54" s="559">
        <v>5461</v>
      </c>
      <c r="AP54" s="559">
        <v>59840</v>
      </c>
      <c r="AQ54" s="559">
        <v>10870</v>
      </c>
      <c r="AR54" s="559">
        <v>0</v>
      </c>
      <c r="AS54" s="559">
        <v>5543</v>
      </c>
      <c r="AT54" s="559">
        <v>6323</v>
      </c>
      <c r="AU54" s="559">
        <v>7952</v>
      </c>
      <c r="AV54" s="559">
        <v>80078</v>
      </c>
      <c r="AW54" s="559">
        <v>20716</v>
      </c>
      <c r="AX54" s="559">
        <v>37990</v>
      </c>
      <c r="AY54" s="559">
        <v>22525</v>
      </c>
      <c r="AZ54" s="559">
        <v>0</v>
      </c>
      <c r="BA54" s="559">
        <v>65788</v>
      </c>
      <c r="BB54" s="559">
        <v>0</v>
      </c>
      <c r="BC54" s="559">
        <v>0</v>
      </c>
      <c r="BD54" s="559">
        <v>6780</v>
      </c>
      <c r="BE54" s="559">
        <v>0</v>
      </c>
      <c r="BF54" s="559">
        <v>65788</v>
      </c>
      <c r="BG54" s="131">
        <v>5000</v>
      </c>
      <c r="BH54" s="131">
        <v>0</v>
      </c>
      <c r="BI54" s="559">
        <v>39028</v>
      </c>
      <c r="BJ54" s="559">
        <v>0</v>
      </c>
      <c r="BK54" s="559">
        <v>33539</v>
      </c>
    </row>
    <row r="55" spans="1:63">
      <c r="A55" s="131">
        <v>2044</v>
      </c>
      <c r="B55" s="131" t="s">
        <v>82</v>
      </c>
      <c r="C55" s="559">
        <v>127797.12</v>
      </c>
      <c r="D55" s="559">
        <v>0</v>
      </c>
      <c r="E55" s="559">
        <v>-0.06</v>
      </c>
      <c r="F55" s="559">
        <f t="shared" si="0"/>
        <v>127797.06</v>
      </c>
      <c r="G55" s="559">
        <v>1443833</v>
      </c>
      <c r="H55" s="559">
        <v>0</v>
      </c>
      <c r="I55" s="559">
        <v>171849</v>
      </c>
      <c r="J55" s="559">
        <v>0</v>
      </c>
      <c r="K55" s="559">
        <v>83100</v>
      </c>
      <c r="L55" s="559">
        <v>2915</v>
      </c>
      <c r="M55" s="559">
        <v>10808</v>
      </c>
      <c r="N55" s="559">
        <v>39946</v>
      </c>
      <c r="O55" s="559">
        <v>28301</v>
      </c>
      <c r="P55" s="559">
        <v>18536</v>
      </c>
      <c r="Q55" s="559">
        <v>0</v>
      </c>
      <c r="R55" s="559">
        <v>12877</v>
      </c>
      <c r="S55" s="559">
        <v>25184</v>
      </c>
      <c r="T55" s="559">
        <v>0</v>
      </c>
      <c r="U55" s="559">
        <v>0</v>
      </c>
      <c r="V55" s="559">
        <v>0</v>
      </c>
      <c r="W55" s="559">
        <v>73052</v>
      </c>
      <c r="X55" s="559">
        <v>809046</v>
      </c>
      <c r="Y55" s="559">
        <v>350</v>
      </c>
      <c r="Z55" s="559">
        <v>385704</v>
      </c>
      <c r="AA55" s="559">
        <v>39081</v>
      </c>
      <c r="AB55" s="559">
        <v>92316</v>
      </c>
      <c r="AC55" s="559">
        <v>0</v>
      </c>
      <c r="AD55" s="559">
        <v>61581</v>
      </c>
      <c r="AE55" s="559">
        <v>39834</v>
      </c>
      <c r="AF55" s="559">
        <v>5405</v>
      </c>
      <c r="AG55" s="559">
        <v>10623</v>
      </c>
      <c r="AH55" s="559">
        <v>5148</v>
      </c>
      <c r="AI55" s="559">
        <v>61091</v>
      </c>
      <c r="AJ55" s="559">
        <v>4731</v>
      </c>
      <c r="AK55" s="559">
        <v>33756</v>
      </c>
      <c r="AL55" s="559">
        <v>4692</v>
      </c>
      <c r="AM55" s="559">
        <v>28174</v>
      </c>
      <c r="AN55" s="559">
        <v>12291</v>
      </c>
      <c r="AO55" s="559">
        <v>12447</v>
      </c>
      <c r="AP55" s="559">
        <v>97429</v>
      </c>
      <c r="AQ55" s="559">
        <v>13246</v>
      </c>
      <c r="AR55" s="559">
        <v>0</v>
      </c>
      <c r="AS55" s="559">
        <v>18531</v>
      </c>
      <c r="AT55" s="559">
        <v>8162</v>
      </c>
      <c r="AU55" s="559">
        <v>568</v>
      </c>
      <c r="AV55" s="559">
        <v>100053</v>
      </c>
      <c r="AW55" s="559">
        <v>32797</v>
      </c>
      <c r="AX55" s="559">
        <v>37896</v>
      </c>
      <c r="AY55" s="559">
        <v>19995</v>
      </c>
      <c r="AZ55" s="559">
        <v>0</v>
      </c>
      <c r="BA55" s="559">
        <v>40902</v>
      </c>
      <c r="BB55" s="559">
        <v>0</v>
      </c>
      <c r="BC55" s="559">
        <v>0</v>
      </c>
      <c r="BD55" s="559">
        <v>7408</v>
      </c>
      <c r="BE55" s="559">
        <v>0</v>
      </c>
      <c r="BF55" s="559">
        <v>40902</v>
      </c>
      <c r="BG55" s="131">
        <v>5000</v>
      </c>
      <c r="BH55" s="131">
        <v>0</v>
      </c>
      <c r="BI55" s="559">
        <v>17303</v>
      </c>
      <c r="BJ55" s="559">
        <v>0</v>
      </c>
      <c r="BK55" s="559">
        <v>31008</v>
      </c>
    </row>
    <row r="56" spans="1:63">
      <c r="A56" s="131">
        <v>2043</v>
      </c>
      <c r="B56" s="131" t="s">
        <v>83</v>
      </c>
      <c r="C56" s="559">
        <v>210846.4</v>
      </c>
      <c r="D56" s="559">
        <v>0</v>
      </c>
      <c r="E56" s="559">
        <v>-0.33</v>
      </c>
      <c r="F56" s="559">
        <f t="shared" si="0"/>
        <v>210846.07</v>
      </c>
      <c r="G56" s="559">
        <v>1599179</v>
      </c>
      <c r="H56" s="559">
        <v>0</v>
      </c>
      <c r="I56" s="559">
        <v>152211</v>
      </c>
      <c r="J56" s="559">
        <v>0</v>
      </c>
      <c r="K56" s="559">
        <v>113480</v>
      </c>
      <c r="L56" s="559">
        <v>2290</v>
      </c>
      <c r="M56" s="559">
        <v>300</v>
      </c>
      <c r="N56" s="559">
        <v>71977</v>
      </c>
      <c r="O56" s="559">
        <v>80013</v>
      </c>
      <c r="P56" s="559">
        <v>4506</v>
      </c>
      <c r="Q56" s="559">
        <v>2119</v>
      </c>
      <c r="R56" s="559">
        <v>68483</v>
      </c>
      <c r="S56" s="559">
        <v>17631</v>
      </c>
      <c r="T56" s="559">
        <v>0</v>
      </c>
      <c r="U56" s="559">
        <v>0</v>
      </c>
      <c r="V56" s="559">
        <v>0</v>
      </c>
      <c r="W56" s="559">
        <v>9615</v>
      </c>
      <c r="X56" s="559">
        <v>911037</v>
      </c>
      <c r="Y56" s="559">
        <v>5624</v>
      </c>
      <c r="Z56" s="559">
        <v>341215</v>
      </c>
      <c r="AA56" s="559">
        <v>54681</v>
      </c>
      <c r="AB56" s="559">
        <v>80881</v>
      </c>
      <c r="AC56" s="559">
        <v>0</v>
      </c>
      <c r="AD56" s="559">
        <v>44601</v>
      </c>
      <c r="AE56" s="559">
        <v>21430</v>
      </c>
      <c r="AF56" s="559">
        <v>6170</v>
      </c>
      <c r="AG56" s="559">
        <v>10487</v>
      </c>
      <c r="AH56" s="559">
        <v>6462</v>
      </c>
      <c r="AI56" s="559">
        <v>85414</v>
      </c>
      <c r="AJ56" s="559">
        <v>36691</v>
      </c>
      <c r="AK56" s="559">
        <v>39204</v>
      </c>
      <c r="AL56" s="559">
        <v>7354</v>
      </c>
      <c r="AM56" s="559">
        <v>24809</v>
      </c>
      <c r="AN56" s="559">
        <v>12291</v>
      </c>
      <c r="AO56" s="559">
        <v>8739</v>
      </c>
      <c r="AP56" s="559">
        <v>126285</v>
      </c>
      <c r="AQ56" s="559">
        <v>23635</v>
      </c>
      <c r="AR56" s="559">
        <v>0</v>
      </c>
      <c r="AS56" s="559">
        <v>15087</v>
      </c>
      <c r="AT56" s="559">
        <v>12684</v>
      </c>
      <c r="AU56" s="559">
        <v>517</v>
      </c>
      <c r="AV56" s="559">
        <v>84234</v>
      </c>
      <c r="AW56" s="559">
        <v>66113</v>
      </c>
      <c r="AX56" s="559">
        <v>30141</v>
      </c>
      <c r="AY56" s="559">
        <v>31583</v>
      </c>
      <c r="AZ56" s="559">
        <v>0</v>
      </c>
      <c r="BA56" s="559">
        <v>35471</v>
      </c>
      <c r="BB56" s="559">
        <v>-1</v>
      </c>
      <c r="BC56" s="559">
        <v>0</v>
      </c>
      <c r="BD56" s="559">
        <v>8365</v>
      </c>
      <c r="BE56" s="559">
        <v>0</v>
      </c>
      <c r="BF56" s="559">
        <v>35471</v>
      </c>
      <c r="BG56" s="131">
        <v>5000</v>
      </c>
      <c r="BH56" s="131">
        <v>0</v>
      </c>
      <c r="BI56" s="559">
        <v>28782</v>
      </c>
      <c r="BJ56" s="559">
        <v>9272</v>
      </c>
      <c r="BK56" s="559">
        <v>5783</v>
      </c>
    </row>
    <row r="57" spans="1:63">
      <c r="A57" s="131">
        <v>2045</v>
      </c>
      <c r="B57" s="131" t="s">
        <v>84</v>
      </c>
      <c r="C57" s="559">
        <v>326371.17</v>
      </c>
      <c r="D57" s="559">
        <v>0</v>
      </c>
      <c r="E57" s="559">
        <v>31715</v>
      </c>
      <c r="F57" s="559">
        <f t="shared" si="0"/>
        <v>358086.17</v>
      </c>
      <c r="G57" s="559">
        <v>1344796</v>
      </c>
      <c r="H57" s="559">
        <v>0</v>
      </c>
      <c r="I57" s="559">
        <v>37864</v>
      </c>
      <c r="J57" s="559">
        <v>0</v>
      </c>
      <c r="K57" s="559">
        <v>82600</v>
      </c>
      <c r="L57" s="559">
        <v>7769</v>
      </c>
      <c r="M57" s="559">
        <v>29397</v>
      </c>
      <c r="N57" s="559">
        <v>39694</v>
      </c>
      <c r="O57" s="559">
        <v>21193</v>
      </c>
      <c r="P57" s="559">
        <v>3185</v>
      </c>
      <c r="Q57" s="559">
        <v>0</v>
      </c>
      <c r="R57" s="559">
        <v>14981</v>
      </c>
      <c r="S57" s="559">
        <v>261</v>
      </c>
      <c r="T57" s="559">
        <v>0</v>
      </c>
      <c r="U57" s="559">
        <v>0</v>
      </c>
      <c r="V57" s="559">
        <v>0</v>
      </c>
      <c r="W57" s="559">
        <v>32452</v>
      </c>
      <c r="X57" s="559">
        <v>672556</v>
      </c>
      <c r="Y57" s="559">
        <v>10497</v>
      </c>
      <c r="Z57" s="559">
        <v>359167</v>
      </c>
      <c r="AA57" s="559">
        <v>25413</v>
      </c>
      <c r="AB57" s="559">
        <v>41748</v>
      </c>
      <c r="AC57" s="559">
        <v>0</v>
      </c>
      <c r="AD57" s="559">
        <v>40310</v>
      </c>
      <c r="AE57" s="559">
        <v>13320</v>
      </c>
      <c r="AF57" s="559">
        <v>17527</v>
      </c>
      <c r="AG57" s="559">
        <v>11880</v>
      </c>
      <c r="AH57" s="559">
        <v>1201</v>
      </c>
      <c r="AI57" s="559">
        <v>33108</v>
      </c>
      <c r="AJ57" s="559">
        <v>3532</v>
      </c>
      <c r="AK57" s="559">
        <v>17181</v>
      </c>
      <c r="AL57" s="559">
        <v>4523</v>
      </c>
      <c r="AM57" s="559">
        <v>21031</v>
      </c>
      <c r="AN57" s="559">
        <v>17714</v>
      </c>
      <c r="AO57" s="559">
        <v>7208</v>
      </c>
      <c r="AP57" s="559">
        <v>54601</v>
      </c>
      <c r="AQ57" s="559">
        <v>28809</v>
      </c>
      <c r="AR57" s="559">
        <v>0</v>
      </c>
      <c r="AS57" s="559">
        <v>4740</v>
      </c>
      <c r="AT57" s="559">
        <v>8866</v>
      </c>
      <c r="AU57" s="559">
        <v>15255</v>
      </c>
      <c r="AV57" s="559">
        <v>53591</v>
      </c>
      <c r="AW57" s="559">
        <v>21245</v>
      </c>
      <c r="AX57" s="559">
        <v>14409</v>
      </c>
      <c r="AY57" s="559">
        <v>42007</v>
      </c>
      <c r="AZ57" s="559">
        <v>0</v>
      </c>
      <c r="BA57" s="559">
        <v>0</v>
      </c>
      <c r="BB57" s="559">
        <v>0</v>
      </c>
      <c r="BC57" s="559">
        <v>0</v>
      </c>
      <c r="BD57" s="559">
        <v>6644</v>
      </c>
      <c r="BE57" s="559">
        <v>0</v>
      </c>
      <c r="BF57" s="559">
        <v>0</v>
      </c>
      <c r="BG57" s="131">
        <v>5000</v>
      </c>
      <c r="BH57" s="131">
        <v>0</v>
      </c>
      <c r="BI57" s="559">
        <v>0</v>
      </c>
      <c r="BJ57" s="559">
        <v>0</v>
      </c>
      <c r="BK57" s="559">
        <v>26107</v>
      </c>
    </row>
    <row r="58" spans="1:63">
      <c r="A58" s="131">
        <v>2077</v>
      </c>
      <c r="B58" s="131" t="s">
        <v>85</v>
      </c>
      <c r="C58" s="559">
        <v>349239.34</v>
      </c>
      <c r="D58" s="559">
        <v>0</v>
      </c>
      <c r="E58" s="559">
        <v>1</v>
      </c>
      <c r="F58" s="559">
        <f t="shared" si="0"/>
        <v>349240.34</v>
      </c>
      <c r="G58" s="559">
        <v>3010295</v>
      </c>
      <c r="H58" s="559">
        <v>0</v>
      </c>
      <c r="I58" s="559">
        <v>284927</v>
      </c>
      <c r="J58" s="559">
        <v>0</v>
      </c>
      <c r="K58" s="559">
        <v>412455</v>
      </c>
      <c r="L58" s="559">
        <v>2000</v>
      </c>
      <c r="M58" s="559">
        <v>180</v>
      </c>
      <c r="N58" s="559">
        <v>54280</v>
      </c>
      <c r="O58" s="559">
        <v>36745</v>
      </c>
      <c r="P58" s="559">
        <v>-2775</v>
      </c>
      <c r="Q58" s="559">
        <v>-100</v>
      </c>
      <c r="R58" s="559">
        <v>20101</v>
      </c>
      <c r="S58" s="559">
        <v>5856</v>
      </c>
      <c r="T58" s="559">
        <v>0</v>
      </c>
      <c r="U58" s="559">
        <v>0</v>
      </c>
      <c r="V58" s="559">
        <v>0</v>
      </c>
      <c r="W58" s="559">
        <v>53334</v>
      </c>
      <c r="X58" s="559">
        <v>1276316</v>
      </c>
      <c r="Y58" s="559">
        <v>0</v>
      </c>
      <c r="Z58" s="559">
        <v>861709</v>
      </c>
      <c r="AA58" s="559">
        <v>107935</v>
      </c>
      <c r="AB58" s="559">
        <v>134901</v>
      </c>
      <c r="AC58" s="559">
        <v>-1</v>
      </c>
      <c r="AD58" s="559">
        <v>116319</v>
      </c>
      <c r="AE58" s="559">
        <v>35012</v>
      </c>
      <c r="AF58" s="559">
        <v>20402</v>
      </c>
      <c r="AG58" s="559">
        <v>28228</v>
      </c>
      <c r="AH58" s="559">
        <v>2386</v>
      </c>
      <c r="AI58" s="559">
        <v>64426</v>
      </c>
      <c r="AJ58" s="559">
        <v>17762</v>
      </c>
      <c r="AK58" s="559">
        <v>29071</v>
      </c>
      <c r="AL58" s="559">
        <v>4613</v>
      </c>
      <c r="AM58" s="559">
        <v>38223</v>
      </c>
      <c r="AN58" s="559">
        <v>7910</v>
      </c>
      <c r="AO58" s="559">
        <v>26890</v>
      </c>
      <c r="AP58" s="559">
        <v>252111</v>
      </c>
      <c r="AQ58" s="559">
        <v>34542</v>
      </c>
      <c r="AR58" s="559">
        <v>0</v>
      </c>
      <c r="AS58" s="559">
        <v>79046</v>
      </c>
      <c r="AT58" s="559">
        <v>20871</v>
      </c>
      <c r="AU58" s="559">
        <v>65661</v>
      </c>
      <c r="AV58" s="559">
        <v>153939</v>
      </c>
      <c r="AW58" s="559">
        <v>300561</v>
      </c>
      <c r="AX58" s="559">
        <v>383901</v>
      </c>
      <c r="AY58" s="559">
        <v>101375</v>
      </c>
      <c r="AZ58" s="559">
        <v>0</v>
      </c>
      <c r="BA58" s="559">
        <v>22144</v>
      </c>
      <c r="BB58" s="559">
        <v>0</v>
      </c>
      <c r="BC58" s="559">
        <v>0</v>
      </c>
      <c r="BD58" s="559">
        <v>9760</v>
      </c>
      <c r="BE58" s="559">
        <v>0</v>
      </c>
      <c r="BF58" s="559">
        <v>22144</v>
      </c>
      <c r="BG58" s="131">
        <v>5000</v>
      </c>
      <c r="BH58" s="131">
        <v>0</v>
      </c>
      <c r="BI58" s="559">
        <v>18074</v>
      </c>
      <c r="BJ58" s="559">
        <v>0</v>
      </c>
      <c r="BK58" s="559">
        <v>13830</v>
      </c>
    </row>
    <row r="59" spans="1:63">
      <c r="A59" s="131">
        <v>5201</v>
      </c>
      <c r="B59" s="131" t="s">
        <v>86</v>
      </c>
      <c r="C59" s="559">
        <v>215909.73</v>
      </c>
      <c r="D59" s="559">
        <v>0</v>
      </c>
      <c r="E59" s="559">
        <v>14091.76</v>
      </c>
      <c r="F59" s="559">
        <f t="shared" si="0"/>
        <v>230001.49000000002</v>
      </c>
      <c r="G59" s="559">
        <v>1738690</v>
      </c>
      <c r="H59" s="559">
        <v>0</v>
      </c>
      <c r="I59" s="559">
        <v>72975</v>
      </c>
      <c r="J59" s="559">
        <v>0</v>
      </c>
      <c r="K59" s="559">
        <v>105600</v>
      </c>
      <c r="L59" s="559">
        <v>1500</v>
      </c>
      <c r="M59" s="559">
        <v>740</v>
      </c>
      <c r="N59" s="559">
        <v>129099</v>
      </c>
      <c r="O59" s="559">
        <v>61812</v>
      </c>
      <c r="P59" s="559">
        <v>36437</v>
      </c>
      <c r="Q59" s="559">
        <v>5803</v>
      </c>
      <c r="R59" s="559">
        <v>56689</v>
      </c>
      <c r="S59" s="559">
        <v>8572</v>
      </c>
      <c r="T59" s="559">
        <v>200</v>
      </c>
      <c r="U59" s="559">
        <v>0</v>
      </c>
      <c r="V59" s="559">
        <v>0</v>
      </c>
      <c r="W59" s="559">
        <v>45415</v>
      </c>
      <c r="X59" s="559">
        <v>886941</v>
      </c>
      <c r="Y59" s="559">
        <v>202</v>
      </c>
      <c r="Z59" s="559">
        <v>342037</v>
      </c>
      <c r="AA59" s="559">
        <v>73432</v>
      </c>
      <c r="AB59" s="559">
        <v>152762</v>
      </c>
      <c r="AC59" s="559">
        <v>79821</v>
      </c>
      <c r="AD59" s="559">
        <v>94171</v>
      </c>
      <c r="AE59" s="559">
        <v>8980</v>
      </c>
      <c r="AF59" s="559">
        <v>5780</v>
      </c>
      <c r="AG59" s="559">
        <v>12522</v>
      </c>
      <c r="AH59" s="559">
        <v>9610</v>
      </c>
      <c r="AI59" s="559">
        <v>55561</v>
      </c>
      <c r="AJ59" s="559">
        <v>8631</v>
      </c>
      <c r="AK59" s="559">
        <v>3765</v>
      </c>
      <c r="AL59" s="559">
        <v>3797</v>
      </c>
      <c r="AM59" s="559">
        <v>26073</v>
      </c>
      <c r="AN59" s="559">
        <v>0</v>
      </c>
      <c r="AO59" s="559">
        <v>13297</v>
      </c>
      <c r="AP59" s="559">
        <v>151561</v>
      </c>
      <c r="AQ59" s="559">
        <v>15720</v>
      </c>
      <c r="AR59" s="559">
        <v>0</v>
      </c>
      <c r="AS59" s="559">
        <v>10360</v>
      </c>
      <c r="AT59" s="559">
        <v>8938</v>
      </c>
      <c r="AU59" s="559">
        <v>10261</v>
      </c>
      <c r="AV59" s="559">
        <v>62189</v>
      </c>
      <c r="AW59" s="559">
        <v>92214</v>
      </c>
      <c r="AX59" s="559">
        <v>44858</v>
      </c>
      <c r="AY59" s="559">
        <v>28930</v>
      </c>
      <c r="AZ59" s="559">
        <v>0</v>
      </c>
      <c r="BA59" s="559">
        <v>23575</v>
      </c>
      <c r="BB59" s="559">
        <v>0</v>
      </c>
      <c r="BC59" s="559">
        <v>0</v>
      </c>
      <c r="BD59" s="559">
        <v>18724</v>
      </c>
      <c r="BE59" s="559">
        <v>0</v>
      </c>
      <c r="BF59" s="559">
        <v>23575</v>
      </c>
      <c r="BG59" s="131">
        <v>5000</v>
      </c>
      <c r="BH59" s="131">
        <v>0</v>
      </c>
      <c r="BI59" s="559">
        <v>37062</v>
      </c>
      <c r="BJ59" s="559">
        <v>0</v>
      </c>
      <c r="BK59" s="559">
        <v>9330</v>
      </c>
    </row>
    <row r="60" spans="1:63">
      <c r="A60" s="131">
        <v>3501</v>
      </c>
      <c r="B60" s="131" t="s">
        <v>87</v>
      </c>
      <c r="C60" s="559">
        <v>137177.51</v>
      </c>
      <c r="D60" s="559">
        <v>0</v>
      </c>
      <c r="E60" s="559">
        <v>-4998.97</v>
      </c>
      <c r="F60" s="559">
        <f t="shared" si="0"/>
        <v>132178.54</v>
      </c>
      <c r="G60" s="559">
        <v>1011317</v>
      </c>
      <c r="H60" s="559">
        <v>0</v>
      </c>
      <c r="I60" s="559">
        <v>40674</v>
      </c>
      <c r="J60" s="559">
        <v>0</v>
      </c>
      <c r="K60" s="559">
        <v>62758</v>
      </c>
      <c r="L60" s="559">
        <v>0</v>
      </c>
      <c r="M60" s="559">
        <v>6816</v>
      </c>
      <c r="N60" s="559">
        <v>23763</v>
      </c>
      <c r="O60" s="559">
        <v>34409</v>
      </c>
      <c r="P60" s="559">
        <v>7768</v>
      </c>
      <c r="Q60" s="559">
        <v>0</v>
      </c>
      <c r="R60" s="559">
        <v>31631</v>
      </c>
      <c r="S60" s="559">
        <v>36083</v>
      </c>
      <c r="T60" s="559">
        <v>0</v>
      </c>
      <c r="U60" s="559">
        <v>0</v>
      </c>
      <c r="V60" s="559">
        <v>0</v>
      </c>
      <c r="W60" s="559">
        <v>27283</v>
      </c>
      <c r="X60" s="559">
        <v>566447</v>
      </c>
      <c r="Y60" s="559">
        <v>922</v>
      </c>
      <c r="Z60" s="559">
        <v>211255</v>
      </c>
      <c r="AA60" s="559">
        <v>47818</v>
      </c>
      <c r="AB60" s="559">
        <v>47953</v>
      </c>
      <c r="AC60" s="559">
        <v>0</v>
      </c>
      <c r="AD60" s="559">
        <v>20566</v>
      </c>
      <c r="AE60" s="559">
        <v>8287</v>
      </c>
      <c r="AF60" s="559">
        <v>6972</v>
      </c>
      <c r="AG60" s="559">
        <v>8292</v>
      </c>
      <c r="AH60" s="559">
        <v>1029</v>
      </c>
      <c r="AI60" s="559">
        <v>65325</v>
      </c>
      <c r="AJ60" s="559">
        <v>1042</v>
      </c>
      <c r="AK60" s="559">
        <v>2859</v>
      </c>
      <c r="AL60" s="559">
        <v>2150</v>
      </c>
      <c r="AM60" s="559">
        <v>5079</v>
      </c>
      <c r="AN60" s="559">
        <v>0</v>
      </c>
      <c r="AO60" s="559">
        <v>6573</v>
      </c>
      <c r="AP60" s="559">
        <v>73269</v>
      </c>
      <c r="AQ60" s="559">
        <v>12245</v>
      </c>
      <c r="AR60" s="559">
        <v>0</v>
      </c>
      <c r="AS60" s="559">
        <v>23095</v>
      </c>
      <c r="AT60" s="559">
        <v>6607</v>
      </c>
      <c r="AU60" s="559">
        <v>8666</v>
      </c>
      <c r="AV60" s="559">
        <v>75240</v>
      </c>
      <c r="AW60" s="559">
        <v>50641</v>
      </c>
      <c r="AX60" s="559">
        <v>50479</v>
      </c>
      <c r="AY60" s="559">
        <v>29059</v>
      </c>
      <c r="AZ60" s="559">
        <v>0</v>
      </c>
      <c r="BA60" s="559">
        <v>21002</v>
      </c>
      <c r="BB60" s="559">
        <v>1</v>
      </c>
      <c r="BC60" s="559">
        <v>0</v>
      </c>
      <c r="BD60" s="559">
        <v>-2880</v>
      </c>
      <c r="BE60" s="559">
        <v>0</v>
      </c>
      <c r="BF60" s="559">
        <v>21002</v>
      </c>
      <c r="BG60" s="131">
        <v>5000</v>
      </c>
      <c r="BH60" s="131">
        <v>0</v>
      </c>
      <c r="BI60" s="559">
        <v>6240</v>
      </c>
      <c r="BJ60" s="559">
        <v>0</v>
      </c>
      <c r="BK60" s="559">
        <v>11882</v>
      </c>
    </row>
    <row r="61" spans="1:63">
      <c r="A61" s="131">
        <v>2078</v>
      </c>
      <c r="B61" s="131" t="s">
        <v>88</v>
      </c>
      <c r="C61" s="559">
        <v>23768.19</v>
      </c>
      <c r="D61" s="559">
        <v>0</v>
      </c>
      <c r="E61" s="559">
        <v>0</v>
      </c>
      <c r="F61" s="559">
        <f t="shared" si="0"/>
        <v>23768.19</v>
      </c>
      <c r="G61" s="559">
        <v>899457</v>
      </c>
      <c r="H61" s="559">
        <v>0</v>
      </c>
      <c r="I61" s="559">
        <v>6852</v>
      </c>
      <c r="J61" s="559">
        <v>0</v>
      </c>
      <c r="K61" s="559">
        <v>33680</v>
      </c>
      <c r="L61" s="559">
        <v>0</v>
      </c>
      <c r="M61" s="559">
        <v>5540</v>
      </c>
      <c r="N61" s="559">
        <v>10057</v>
      </c>
      <c r="O61" s="559">
        <v>15049</v>
      </c>
      <c r="P61" s="559">
        <v>8413</v>
      </c>
      <c r="Q61" s="559">
        <v>3927</v>
      </c>
      <c r="R61" s="559">
        <v>40780</v>
      </c>
      <c r="S61" s="559">
        <v>87523</v>
      </c>
      <c r="T61" s="559">
        <v>0</v>
      </c>
      <c r="U61" s="559">
        <v>0</v>
      </c>
      <c r="V61" s="559">
        <v>858</v>
      </c>
      <c r="W61" s="559">
        <v>31247</v>
      </c>
      <c r="X61" s="559">
        <v>541324</v>
      </c>
      <c r="Y61" s="559">
        <v>0</v>
      </c>
      <c r="Z61" s="559">
        <v>200512</v>
      </c>
      <c r="AA61" s="559">
        <v>24995</v>
      </c>
      <c r="AB61" s="559">
        <v>94669</v>
      </c>
      <c r="AC61" s="559">
        <v>0</v>
      </c>
      <c r="AD61" s="559">
        <v>18772</v>
      </c>
      <c r="AE61" s="559">
        <v>5504</v>
      </c>
      <c r="AF61" s="559">
        <v>6634</v>
      </c>
      <c r="AG61" s="559">
        <v>9231</v>
      </c>
      <c r="AH61" s="559">
        <v>0</v>
      </c>
      <c r="AI61" s="559">
        <v>18437</v>
      </c>
      <c r="AJ61" s="559">
        <v>0</v>
      </c>
      <c r="AK61" s="559">
        <v>25775</v>
      </c>
      <c r="AL61" s="559">
        <v>4068</v>
      </c>
      <c r="AM61" s="559">
        <v>16353</v>
      </c>
      <c r="AN61" s="559">
        <v>0</v>
      </c>
      <c r="AO61" s="559">
        <v>46508</v>
      </c>
      <c r="AP61" s="559">
        <v>80766</v>
      </c>
      <c r="AQ61" s="559">
        <v>4925</v>
      </c>
      <c r="AR61" s="559">
        <v>0</v>
      </c>
      <c r="AS61" s="559">
        <v>9566</v>
      </c>
      <c r="AT61" s="559">
        <v>0</v>
      </c>
      <c r="AU61" s="559">
        <v>7393</v>
      </c>
      <c r="AV61" s="559">
        <v>37571</v>
      </c>
      <c r="AW61" s="559">
        <v>16887</v>
      </c>
      <c r="AX61" s="559">
        <v>23612</v>
      </c>
      <c r="AY61" s="559">
        <v>19178</v>
      </c>
      <c r="AZ61" s="559">
        <v>0</v>
      </c>
      <c r="BA61" s="559">
        <v>0</v>
      </c>
      <c r="BB61" s="559">
        <v>0</v>
      </c>
      <c r="BC61" s="559">
        <v>0</v>
      </c>
      <c r="BD61" s="559">
        <v>0</v>
      </c>
      <c r="BE61" s="559">
        <v>0</v>
      </c>
      <c r="BF61" s="559">
        <v>0</v>
      </c>
      <c r="BG61" s="131">
        <v>5000</v>
      </c>
      <c r="BH61" s="131">
        <v>0</v>
      </c>
      <c r="BI61" s="559">
        <v>0</v>
      </c>
      <c r="BJ61" s="559">
        <v>0</v>
      </c>
      <c r="BK61" s="559">
        <v>0</v>
      </c>
    </row>
    <row r="62" spans="1:63">
      <c r="A62" s="131">
        <v>2071</v>
      </c>
      <c r="B62" s="131" t="s">
        <v>90</v>
      </c>
      <c r="C62" s="559">
        <v>25031.86</v>
      </c>
      <c r="D62" s="559">
        <v>0</v>
      </c>
      <c r="E62" s="559">
        <v>-0.28000000000000003</v>
      </c>
      <c r="F62" s="559">
        <f t="shared" si="0"/>
        <v>25031.58</v>
      </c>
      <c r="G62" s="559">
        <v>1545846</v>
      </c>
      <c r="H62" s="559">
        <v>0</v>
      </c>
      <c r="I62" s="559">
        <v>66221</v>
      </c>
      <c r="J62" s="559">
        <v>0</v>
      </c>
      <c r="K62" s="559">
        <v>135257</v>
      </c>
      <c r="L62" s="559">
        <v>9700</v>
      </c>
      <c r="M62" s="559">
        <v>5637</v>
      </c>
      <c r="N62" s="559">
        <v>38044</v>
      </c>
      <c r="O62" s="559">
        <v>17635</v>
      </c>
      <c r="P62" s="559">
        <v>6584</v>
      </c>
      <c r="Q62" s="559">
        <v>2406</v>
      </c>
      <c r="R62" s="559">
        <v>7406</v>
      </c>
      <c r="S62" s="559">
        <v>2254</v>
      </c>
      <c r="T62" s="559">
        <v>0</v>
      </c>
      <c r="U62" s="559">
        <v>0</v>
      </c>
      <c r="V62" s="559">
        <v>0</v>
      </c>
      <c r="W62" s="559">
        <v>55735</v>
      </c>
      <c r="X62" s="559">
        <v>656357</v>
      </c>
      <c r="Y62" s="559">
        <v>0</v>
      </c>
      <c r="Z62" s="559">
        <v>574170</v>
      </c>
      <c r="AA62" s="559">
        <v>24459</v>
      </c>
      <c r="AB62" s="559">
        <v>99530</v>
      </c>
      <c r="AC62" s="559">
        <v>0</v>
      </c>
      <c r="AD62" s="559">
        <v>14886</v>
      </c>
      <c r="AE62" s="559">
        <v>6562</v>
      </c>
      <c r="AF62" s="559">
        <v>13471</v>
      </c>
      <c r="AG62" s="559">
        <v>9306</v>
      </c>
      <c r="AH62" s="559">
        <v>8861</v>
      </c>
      <c r="AI62" s="559">
        <v>22102</v>
      </c>
      <c r="AJ62" s="559">
        <v>15141</v>
      </c>
      <c r="AK62" s="559">
        <v>32807</v>
      </c>
      <c r="AL62" s="559">
        <v>3877</v>
      </c>
      <c r="AM62" s="559">
        <v>20945</v>
      </c>
      <c r="AN62" s="559">
        <v>19039</v>
      </c>
      <c r="AO62" s="559">
        <v>3505</v>
      </c>
      <c r="AP62" s="559">
        <v>51572</v>
      </c>
      <c r="AQ62" s="559">
        <v>18257</v>
      </c>
      <c r="AR62" s="559">
        <v>0</v>
      </c>
      <c r="AS62" s="559">
        <v>9856</v>
      </c>
      <c r="AT62" s="559">
        <v>5551</v>
      </c>
      <c r="AU62" s="559">
        <v>5742</v>
      </c>
      <c r="AV62" s="559">
        <v>90520</v>
      </c>
      <c r="AW62" s="559">
        <v>41472</v>
      </c>
      <c r="AX62" s="559">
        <v>94955</v>
      </c>
      <c r="AY62" s="559">
        <v>12361</v>
      </c>
      <c r="AZ62" s="559">
        <v>0</v>
      </c>
      <c r="BA62" s="559">
        <v>1577</v>
      </c>
      <c r="BB62" s="559">
        <v>-1</v>
      </c>
      <c r="BC62" s="559">
        <v>0</v>
      </c>
      <c r="BD62" s="559">
        <v>7764</v>
      </c>
      <c r="BE62" s="559">
        <v>0</v>
      </c>
      <c r="BF62" s="559">
        <v>1577</v>
      </c>
      <c r="BG62" s="131">
        <v>5000</v>
      </c>
      <c r="BH62" s="131">
        <v>0</v>
      </c>
      <c r="BI62" s="559">
        <v>0</v>
      </c>
      <c r="BJ62" s="559">
        <v>0</v>
      </c>
      <c r="BK62" s="559">
        <v>9340</v>
      </c>
    </row>
    <row r="63" spans="1:63">
      <c r="A63" s="131">
        <v>2072</v>
      </c>
      <c r="B63" s="131" t="s">
        <v>91</v>
      </c>
      <c r="C63" s="559">
        <v>55704.41</v>
      </c>
      <c r="D63" s="559">
        <v>0</v>
      </c>
      <c r="E63" s="559">
        <v>7353.35</v>
      </c>
      <c r="F63" s="559">
        <f t="shared" si="0"/>
        <v>63057.760000000002</v>
      </c>
      <c r="G63" s="559">
        <v>1447854</v>
      </c>
      <c r="H63" s="559">
        <v>0</v>
      </c>
      <c r="I63" s="559">
        <v>67584</v>
      </c>
      <c r="J63" s="559">
        <v>0</v>
      </c>
      <c r="K63" s="559">
        <v>209067</v>
      </c>
      <c r="L63" s="559">
        <v>6650</v>
      </c>
      <c r="M63" s="559">
        <v>9758</v>
      </c>
      <c r="N63" s="559">
        <v>469</v>
      </c>
      <c r="O63" s="559">
        <v>45734</v>
      </c>
      <c r="P63" s="559">
        <v>780</v>
      </c>
      <c r="Q63" s="559">
        <v>581</v>
      </c>
      <c r="R63" s="559">
        <v>37389</v>
      </c>
      <c r="S63" s="559">
        <v>500</v>
      </c>
      <c r="T63" s="559">
        <v>0</v>
      </c>
      <c r="U63" s="559">
        <v>0</v>
      </c>
      <c r="V63" s="559">
        <v>0</v>
      </c>
      <c r="W63" s="559">
        <v>9307</v>
      </c>
      <c r="X63" s="559">
        <v>817833</v>
      </c>
      <c r="Y63" s="559">
        <v>4400</v>
      </c>
      <c r="Z63" s="559">
        <v>465455</v>
      </c>
      <c r="AA63" s="559">
        <v>24368</v>
      </c>
      <c r="AB63" s="559">
        <v>55172</v>
      </c>
      <c r="AC63" s="559">
        <v>0</v>
      </c>
      <c r="AD63" s="559">
        <v>16797</v>
      </c>
      <c r="AE63" s="559">
        <v>11677</v>
      </c>
      <c r="AF63" s="559">
        <v>7252</v>
      </c>
      <c r="AG63" s="559">
        <v>5738</v>
      </c>
      <c r="AH63" s="559">
        <v>4478</v>
      </c>
      <c r="AI63" s="559">
        <v>24241</v>
      </c>
      <c r="AJ63" s="559">
        <v>15612</v>
      </c>
      <c r="AK63" s="559">
        <v>21415</v>
      </c>
      <c r="AL63" s="559">
        <v>4094</v>
      </c>
      <c r="AM63" s="559">
        <v>15467</v>
      </c>
      <c r="AN63" s="559">
        <v>10480</v>
      </c>
      <c r="AO63" s="559">
        <v>8315</v>
      </c>
      <c r="AP63" s="559">
        <v>85847</v>
      </c>
      <c r="AQ63" s="559">
        <v>14510</v>
      </c>
      <c r="AR63" s="559">
        <v>0</v>
      </c>
      <c r="AS63" s="559">
        <v>14195</v>
      </c>
      <c r="AT63" s="559">
        <v>5751</v>
      </c>
      <c r="AU63" s="559">
        <v>233</v>
      </c>
      <c r="AV63" s="559">
        <v>74055</v>
      </c>
      <c r="AW63" s="559">
        <v>3721</v>
      </c>
      <c r="AX63" s="559">
        <v>52227</v>
      </c>
      <c r="AY63" s="559">
        <v>43265</v>
      </c>
      <c r="AZ63" s="559">
        <v>0</v>
      </c>
      <c r="BA63" s="559">
        <v>11094</v>
      </c>
      <c r="BB63" s="559">
        <v>0</v>
      </c>
      <c r="BC63" s="559">
        <v>0</v>
      </c>
      <c r="BD63" s="559">
        <v>7512</v>
      </c>
      <c r="BE63" s="559">
        <v>0</v>
      </c>
      <c r="BF63" s="559">
        <v>11094</v>
      </c>
      <c r="BG63" s="131">
        <v>5000</v>
      </c>
      <c r="BH63" s="131">
        <v>0</v>
      </c>
      <c r="BI63" s="559">
        <v>0</v>
      </c>
      <c r="BJ63" s="559">
        <v>0</v>
      </c>
      <c r="BK63" s="559">
        <v>25957</v>
      </c>
    </row>
    <row r="64" spans="1:63">
      <c r="A64" s="131">
        <v>3512</v>
      </c>
      <c r="B64" s="131" t="s">
        <v>92</v>
      </c>
      <c r="C64" s="559">
        <v>60537.279999999999</v>
      </c>
      <c r="D64" s="559">
        <v>0</v>
      </c>
      <c r="E64" s="559">
        <v>0</v>
      </c>
      <c r="F64" s="559">
        <f t="shared" si="0"/>
        <v>60537.279999999999</v>
      </c>
      <c r="G64" s="559">
        <v>1730691</v>
      </c>
      <c r="H64" s="559">
        <v>0</v>
      </c>
      <c r="I64" s="559">
        <v>58381</v>
      </c>
      <c r="J64" s="559">
        <v>0</v>
      </c>
      <c r="K64" s="559">
        <v>24700</v>
      </c>
      <c r="L64" s="559">
        <v>0</v>
      </c>
      <c r="M64" s="559">
        <v>0</v>
      </c>
      <c r="N64" s="559">
        <v>242314</v>
      </c>
      <c r="O64" s="559">
        <v>157407</v>
      </c>
      <c r="P64" s="559">
        <v>6907</v>
      </c>
      <c r="Q64" s="559">
        <v>6315</v>
      </c>
      <c r="R64" s="559">
        <v>42219</v>
      </c>
      <c r="S64" s="559">
        <v>17011</v>
      </c>
      <c r="T64" s="559">
        <v>0</v>
      </c>
      <c r="U64" s="559">
        <v>0</v>
      </c>
      <c r="V64" s="559">
        <v>0</v>
      </c>
      <c r="W64" s="559">
        <v>49687</v>
      </c>
      <c r="X64" s="559">
        <v>987137</v>
      </c>
      <c r="Y64" s="559">
        <v>26414</v>
      </c>
      <c r="Z64" s="559">
        <v>461060</v>
      </c>
      <c r="AA64" s="559">
        <v>55990</v>
      </c>
      <c r="AB64" s="559">
        <v>129623</v>
      </c>
      <c r="AC64" s="559">
        <v>0</v>
      </c>
      <c r="AD64" s="559">
        <v>40576</v>
      </c>
      <c r="AE64" s="559">
        <v>8435</v>
      </c>
      <c r="AF64" s="559">
        <v>16235</v>
      </c>
      <c r="AG64" s="559">
        <v>17299</v>
      </c>
      <c r="AH64" s="559">
        <v>0</v>
      </c>
      <c r="AI64" s="559">
        <v>10798</v>
      </c>
      <c r="AJ64" s="559">
        <v>3886</v>
      </c>
      <c r="AK64" s="559">
        <v>35611</v>
      </c>
      <c r="AL64" s="559">
        <v>2789</v>
      </c>
      <c r="AM64" s="559">
        <v>16293</v>
      </c>
      <c r="AN64" s="559">
        <v>0</v>
      </c>
      <c r="AO64" s="559">
        <v>21483</v>
      </c>
      <c r="AP64" s="559">
        <v>83624</v>
      </c>
      <c r="AQ64" s="559">
        <v>20693</v>
      </c>
      <c r="AR64" s="559">
        <v>0</v>
      </c>
      <c r="AS64" s="559">
        <v>41380</v>
      </c>
      <c r="AT64" s="559">
        <v>26498</v>
      </c>
      <c r="AU64" s="559">
        <v>14174</v>
      </c>
      <c r="AV64" s="559">
        <v>134342</v>
      </c>
      <c r="AW64" s="559">
        <v>55131</v>
      </c>
      <c r="AX64" s="559">
        <v>32164</v>
      </c>
      <c r="AY64" s="559">
        <v>161784</v>
      </c>
      <c r="AZ64" s="559">
        <v>0</v>
      </c>
      <c r="BA64" s="559">
        <v>0</v>
      </c>
      <c r="BB64" s="559">
        <v>0</v>
      </c>
      <c r="BC64" s="559">
        <v>0</v>
      </c>
      <c r="BD64" s="559">
        <v>0</v>
      </c>
      <c r="BE64" s="559">
        <v>0</v>
      </c>
      <c r="BF64" s="559">
        <v>0</v>
      </c>
      <c r="BG64" s="131">
        <v>5000</v>
      </c>
      <c r="BH64" s="131">
        <v>0</v>
      </c>
      <c r="BI64" s="559">
        <v>0</v>
      </c>
      <c r="BJ64" s="559">
        <v>0</v>
      </c>
      <c r="BK64" s="559">
        <v>0</v>
      </c>
    </row>
    <row r="65" spans="1:63">
      <c r="A65" s="131">
        <v>2041</v>
      </c>
      <c r="B65" s="398" t="s">
        <v>675</v>
      </c>
      <c r="C65" s="559">
        <v>-7542.49</v>
      </c>
      <c r="D65" s="559">
        <v>0</v>
      </c>
      <c r="E65" s="559">
        <v>1</v>
      </c>
      <c r="F65" s="559">
        <f t="shared" si="0"/>
        <v>-7541.49</v>
      </c>
      <c r="G65" s="559">
        <v>686794</v>
      </c>
      <c r="H65" s="559">
        <v>0</v>
      </c>
      <c r="I65" s="559">
        <v>0</v>
      </c>
      <c r="J65" s="559">
        <v>0</v>
      </c>
      <c r="K65" s="559">
        <v>3969</v>
      </c>
      <c r="L65" s="559">
        <v>0</v>
      </c>
      <c r="M65" s="559">
        <v>3136</v>
      </c>
      <c r="N65" s="559">
        <v>2584</v>
      </c>
      <c r="O65" s="559">
        <v>38368</v>
      </c>
      <c r="P65" s="559">
        <v>0</v>
      </c>
      <c r="Q65" s="559">
        <v>480</v>
      </c>
      <c r="R65" s="559">
        <v>1310</v>
      </c>
      <c r="S65" s="559">
        <v>16069</v>
      </c>
      <c r="T65" s="559">
        <v>0</v>
      </c>
      <c r="U65" s="559">
        <v>0</v>
      </c>
      <c r="V65" s="559">
        <v>0</v>
      </c>
      <c r="W65" s="559">
        <v>33000</v>
      </c>
      <c r="X65" s="559">
        <v>379289</v>
      </c>
      <c r="Y65" s="559">
        <v>0</v>
      </c>
      <c r="Z65" s="559">
        <v>58721</v>
      </c>
      <c r="AA65" s="559">
        <v>13876</v>
      </c>
      <c r="AB65" s="559">
        <v>41471</v>
      </c>
      <c r="AC65" s="559">
        <v>0</v>
      </c>
      <c r="AD65" s="559">
        <v>9340</v>
      </c>
      <c r="AE65" s="559">
        <v>9696</v>
      </c>
      <c r="AF65" s="559">
        <v>4419</v>
      </c>
      <c r="AG65" s="559">
        <v>12008</v>
      </c>
      <c r="AH65" s="559">
        <v>260</v>
      </c>
      <c r="AI65" s="559">
        <v>8919</v>
      </c>
      <c r="AJ65" s="559">
        <v>0</v>
      </c>
      <c r="AK65" s="559">
        <v>18318</v>
      </c>
      <c r="AL65" s="559">
        <v>2088</v>
      </c>
      <c r="AM65" s="559">
        <v>7562</v>
      </c>
      <c r="AN65" s="559">
        <v>0</v>
      </c>
      <c r="AO65" s="559">
        <v>2414</v>
      </c>
      <c r="AP65" s="559">
        <v>33129</v>
      </c>
      <c r="AQ65" s="559">
        <v>9698</v>
      </c>
      <c r="AR65" s="559">
        <v>0</v>
      </c>
      <c r="AS65" s="559">
        <v>9638</v>
      </c>
      <c r="AT65" s="559">
        <v>6667</v>
      </c>
      <c r="AU65" s="559">
        <v>349</v>
      </c>
      <c r="AV65" s="559">
        <v>57206</v>
      </c>
      <c r="AW65" s="559">
        <v>20761</v>
      </c>
      <c r="AX65" s="559">
        <v>14238</v>
      </c>
      <c r="AY65" s="559">
        <v>20782</v>
      </c>
      <c r="AZ65" s="559">
        <v>0</v>
      </c>
      <c r="BA65" s="559">
        <v>12599</v>
      </c>
      <c r="BB65" s="559">
        <v>0</v>
      </c>
      <c r="BC65" s="559">
        <v>0</v>
      </c>
      <c r="BD65" s="559">
        <v>-11519</v>
      </c>
      <c r="BE65" s="559">
        <v>5000</v>
      </c>
      <c r="BF65" s="559">
        <v>12599</v>
      </c>
      <c r="BG65" s="131">
        <v>5000</v>
      </c>
      <c r="BH65" s="131">
        <v>0</v>
      </c>
      <c r="BI65" s="559">
        <v>0</v>
      </c>
      <c r="BJ65" s="559">
        <v>0</v>
      </c>
      <c r="BK65" s="559">
        <v>6080</v>
      </c>
    </row>
    <row r="66" spans="1:63">
      <c r="A66" s="131">
        <v>3510</v>
      </c>
      <c r="B66" s="131" t="s">
        <v>93</v>
      </c>
      <c r="C66" s="559">
        <v>187467.48</v>
      </c>
      <c r="D66" s="559">
        <v>0</v>
      </c>
      <c r="E66" s="559">
        <v>-0.3</v>
      </c>
      <c r="F66" s="559">
        <f t="shared" si="0"/>
        <v>187467.18000000002</v>
      </c>
      <c r="G66" s="559">
        <v>1597593</v>
      </c>
      <c r="H66" s="559">
        <v>0</v>
      </c>
      <c r="I66" s="559">
        <v>60481</v>
      </c>
      <c r="J66" s="559">
        <v>0</v>
      </c>
      <c r="K66" s="559">
        <v>55900</v>
      </c>
      <c r="L66" s="559">
        <v>19000</v>
      </c>
      <c r="M66" s="559">
        <v>3951</v>
      </c>
      <c r="N66" s="559">
        <v>40110</v>
      </c>
      <c r="O66" s="559">
        <v>68698</v>
      </c>
      <c r="P66" s="559">
        <v>263</v>
      </c>
      <c r="Q66" s="559">
        <v>6004</v>
      </c>
      <c r="R66" s="559">
        <v>51005</v>
      </c>
      <c r="S66" s="559">
        <v>4646</v>
      </c>
      <c r="T66" s="559">
        <v>0</v>
      </c>
      <c r="U66" s="559">
        <v>0</v>
      </c>
      <c r="V66" s="559">
        <v>0</v>
      </c>
      <c r="W66" s="559">
        <v>46752</v>
      </c>
      <c r="X66" s="559">
        <v>965075</v>
      </c>
      <c r="Y66" s="559">
        <v>27418</v>
      </c>
      <c r="Z66" s="559">
        <v>307896</v>
      </c>
      <c r="AA66" s="559">
        <v>31584</v>
      </c>
      <c r="AB66" s="559">
        <v>77777</v>
      </c>
      <c r="AC66" s="559">
        <v>0</v>
      </c>
      <c r="AD66" s="559">
        <v>1698</v>
      </c>
      <c r="AE66" s="559">
        <v>14082</v>
      </c>
      <c r="AF66" s="559">
        <v>10176</v>
      </c>
      <c r="AG66" s="559">
        <v>26140</v>
      </c>
      <c r="AH66" s="559">
        <v>-429</v>
      </c>
      <c r="AI66" s="559">
        <v>28652</v>
      </c>
      <c r="AJ66" s="559">
        <v>2824</v>
      </c>
      <c r="AK66" s="559">
        <v>25501</v>
      </c>
      <c r="AL66" s="559">
        <v>2923</v>
      </c>
      <c r="AM66" s="559">
        <v>27652</v>
      </c>
      <c r="AN66" s="559">
        <v>0</v>
      </c>
      <c r="AO66" s="559">
        <v>8035</v>
      </c>
      <c r="AP66" s="559">
        <v>82230</v>
      </c>
      <c r="AQ66" s="559">
        <v>16123</v>
      </c>
      <c r="AR66" s="559">
        <v>0</v>
      </c>
      <c r="AS66" s="559">
        <v>15618</v>
      </c>
      <c r="AT66" s="559">
        <v>13950</v>
      </c>
      <c r="AU66" s="559">
        <v>1406</v>
      </c>
      <c r="AV66" s="559">
        <v>125187</v>
      </c>
      <c r="AW66" s="559">
        <v>14661</v>
      </c>
      <c r="AX66" s="559">
        <v>76494</v>
      </c>
      <c r="AY66" s="559">
        <v>39126</v>
      </c>
      <c r="AZ66" s="559">
        <v>0</v>
      </c>
      <c r="BA66" s="559">
        <v>80149</v>
      </c>
      <c r="BB66" s="559">
        <v>0</v>
      </c>
      <c r="BC66" s="559">
        <v>0</v>
      </c>
      <c r="BD66" s="559">
        <v>0</v>
      </c>
      <c r="BE66" s="559">
        <v>8000</v>
      </c>
      <c r="BF66" s="559">
        <v>80149</v>
      </c>
      <c r="BG66" s="131">
        <v>5000</v>
      </c>
      <c r="BH66" s="131">
        <v>0</v>
      </c>
      <c r="BI66" s="559">
        <v>58400</v>
      </c>
      <c r="BJ66" s="559">
        <v>0</v>
      </c>
      <c r="BK66" s="559">
        <v>29749</v>
      </c>
    </row>
    <row r="67" spans="1:63">
      <c r="A67" s="131">
        <v>3502</v>
      </c>
      <c r="B67" s="131" t="s">
        <v>94</v>
      </c>
      <c r="C67" s="559">
        <v>98540.5</v>
      </c>
      <c r="D67" s="559">
        <v>0</v>
      </c>
      <c r="E67" s="559">
        <v>0.73</v>
      </c>
      <c r="F67" s="559">
        <f t="shared" si="0"/>
        <v>98541.23</v>
      </c>
      <c r="G67" s="559">
        <v>1428766</v>
      </c>
      <c r="H67" s="559">
        <v>0</v>
      </c>
      <c r="I67" s="559">
        <v>32765</v>
      </c>
      <c r="J67" s="559">
        <v>0</v>
      </c>
      <c r="K67" s="559">
        <v>81100</v>
      </c>
      <c r="L67" s="559">
        <v>1250</v>
      </c>
      <c r="M67" s="559">
        <v>6971</v>
      </c>
      <c r="N67" s="559">
        <v>50107</v>
      </c>
      <c r="O67" s="559">
        <v>44077</v>
      </c>
      <c r="P67" s="559">
        <v>26490</v>
      </c>
      <c r="Q67" s="559">
        <v>0</v>
      </c>
      <c r="R67" s="559">
        <v>35630</v>
      </c>
      <c r="S67" s="559">
        <v>6243</v>
      </c>
      <c r="T67" s="559">
        <v>0</v>
      </c>
      <c r="U67" s="559">
        <v>0</v>
      </c>
      <c r="V67" s="559">
        <v>0</v>
      </c>
      <c r="W67" s="559">
        <v>35184</v>
      </c>
      <c r="X67" s="559">
        <v>693753</v>
      </c>
      <c r="Y67" s="559">
        <v>0</v>
      </c>
      <c r="Z67" s="559">
        <v>325827</v>
      </c>
      <c r="AA67" s="559">
        <v>45682</v>
      </c>
      <c r="AB67" s="559">
        <v>64657</v>
      </c>
      <c r="AC67" s="559">
        <v>0</v>
      </c>
      <c r="AD67" s="559">
        <v>32363</v>
      </c>
      <c r="AE67" s="559">
        <v>9602</v>
      </c>
      <c r="AF67" s="559">
        <v>5853</v>
      </c>
      <c r="AG67" s="559">
        <v>15406</v>
      </c>
      <c r="AH67" s="559">
        <v>1457</v>
      </c>
      <c r="AI67" s="559">
        <v>32291</v>
      </c>
      <c r="AJ67" s="559">
        <v>2898</v>
      </c>
      <c r="AK67" s="559">
        <v>2496</v>
      </c>
      <c r="AL67" s="559">
        <v>1647</v>
      </c>
      <c r="AM67" s="559">
        <v>21226</v>
      </c>
      <c r="AN67" s="559">
        <v>0</v>
      </c>
      <c r="AO67" s="559">
        <v>11860</v>
      </c>
      <c r="AP67" s="559">
        <v>82050</v>
      </c>
      <c r="AQ67" s="559">
        <v>23527</v>
      </c>
      <c r="AR67" s="559">
        <v>0</v>
      </c>
      <c r="AS67" s="559">
        <v>24863</v>
      </c>
      <c r="AT67" s="559">
        <v>9433</v>
      </c>
      <c r="AU67" s="559">
        <v>20299</v>
      </c>
      <c r="AV67" s="559">
        <v>84000</v>
      </c>
      <c r="AW67" s="559">
        <v>49706</v>
      </c>
      <c r="AX67" s="559">
        <v>66897</v>
      </c>
      <c r="AY67" s="559">
        <v>37533</v>
      </c>
      <c r="AZ67" s="559">
        <v>0</v>
      </c>
      <c r="BA67" s="559">
        <v>0</v>
      </c>
      <c r="BB67" s="559">
        <v>1</v>
      </c>
      <c r="BC67" s="559">
        <v>0</v>
      </c>
      <c r="BD67" s="559">
        <v>0</v>
      </c>
      <c r="BE67" s="559">
        <v>0</v>
      </c>
      <c r="BF67" s="559">
        <v>0</v>
      </c>
      <c r="BG67" s="131">
        <v>5000</v>
      </c>
      <c r="BH67" s="131">
        <v>0</v>
      </c>
      <c r="BI67" s="559">
        <v>0</v>
      </c>
      <c r="BJ67" s="559">
        <v>0</v>
      </c>
      <c r="BK67" s="559">
        <v>0</v>
      </c>
    </row>
    <row r="68" spans="1:63">
      <c r="A68" s="131">
        <v>3315</v>
      </c>
      <c r="B68" s="131" t="s">
        <v>95</v>
      </c>
      <c r="C68" s="559">
        <v>40645.08</v>
      </c>
      <c r="D68" s="559">
        <v>0</v>
      </c>
      <c r="E68" s="559">
        <v>0</v>
      </c>
      <c r="F68" s="559">
        <f t="shared" si="0"/>
        <v>40645.08</v>
      </c>
      <c r="G68" s="559">
        <v>822574</v>
      </c>
      <c r="H68" s="559">
        <v>0</v>
      </c>
      <c r="I68" s="559">
        <v>44865</v>
      </c>
      <c r="J68" s="559">
        <v>0</v>
      </c>
      <c r="K68" s="559">
        <v>19800</v>
      </c>
      <c r="L68" s="559">
        <v>1480</v>
      </c>
      <c r="M68" s="559">
        <v>6154</v>
      </c>
      <c r="N68" s="559">
        <v>40364</v>
      </c>
      <c r="O68" s="559">
        <v>45731</v>
      </c>
      <c r="P68" s="559">
        <v>196</v>
      </c>
      <c r="Q68" s="559">
        <v>0</v>
      </c>
      <c r="R68" s="559">
        <v>54149</v>
      </c>
      <c r="S68" s="559">
        <v>14879</v>
      </c>
      <c r="T68" s="559">
        <v>0</v>
      </c>
      <c r="U68" s="559">
        <v>0</v>
      </c>
      <c r="V68" s="559">
        <v>0</v>
      </c>
      <c r="W68" s="559">
        <v>27484</v>
      </c>
      <c r="X68" s="559">
        <v>432295</v>
      </c>
      <c r="Y68" s="559">
        <v>-566</v>
      </c>
      <c r="Z68" s="559">
        <v>185434</v>
      </c>
      <c r="AA68" s="559">
        <v>22811</v>
      </c>
      <c r="AB68" s="559">
        <v>34366</v>
      </c>
      <c r="AC68" s="559">
        <v>0</v>
      </c>
      <c r="AD68" s="559">
        <v>28511</v>
      </c>
      <c r="AE68" s="559">
        <v>7849</v>
      </c>
      <c r="AF68" s="559">
        <v>5348</v>
      </c>
      <c r="AG68" s="559">
        <v>8194</v>
      </c>
      <c r="AH68" s="559">
        <v>490</v>
      </c>
      <c r="AI68" s="559">
        <v>13784</v>
      </c>
      <c r="AJ68" s="559">
        <v>0</v>
      </c>
      <c r="AK68" s="559">
        <v>5782</v>
      </c>
      <c r="AL68" s="559">
        <v>-48</v>
      </c>
      <c r="AM68" s="559">
        <v>10887</v>
      </c>
      <c r="AN68" s="559">
        <v>0</v>
      </c>
      <c r="AO68" s="559">
        <v>6181</v>
      </c>
      <c r="AP68" s="559">
        <v>69388</v>
      </c>
      <c r="AQ68" s="559">
        <v>18193</v>
      </c>
      <c r="AR68" s="559">
        <v>0</v>
      </c>
      <c r="AS68" s="559">
        <v>10295</v>
      </c>
      <c r="AT68" s="559">
        <v>1637</v>
      </c>
      <c r="AU68" s="559">
        <v>3207</v>
      </c>
      <c r="AV68" s="559">
        <v>68145</v>
      </c>
      <c r="AW68" s="559">
        <v>21482</v>
      </c>
      <c r="AX68" s="559">
        <v>29098</v>
      </c>
      <c r="AY68" s="559">
        <v>26112</v>
      </c>
      <c r="AZ68" s="559">
        <v>0</v>
      </c>
      <c r="BA68" s="559">
        <v>0</v>
      </c>
      <c r="BB68" s="559">
        <v>-1</v>
      </c>
      <c r="BC68" s="559">
        <v>0</v>
      </c>
      <c r="BD68" s="559">
        <v>0</v>
      </c>
      <c r="BE68" s="559">
        <v>0</v>
      </c>
      <c r="BF68" s="559">
        <v>0</v>
      </c>
      <c r="BG68" s="131">
        <v>5000</v>
      </c>
      <c r="BH68" s="131">
        <v>0</v>
      </c>
      <c r="BI68" s="559">
        <v>0</v>
      </c>
      <c r="BJ68" s="559">
        <v>0</v>
      </c>
      <c r="BK68" s="559">
        <v>0</v>
      </c>
    </row>
    <row r="69" spans="1:63">
      <c r="A69" s="131">
        <v>3504</v>
      </c>
      <c r="B69" s="131" t="s">
        <v>96</v>
      </c>
      <c r="C69" s="559">
        <v>127152.15</v>
      </c>
      <c r="D69" s="559">
        <v>0</v>
      </c>
      <c r="E69" s="559">
        <v>0</v>
      </c>
      <c r="F69" s="559">
        <f t="shared" si="0"/>
        <v>127152.15</v>
      </c>
      <c r="G69" s="559">
        <v>1768691</v>
      </c>
      <c r="H69" s="559">
        <v>0</v>
      </c>
      <c r="I69" s="559">
        <v>117132</v>
      </c>
      <c r="J69" s="559">
        <v>0</v>
      </c>
      <c r="K69" s="559">
        <v>87149</v>
      </c>
      <c r="L69" s="559">
        <v>14394</v>
      </c>
      <c r="M69" s="559">
        <v>16627</v>
      </c>
      <c r="N69" s="559">
        <v>151837</v>
      </c>
      <c r="O69" s="559">
        <v>50941</v>
      </c>
      <c r="P69" s="559">
        <v>1500</v>
      </c>
      <c r="Q69" s="559">
        <v>5875</v>
      </c>
      <c r="R69" s="559">
        <v>49017</v>
      </c>
      <c r="S69" s="559">
        <v>1125</v>
      </c>
      <c r="T69" s="559">
        <v>0</v>
      </c>
      <c r="U69" s="559">
        <v>0</v>
      </c>
      <c r="V69" s="559">
        <v>0</v>
      </c>
      <c r="W69" s="559">
        <v>52465</v>
      </c>
      <c r="X69" s="559">
        <v>1052913</v>
      </c>
      <c r="Y69" s="559">
        <v>-1</v>
      </c>
      <c r="Z69" s="559">
        <v>378351</v>
      </c>
      <c r="AA69" s="559">
        <v>31645</v>
      </c>
      <c r="AB69" s="559">
        <v>124566</v>
      </c>
      <c r="AC69" s="559">
        <v>9357</v>
      </c>
      <c r="AD69" s="559">
        <v>57610</v>
      </c>
      <c r="AE69" s="559">
        <v>19899</v>
      </c>
      <c r="AF69" s="559">
        <v>25517</v>
      </c>
      <c r="AG69" s="559">
        <v>9998</v>
      </c>
      <c r="AH69" s="559">
        <v>2306</v>
      </c>
      <c r="AI69" s="559">
        <v>24486</v>
      </c>
      <c r="AJ69" s="559">
        <v>34426</v>
      </c>
      <c r="AK69" s="559">
        <v>31695</v>
      </c>
      <c r="AL69" s="559">
        <v>4612</v>
      </c>
      <c r="AM69" s="559">
        <v>11002</v>
      </c>
      <c r="AN69" s="559">
        <v>0</v>
      </c>
      <c r="AO69" s="559">
        <v>15697</v>
      </c>
      <c r="AP69" s="559">
        <v>137330</v>
      </c>
      <c r="AQ69" s="559">
        <v>46628</v>
      </c>
      <c r="AR69" s="559">
        <v>0</v>
      </c>
      <c r="AS69" s="559">
        <v>9416</v>
      </c>
      <c r="AT69" s="559">
        <v>12236</v>
      </c>
      <c r="AU69" s="559">
        <v>25389</v>
      </c>
      <c r="AV69" s="559">
        <v>114074</v>
      </c>
      <c r="AW69" s="559">
        <v>1460</v>
      </c>
      <c r="AX69" s="559">
        <v>67886</v>
      </c>
      <c r="AY69" s="559">
        <v>31845</v>
      </c>
      <c r="AZ69" s="559">
        <v>0</v>
      </c>
      <c r="BA69" s="559">
        <v>16589</v>
      </c>
      <c r="BB69" s="559">
        <v>0</v>
      </c>
      <c r="BC69" s="559">
        <v>0</v>
      </c>
      <c r="BD69" s="559">
        <v>0</v>
      </c>
      <c r="BE69" s="559">
        <v>0</v>
      </c>
      <c r="BF69" s="559">
        <v>16589</v>
      </c>
      <c r="BG69" s="131">
        <v>5000</v>
      </c>
      <c r="BH69" s="131">
        <v>0</v>
      </c>
      <c r="BI69" s="559">
        <v>0</v>
      </c>
      <c r="BJ69" s="559">
        <v>0</v>
      </c>
      <c r="BK69" s="559">
        <v>16589</v>
      </c>
    </row>
    <row r="70" spans="1:63">
      <c r="A70" s="131">
        <v>3307</v>
      </c>
      <c r="B70" s="131" t="s">
        <v>97</v>
      </c>
      <c r="C70" s="559">
        <v>137438.44</v>
      </c>
      <c r="D70" s="559">
        <v>0</v>
      </c>
      <c r="E70" s="559">
        <v>0</v>
      </c>
      <c r="F70" s="559">
        <f t="shared" ref="F70:F104" si="1">SUM(C70:E70)</f>
        <v>137438.44</v>
      </c>
      <c r="G70" s="559">
        <v>948445</v>
      </c>
      <c r="H70" s="559">
        <v>0</v>
      </c>
      <c r="I70" s="559">
        <v>18673</v>
      </c>
      <c r="J70" s="559">
        <v>0</v>
      </c>
      <c r="K70" s="559">
        <v>43500</v>
      </c>
      <c r="L70" s="559">
        <v>9445</v>
      </c>
      <c r="M70" s="559">
        <v>0</v>
      </c>
      <c r="N70" s="559">
        <v>83975</v>
      </c>
      <c r="O70" s="559">
        <v>34603</v>
      </c>
      <c r="P70" s="559">
        <v>15424</v>
      </c>
      <c r="Q70" s="559">
        <v>15187</v>
      </c>
      <c r="R70" s="559">
        <v>48530</v>
      </c>
      <c r="S70" s="559">
        <v>13970</v>
      </c>
      <c r="T70" s="559">
        <v>0</v>
      </c>
      <c r="U70" s="559">
        <v>0</v>
      </c>
      <c r="V70" s="559">
        <v>0</v>
      </c>
      <c r="W70" s="559">
        <v>27722</v>
      </c>
      <c r="X70" s="559">
        <v>575952</v>
      </c>
      <c r="Y70" s="559">
        <v>0</v>
      </c>
      <c r="Z70" s="559">
        <v>195121</v>
      </c>
      <c r="AA70" s="559">
        <v>60653</v>
      </c>
      <c r="AB70" s="559">
        <v>31316</v>
      </c>
      <c r="AC70" s="559">
        <v>23</v>
      </c>
      <c r="AD70" s="559">
        <v>18600</v>
      </c>
      <c r="AE70" s="559">
        <v>2232</v>
      </c>
      <c r="AF70" s="559">
        <v>2777</v>
      </c>
      <c r="AG70" s="559">
        <v>9155</v>
      </c>
      <c r="AH70" s="559">
        <v>831</v>
      </c>
      <c r="AI70" s="559">
        <v>42424</v>
      </c>
      <c r="AJ70" s="559">
        <v>2177</v>
      </c>
      <c r="AK70" s="559">
        <v>5461</v>
      </c>
      <c r="AL70" s="559">
        <v>2717</v>
      </c>
      <c r="AM70" s="559">
        <v>17520</v>
      </c>
      <c r="AN70" s="559">
        <v>0</v>
      </c>
      <c r="AO70" s="559">
        <v>6831</v>
      </c>
      <c r="AP70" s="559">
        <v>63589</v>
      </c>
      <c r="AQ70" s="559">
        <v>14242</v>
      </c>
      <c r="AR70" s="559">
        <v>0</v>
      </c>
      <c r="AS70" s="559">
        <v>7706</v>
      </c>
      <c r="AT70" s="559">
        <v>7082</v>
      </c>
      <c r="AU70" s="559">
        <v>691</v>
      </c>
      <c r="AV70" s="559">
        <v>61594</v>
      </c>
      <c r="AW70" s="559">
        <v>63478</v>
      </c>
      <c r="AX70" s="559">
        <v>35137</v>
      </c>
      <c r="AY70" s="559">
        <v>36414</v>
      </c>
      <c r="AZ70" s="559">
        <v>0</v>
      </c>
      <c r="BA70" s="559">
        <v>8729</v>
      </c>
      <c r="BB70" s="559">
        <v>1</v>
      </c>
      <c r="BC70" s="559">
        <v>0</v>
      </c>
      <c r="BD70" s="559">
        <v>0</v>
      </c>
      <c r="BE70" s="559">
        <v>0</v>
      </c>
      <c r="BF70" s="559">
        <v>8729</v>
      </c>
      <c r="BG70" s="131">
        <v>5000</v>
      </c>
      <c r="BH70" s="131">
        <v>0</v>
      </c>
      <c r="BI70" s="559">
        <v>0</v>
      </c>
      <c r="BJ70" s="559">
        <v>0</v>
      </c>
      <c r="BK70" s="559">
        <v>8730</v>
      </c>
    </row>
    <row r="71" spans="1:63">
      <c r="A71" s="131">
        <v>3309</v>
      </c>
      <c r="B71" s="71" t="s">
        <v>98</v>
      </c>
      <c r="C71" s="559">
        <v>90049.59</v>
      </c>
      <c r="D71" s="559">
        <v>0</v>
      </c>
      <c r="E71" s="559">
        <v>0</v>
      </c>
      <c r="F71" s="559">
        <f t="shared" si="1"/>
        <v>90049.59</v>
      </c>
      <c r="G71" s="559">
        <v>976149</v>
      </c>
      <c r="H71" s="559">
        <v>0</v>
      </c>
      <c r="I71" s="559">
        <v>112277</v>
      </c>
      <c r="J71" s="559">
        <v>0</v>
      </c>
      <c r="K71" s="559">
        <v>55174</v>
      </c>
      <c r="L71" s="559">
        <v>5985</v>
      </c>
      <c r="M71" s="559">
        <v>740</v>
      </c>
      <c r="N71" s="559">
        <v>35616</v>
      </c>
      <c r="O71" s="559">
        <v>36206</v>
      </c>
      <c r="P71" s="559">
        <v>7295</v>
      </c>
      <c r="Q71" s="559">
        <v>623</v>
      </c>
      <c r="R71" s="559">
        <v>22526</v>
      </c>
      <c r="S71" s="559">
        <v>8669</v>
      </c>
      <c r="T71" s="559">
        <v>0</v>
      </c>
      <c r="U71" s="559">
        <v>0</v>
      </c>
      <c r="V71" s="559">
        <v>0</v>
      </c>
      <c r="W71" s="559">
        <v>26832</v>
      </c>
      <c r="X71" s="559">
        <v>605129</v>
      </c>
      <c r="Y71" s="559">
        <v>2244</v>
      </c>
      <c r="Z71" s="559">
        <v>340303</v>
      </c>
      <c r="AA71" s="559">
        <v>0</v>
      </c>
      <c r="AB71" s="559">
        <v>48237</v>
      </c>
      <c r="AC71" s="559">
        <v>37848</v>
      </c>
      <c r="AD71" s="559">
        <v>3376</v>
      </c>
      <c r="AE71" s="559">
        <v>11493</v>
      </c>
      <c r="AF71" s="559">
        <v>6872</v>
      </c>
      <c r="AG71" s="559">
        <v>7842</v>
      </c>
      <c r="AH71" s="559">
        <v>4262</v>
      </c>
      <c r="AI71" s="559">
        <v>22203</v>
      </c>
      <c r="AJ71" s="559">
        <v>6901</v>
      </c>
      <c r="AK71" s="559">
        <v>31187</v>
      </c>
      <c r="AL71" s="559">
        <v>4544</v>
      </c>
      <c r="AM71" s="559">
        <v>7342</v>
      </c>
      <c r="AN71" s="559">
        <v>0</v>
      </c>
      <c r="AO71" s="559">
        <v>4344</v>
      </c>
      <c r="AP71" s="559">
        <v>52974</v>
      </c>
      <c r="AQ71" s="559">
        <v>12834</v>
      </c>
      <c r="AR71" s="559">
        <v>0</v>
      </c>
      <c r="AS71" s="559">
        <v>10409</v>
      </c>
      <c r="AT71" s="559">
        <v>5331</v>
      </c>
      <c r="AU71" s="559">
        <v>5144</v>
      </c>
      <c r="AV71" s="559">
        <v>36065</v>
      </c>
      <c r="AW71" s="559">
        <v>1902</v>
      </c>
      <c r="AX71" s="559">
        <v>28505</v>
      </c>
      <c r="AY71" s="559">
        <v>27168</v>
      </c>
      <c r="AZ71" s="559">
        <v>0</v>
      </c>
      <c r="BA71" s="559">
        <v>28934</v>
      </c>
      <c r="BB71" s="559">
        <v>0</v>
      </c>
      <c r="BC71" s="559">
        <v>0</v>
      </c>
      <c r="BD71" s="559">
        <v>0</v>
      </c>
      <c r="BE71" s="559">
        <v>17000</v>
      </c>
      <c r="BF71" s="559">
        <v>28934</v>
      </c>
      <c r="BG71" s="131">
        <v>5000</v>
      </c>
      <c r="BH71" s="131">
        <v>0</v>
      </c>
      <c r="BI71" s="559">
        <v>40973</v>
      </c>
      <c r="BJ71" s="559">
        <v>0</v>
      </c>
      <c r="BK71" s="559">
        <v>4962</v>
      </c>
    </row>
    <row r="72" spans="1:63">
      <c r="A72" s="131">
        <v>3508</v>
      </c>
      <c r="B72" s="131" t="s">
        <v>99</v>
      </c>
      <c r="C72" s="559">
        <v>0</v>
      </c>
      <c r="D72" s="559">
        <v>0</v>
      </c>
      <c r="E72" s="559">
        <v>-0.39</v>
      </c>
      <c r="F72" s="559">
        <f t="shared" si="1"/>
        <v>-0.39</v>
      </c>
      <c r="G72" s="559">
        <v>-5340</v>
      </c>
      <c r="H72" s="559">
        <v>0</v>
      </c>
      <c r="I72" s="559">
        <v>0</v>
      </c>
      <c r="J72" s="559">
        <v>0</v>
      </c>
      <c r="K72" s="559">
        <v>0</v>
      </c>
      <c r="L72" s="559">
        <v>0</v>
      </c>
      <c r="M72" s="559">
        <v>248</v>
      </c>
      <c r="N72" s="559">
        <v>5340</v>
      </c>
      <c r="O72" s="559">
        <v>0</v>
      </c>
      <c r="P72" s="559">
        <v>0</v>
      </c>
      <c r="Q72" s="559">
        <v>0</v>
      </c>
      <c r="R72" s="559">
        <v>0</v>
      </c>
      <c r="S72" s="559">
        <v>0</v>
      </c>
      <c r="T72" s="559">
        <v>0</v>
      </c>
      <c r="U72" s="559">
        <v>0</v>
      </c>
      <c r="V72" s="559">
        <v>0</v>
      </c>
      <c r="W72" s="559">
        <v>0</v>
      </c>
      <c r="X72" s="559">
        <v>1</v>
      </c>
      <c r="Y72" s="559">
        <v>-1</v>
      </c>
      <c r="Z72" s="559">
        <v>-101</v>
      </c>
      <c r="AA72" s="559">
        <v>-201</v>
      </c>
      <c r="AB72" s="559">
        <v>-99</v>
      </c>
      <c r="AC72" s="559">
        <v>0</v>
      </c>
      <c r="AD72" s="559">
        <v>-648</v>
      </c>
      <c r="AE72" s="559">
        <v>-1904</v>
      </c>
      <c r="AF72" s="559">
        <v>-405</v>
      </c>
      <c r="AG72" s="559">
        <v>0</v>
      </c>
      <c r="AH72" s="559">
        <v>0</v>
      </c>
      <c r="AI72" s="559">
        <v>160</v>
      </c>
      <c r="AJ72" s="559">
        <v>0</v>
      </c>
      <c r="AK72" s="559">
        <v>18</v>
      </c>
      <c r="AL72" s="559">
        <v>0</v>
      </c>
      <c r="AM72" s="559">
        <v>-1121</v>
      </c>
      <c r="AN72" s="559">
        <v>0</v>
      </c>
      <c r="AO72" s="559">
        <v>-44</v>
      </c>
      <c r="AP72" s="559">
        <v>1337</v>
      </c>
      <c r="AQ72" s="559">
        <v>0</v>
      </c>
      <c r="AR72" s="559">
        <v>0</v>
      </c>
      <c r="AS72" s="559">
        <v>-943</v>
      </c>
      <c r="AT72" s="559">
        <v>0</v>
      </c>
      <c r="AU72" s="559">
        <v>74</v>
      </c>
      <c r="AV72" s="559">
        <v>0</v>
      </c>
      <c r="AW72" s="559">
        <v>-480</v>
      </c>
      <c r="AX72" s="559">
        <v>456</v>
      </c>
      <c r="AY72" s="559">
        <v>8</v>
      </c>
      <c r="AZ72" s="559">
        <v>0</v>
      </c>
      <c r="BA72" s="559">
        <v>0</v>
      </c>
      <c r="BB72" s="559">
        <v>-1</v>
      </c>
      <c r="BC72" s="559">
        <v>0</v>
      </c>
      <c r="BD72" s="559">
        <v>0</v>
      </c>
      <c r="BE72" s="559">
        <v>0</v>
      </c>
      <c r="BF72" s="559">
        <v>0</v>
      </c>
      <c r="BG72" s="131">
        <v>5000</v>
      </c>
      <c r="BH72" s="131">
        <v>0</v>
      </c>
      <c r="BI72" s="559">
        <v>0</v>
      </c>
      <c r="BJ72" s="559">
        <v>0</v>
      </c>
      <c r="BK72" s="559">
        <v>0</v>
      </c>
    </row>
    <row r="73" spans="1:63">
      <c r="A73" s="131">
        <v>3509</v>
      </c>
      <c r="B73" s="131" t="s">
        <v>100</v>
      </c>
      <c r="C73" s="559">
        <v>108043.11</v>
      </c>
      <c r="D73" s="559">
        <v>0</v>
      </c>
      <c r="E73" s="559">
        <v>0</v>
      </c>
      <c r="F73" s="559">
        <f t="shared" si="1"/>
        <v>108043.11</v>
      </c>
      <c r="G73" s="559">
        <v>1924495</v>
      </c>
      <c r="H73" s="559">
        <v>0</v>
      </c>
      <c r="I73" s="559">
        <v>85065</v>
      </c>
      <c r="J73" s="559">
        <v>0</v>
      </c>
      <c r="K73" s="559">
        <v>87000</v>
      </c>
      <c r="L73" s="559">
        <v>1500</v>
      </c>
      <c r="M73" s="559">
        <v>12197</v>
      </c>
      <c r="N73" s="559">
        <v>61732</v>
      </c>
      <c r="O73" s="559">
        <v>80699</v>
      </c>
      <c r="P73" s="559">
        <v>10843</v>
      </c>
      <c r="Q73" s="559">
        <v>452</v>
      </c>
      <c r="R73" s="559">
        <v>77208</v>
      </c>
      <c r="S73" s="559">
        <v>19617</v>
      </c>
      <c r="T73" s="559">
        <v>0</v>
      </c>
      <c r="U73" s="559">
        <v>0</v>
      </c>
      <c r="V73" s="559">
        <v>0</v>
      </c>
      <c r="W73" s="559">
        <v>50622</v>
      </c>
      <c r="X73" s="559">
        <v>1030649</v>
      </c>
      <c r="Y73" s="559">
        <v>6830</v>
      </c>
      <c r="Z73" s="559">
        <v>494136</v>
      </c>
      <c r="AA73" s="559">
        <v>77685</v>
      </c>
      <c r="AB73" s="559">
        <v>101769</v>
      </c>
      <c r="AC73" s="559">
        <v>0</v>
      </c>
      <c r="AD73" s="559">
        <v>53893</v>
      </c>
      <c r="AE73" s="559">
        <v>17182</v>
      </c>
      <c r="AF73" s="559">
        <v>16499</v>
      </c>
      <c r="AG73" s="559">
        <v>22171</v>
      </c>
      <c r="AH73" s="559">
        <v>3128</v>
      </c>
      <c r="AI73" s="559">
        <v>31012</v>
      </c>
      <c r="AJ73" s="559">
        <v>78</v>
      </c>
      <c r="AK73" s="559">
        <v>8500</v>
      </c>
      <c r="AL73" s="559">
        <v>5291</v>
      </c>
      <c r="AM73" s="559">
        <v>37088</v>
      </c>
      <c r="AN73" s="559">
        <v>0</v>
      </c>
      <c r="AO73" s="559">
        <v>13478</v>
      </c>
      <c r="AP73" s="559">
        <v>132453</v>
      </c>
      <c r="AQ73" s="559">
        <v>52686</v>
      </c>
      <c r="AR73" s="559">
        <v>0</v>
      </c>
      <c r="AS73" s="559">
        <v>12932</v>
      </c>
      <c r="AT73" s="559">
        <v>15598</v>
      </c>
      <c r="AU73" s="559">
        <v>21206</v>
      </c>
      <c r="AV73" s="559">
        <v>129494</v>
      </c>
      <c r="AW73" s="559">
        <v>51450</v>
      </c>
      <c r="AX73" s="559">
        <v>54996</v>
      </c>
      <c r="AY73" s="559">
        <v>24586</v>
      </c>
      <c r="AZ73" s="559">
        <v>0</v>
      </c>
      <c r="BA73" s="559">
        <v>0</v>
      </c>
      <c r="BB73" s="559">
        <v>1</v>
      </c>
      <c r="BC73" s="559">
        <v>0</v>
      </c>
      <c r="BD73" s="559">
        <v>0</v>
      </c>
      <c r="BE73" s="559">
        <v>0</v>
      </c>
      <c r="BF73" s="559">
        <v>0</v>
      </c>
      <c r="BG73" s="131">
        <v>5000</v>
      </c>
      <c r="BH73" s="131">
        <v>0</v>
      </c>
      <c r="BI73" s="559">
        <v>0</v>
      </c>
      <c r="BJ73" s="559">
        <v>0</v>
      </c>
      <c r="BK73" s="559">
        <v>0</v>
      </c>
    </row>
    <row r="74" spans="1:63">
      <c r="A74" s="131">
        <v>3311</v>
      </c>
      <c r="B74" s="131" t="s">
        <v>103</v>
      </c>
      <c r="C74" s="559">
        <v>104996.87</v>
      </c>
      <c r="D74" s="559">
        <v>0</v>
      </c>
      <c r="E74" s="559">
        <v>0</v>
      </c>
      <c r="F74" s="559">
        <f t="shared" si="1"/>
        <v>104996.87</v>
      </c>
      <c r="G74" s="559">
        <v>1768635</v>
      </c>
      <c r="H74" s="559">
        <v>0</v>
      </c>
      <c r="I74" s="559">
        <v>44064</v>
      </c>
      <c r="J74" s="559">
        <v>0</v>
      </c>
      <c r="K74" s="559">
        <v>40900</v>
      </c>
      <c r="L74" s="559">
        <v>2506</v>
      </c>
      <c r="M74" s="559">
        <v>10025</v>
      </c>
      <c r="N74" s="559">
        <v>30506</v>
      </c>
      <c r="O74" s="559">
        <v>67669</v>
      </c>
      <c r="P74" s="559">
        <v>0</v>
      </c>
      <c r="Q74" s="559">
        <v>0</v>
      </c>
      <c r="R74" s="559">
        <v>79132</v>
      </c>
      <c r="S74" s="559">
        <v>16706</v>
      </c>
      <c r="T74" s="559">
        <v>0</v>
      </c>
      <c r="U74" s="559">
        <v>0</v>
      </c>
      <c r="V74" s="559">
        <v>0</v>
      </c>
      <c r="W74" s="559">
        <v>48072</v>
      </c>
      <c r="X74" s="559">
        <v>915137</v>
      </c>
      <c r="Y74" s="559">
        <v>0</v>
      </c>
      <c r="Z74" s="559">
        <v>434859</v>
      </c>
      <c r="AA74" s="559">
        <v>58239</v>
      </c>
      <c r="AB74" s="559">
        <v>68911</v>
      </c>
      <c r="AC74" s="559">
        <v>0</v>
      </c>
      <c r="AD74" s="559">
        <v>71198</v>
      </c>
      <c r="AE74" s="559">
        <v>36440</v>
      </c>
      <c r="AF74" s="559">
        <v>5351</v>
      </c>
      <c r="AG74" s="559">
        <v>1394</v>
      </c>
      <c r="AH74" s="559">
        <v>1533</v>
      </c>
      <c r="AI74" s="559">
        <v>34638</v>
      </c>
      <c r="AJ74" s="559">
        <v>4860</v>
      </c>
      <c r="AK74" s="559">
        <v>23498</v>
      </c>
      <c r="AL74" s="559">
        <v>5907</v>
      </c>
      <c r="AM74" s="559">
        <v>23369</v>
      </c>
      <c r="AN74" s="559">
        <v>0</v>
      </c>
      <c r="AO74" s="559">
        <v>9741</v>
      </c>
      <c r="AP74" s="559">
        <v>94296</v>
      </c>
      <c r="AQ74" s="559">
        <v>19873</v>
      </c>
      <c r="AR74" s="559">
        <v>0</v>
      </c>
      <c r="AS74" s="559">
        <v>13246</v>
      </c>
      <c r="AT74" s="559">
        <v>8220</v>
      </c>
      <c r="AU74" s="559">
        <v>6270</v>
      </c>
      <c r="AV74" s="559">
        <v>114419</v>
      </c>
      <c r="AW74" s="559">
        <v>45199</v>
      </c>
      <c r="AX74" s="559">
        <v>58905</v>
      </c>
      <c r="AY74" s="559">
        <v>39769</v>
      </c>
      <c r="AZ74" s="559">
        <v>0</v>
      </c>
      <c r="BA74" s="559">
        <v>20242</v>
      </c>
      <c r="BB74" s="559">
        <v>-1</v>
      </c>
      <c r="BC74" s="559">
        <v>0</v>
      </c>
      <c r="BD74" s="559">
        <v>0</v>
      </c>
      <c r="BE74" s="559">
        <v>8000</v>
      </c>
      <c r="BF74" s="559">
        <v>20242</v>
      </c>
      <c r="BG74" s="131">
        <v>5000</v>
      </c>
      <c r="BH74" s="131">
        <v>0</v>
      </c>
      <c r="BI74" s="559">
        <v>0</v>
      </c>
      <c r="BJ74" s="559">
        <v>7830</v>
      </c>
      <c r="BK74" s="559">
        <v>20412</v>
      </c>
    </row>
    <row r="75" spans="1:63">
      <c r="A75" s="131">
        <v>3521</v>
      </c>
      <c r="B75" s="131" t="s">
        <v>462</v>
      </c>
      <c r="C75" s="559">
        <v>146050.06</v>
      </c>
      <c r="D75" s="559">
        <v>0</v>
      </c>
      <c r="E75" s="559">
        <v>0</v>
      </c>
      <c r="F75" s="559">
        <f t="shared" si="1"/>
        <v>146050.06</v>
      </c>
      <c r="G75" s="559">
        <v>2704940</v>
      </c>
      <c r="H75" s="559">
        <v>0</v>
      </c>
      <c r="I75" s="559">
        <v>86085</v>
      </c>
      <c r="J75" s="559">
        <v>0</v>
      </c>
      <c r="K75" s="559">
        <v>155901</v>
      </c>
      <c r="L75" s="559">
        <v>500</v>
      </c>
      <c r="M75" s="559">
        <v>7560</v>
      </c>
      <c r="N75" s="559">
        <v>4518</v>
      </c>
      <c r="O75" s="559">
        <v>73721</v>
      </c>
      <c r="P75" s="559">
        <v>9000</v>
      </c>
      <c r="Q75" s="559">
        <v>0</v>
      </c>
      <c r="R75" s="559">
        <v>94700</v>
      </c>
      <c r="S75" s="559">
        <v>14062</v>
      </c>
      <c r="T75" s="559">
        <v>0</v>
      </c>
      <c r="U75" s="559">
        <v>0</v>
      </c>
      <c r="V75" s="559">
        <v>0</v>
      </c>
      <c r="W75" s="559">
        <v>64407</v>
      </c>
      <c r="X75" s="559">
        <v>1391786</v>
      </c>
      <c r="Y75" s="559">
        <v>0</v>
      </c>
      <c r="Z75" s="559">
        <v>534369</v>
      </c>
      <c r="AA75" s="559">
        <v>64736</v>
      </c>
      <c r="AB75" s="559">
        <v>145105</v>
      </c>
      <c r="AC75" s="559">
        <v>0</v>
      </c>
      <c r="AD75" s="559">
        <v>63738</v>
      </c>
      <c r="AE75" s="559">
        <v>36415</v>
      </c>
      <c r="AF75" s="559">
        <v>22776</v>
      </c>
      <c r="AG75" s="559">
        <v>18712</v>
      </c>
      <c r="AH75" s="559">
        <v>6594</v>
      </c>
      <c r="AI75" s="559">
        <v>31394</v>
      </c>
      <c r="AJ75" s="559">
        <v>9626</v>
      </c>
      <c r="AK75" s="559">
        <v>53548</v>
      </c>
      <c r="AL75" s="559">
        <v>7030</v>
      </c>
      <c r="AM75" s="559">
        <v>44260</v>
      </c>
      <c r="AN75" s="559">
        <v>0</v>
      </c>
      <c r="AO75" s="559">
        <v>22924</v>
      </c>
      <c r="AP75" s="559">
        <v>193496</v>
      </c>
      <c r="AQ75" s="559">
        <v>54918</v>
      </c>
      <c r="AR75" s="559">
        <v>0</v>
      </c>
      <c r="AS75" s="559">
        <v>63250</v>
      </c>
      <c r="AT75" s="559">
        <v>7501</v>
      </c>
      <c r="AU75" s="559">
        <v>8861</v>
      </c>
      <c r="AV75" s="559">
        <v>149050</v>
      </c>
      <c r="AW75" s="559">
        <v>73691</v>
      </c>
      <c r="AX75" s="559">
        <v>96034</v>
      </c>
      <c r="AY75" s="559">
        <v>73990</v>
      </c>
      <c r="AZ75" s="559">
        <v>0</v>
      </c>
      <c r="BA75" s="559">
        <v>38065</v>
      </c>
      <c r="BB75" s="559">
        <v>0</v>
      </c>
      <c r="BC75" s="559">
        <v>0</v>
      </c>
      <c r="BD75" s="559">
        <v>0</v>
      </c>
      <c r="BE75" s="559">
        <v>0</v>
      </c>
      <c r="BF75" s="559">
        <v>38065</v>
      </c>
      <c r="BG75" s="131">
        <v>5000</v>
      </c>
      <c r="BH75" s="131">
        <v>0</v>
      </c>
      <c r="BI75" s="559">
        <v>30685</v>
      </c>
      <c r="BJ75" s="559">
        <v>0</v>
      </c>
      <c r="BK75" s="559">
        <v>7381</v>
      </c>
    </row>
    <row r="76" spans="1:63">
      <c r="A76" s="131">
        <v>3312</v>
      </c>
      <c r="B76" s="71" t="s">
        <v>102</v>
      </c>
      <c r="C76" s="559">
        <v>48298.7</v>
      </c>
      <c r="D76" s="559">
        <v>0</v>
      </c>
      <c r="E76" s="559">
        <v>-7808</v>
      </c>
      <c r="F76" s="559">
        <f t="shared" si="1"/>
        <v>40490.699999999997</v>
      </c>
      <c r="G76" s="559">
        <v>882641</v>
      </c>
      <c r="H76" s="559">
        <v>0</v>
      </c>
      <c r="I76" s="559">
        <v>79142</v>
      </c>
      <c r="J76" s="559">
        <v>0</v>
      </c>
      <c r="K76" s="559">
        <v>39200</v>
      </c>
      <c r="L76" s="559">
        <v>37826</v>
      </c>
      <c r="M76" s="559">
        <v>14484</v>
      </c>
      <c r="N76" s="559">
        <v>47290</v>
      </c>
      <c r="O76" s="559">
        <v>29761</v>
      </c>
      <c r="P76" s="559">
        <v>6327</v>
      </c>
      <c r="Q76" s="559">
        <v>0</v>
      </c>
      <c r="R76" s="559">
        <v>40184</v>
      </c>
      <c r="S76" s="559">
        <v>114</v>
      </c>
      <c r="T76" s="559">
        <v>0</v>
      </c>
      <c r="U76" s="559">
        <v>0</v>
      </c>
      <c r="V76" s="559">
        <v>0</v>
      </c>
      <c r="W76" s="559">
        <v>27294</v>
      </c>
      <c r="X76" s="559">
        <v>564789</v>
      </c>
      <c r="Y76" s="559">
        <v>1624</v>
      </c>
      <c r="Z76" s="559">
        <v>217111</v>
      </c>
      <c r="AA76" s="559">
        <v>28744</v>
      </c>
      <c r="AB76" s="559">
        <v>33339</v>
      </c>
      <c r="AC76" s="559">
        <v>0</v>
      </c>
      <c r="AD76" s="559">
        <v>2718</v>
      </c>
      <c r="AE76" s="559">
        <v>5968</v>
      </c>
      <c r="AF76" s="559">
        <v>5380</v>
      </c>
      <c r="AG76" s="559">
        <v>10314</v>
      </c>
      <c r="AH76" s="559">
        <v>2020</v>
      </c>
      <c r="AI76" s="559">
        <v>6531</v>
      </c>
      <c r="AJ76" s="559">
        <v>2975</v>
      </c>
      <c r="AK76" s="559">
        <v>16539</v>
      </c>
      <c r="AL76" s="559">
        <v>910</v>
      </c>
      <c r="AM76" s="559">
        <v>9595</v>
      </c>
      <c r="AN76" s="559">
        <v>0</v>
      </c>
      <c r="AO76" s="559">
        <v>8063</v>
      </c>
      <c r="AP76" s="559">
        <v>68734</v>
      </c>
      <c r="AQ76" s="559">
        <v>13064</v>
      </c>
      <c r="AR76" s="559">
        <v>0</v>
      </c>
      <c r="AS76" s="559">
        <v>5272</v>
      </c>
      <c r="AT76" s="559">
        <v>11468</v>
      </c>
      <c r="AU76" s="559">
        <v>9815</v>
      </c>
      <c r="AV76" s="559">
        <v>60972</v>
      </c>
      <c r="AW76" s="559">
        <v>1053</v>
      </c>
      <c r="AX76" s="559">
        <v>36347</v>
      </c>
      <c r="AY76" s="559">
        <v>32724</v>
      </c>
      <c r="AZ76" s="559">
        <v>0</v>
      </c>
      <c r="BA76" s="559">
        <v>14434</v>
      </c>
      <c r="BB76" s="559">
        <v>0</v>
      </c>
      <c r="BC76" s="559">
        <v>0</v>
      </c>
      <c r="BD76" s="559">
        <v>0</v>
      </c>
      <c r="BE76" s="559">
        <v>13126</v>
      </c>
      <c r="BF76" s="559">
        <v>14434</v>
      </c>
      <c r="BG76" s="131">
        <v>5000</v>
      </c>
      <c r="BH76" s="131">
        <v>0</v>
      </c>
      <c r="BI76" s="559">
        <v>0</v>
      </c>
      <c r="BJ76" s="559">
        <v>0</v>
      </c>
      <c r="BK76" s="559">
        <v>19752</v>
      </c>
    </row>
    <row r="77" spans="1:63">
      <c r="A77" s="131">
        <v>3313</v>
      </c>
      <c r="B77" s="131" t="s">
        <v>104</v>
      </c>
      <c r="C77" s="559">
        <v>187943.1</v>
      </c>
      <c r="D77" s="559">
        <v>0</v>
      </c>
      <c r="E77" s="559">
        <v>0</v>
      </c>
      <c r="F77" s="559">
        <f t="shared" si="1"/>
        <v>187943.1</v>
      </c>
      <c r="G77" s="559">
        <v>1022336</v>
      </c>
      <c r="H77" s="559">
        <v>0</v>
      </c>
      <c r="I77" s="559">
        <v>57087</v>
      </c>
      <c r="J77" s="559">
        <v>0</v>
      </c>
      <c r="K77" s="559">
        <v>73557</v>
      </c>
      <c r="L77" s="559">
        <v>0</v>
      </c>
      <c r="M77" s="559">
        <v>1164</v>
      </c>
      <c r="N77" s="559">
        <v>6030</v>
      </c>
      <c r="O77" s="559">
        <v>24488</v>
      </c>
      <c r="P77" s="559">
        <v>5778</v>
      </c>
      <c r="Q77" s="559">
        <v>0</v>
      </c>
      <c r="R77" s="559">
        <v>22172</v>
      </c>
      <c r="S77" s="559">
        <v>14534</v>
      </c>
      <c r="T77" s="559">
        <v>0</v>
      </c>
      <c r="U77" s="559">
        <v>0</v>
      </c>
      <c r="V77" s="559">
        <v>0</v>
      </c>
      <c r="W77" s="559">
        <v>25037</v>
      </c>
      <c r="X77" s="559">
        <v>563435</v>
      </c>
      <c r="Y77" s="559">
        <v>11455</v>
      </c>
      <c r="Z77" s="559">
        <v>222383</v>
      </c>
      <c r="AA77" s="559">
        <v>25092</v>
      </c>
      <c r="AB77" s="559">
        <v>27809</v>
      </c>
      <c r="AC77" s="559">
        <v>1</v>
      </c>
      <c r="AD77" s="559">
        <v>22287</v>
      </c>
      <c r="AE77" s="559">
        <v>15770</v>
      </c>
      <c r="AF77" s="559">
        <v>5089</v>
      </c>
      <c r="AG77" s="559">
        <v>8885</v>
      </c>
      <c r="AH77" s="559">
        <v>3821</v>
      </c>
      <c r="AI77" s="559">
        <v>17398</v>
      </c>
      <c r="AJ77" s="559">
        <v>128</v>
      </c>
      <c r="AK77" s="559">
        <v>14008</v>
      </c>
      <c r="AL77" s="559">
        <v>2235</v>
      </c>
      <c r="AM77" s="559">
        <v>11613</v>
      </c>
      <c r="AN77" s="559">
        <v>0</v>
      </c>
      <c r="AO77" s="559">
        <v>4373</v>
      </c>
      <c r="AP77" s="559">
        <v>94057</v>
      </c>
      <c r="AQ77" s="559">
        <v>15304</v>
      </c>
      <c r="AR77" s="559">
        <v>0</v>
      </c>
      <c r="AS77" s="559">
        <v>5722</v>
      </c>
      <c r="AT77" s="559">
        <v>3301</v>
      </c>
      <c r="AU77" s="559">
        <v>9302</v>
      </c>
      <c r="AV77" s="559">
        <v>53556</v>
      </c>
      <c r="AW77" s="559">
        <v>21394</v>
      </c>
      <c r="AX77" s="559">
        <v>35128</v>
      </c>
      <c r="AY77" s="559">
        <v>27116</v>
      </c>
      <c r="AZ77" s="559">
        <v>0</v>
      </c>
      <c r="BA77" s="559">
        <v>0</v>
      </c>
      <c r="BB77" s="559">
        <v>-1</v>
      </c>
      <c r="BC77" s="559">
        <v>0</v>
      </c>
      <c r="BD77" s="559">
        <v>0</v>
      </c>
      <c r="BE77" s="559">
        <v>0</v>
      </c>
      <c r="BF77" s="559">
        <v>0</v>
      </c>
      <c r="BG77" s="131">
        <v>5000</v>
      </c>
      <c r="BH77" s="131">
        <v>0</v>
      </c>
      <c r="BI77" s="559">
        <v>0</v>
      </c>
      <c r="BJ77" s="559">
        <v>0</v>
      </c>
      <c r="BK77" s="559">
        <v>0</v>
      </c>
    </row>
    <row r="78" spans="1:63">
      <c r="A78" s="131">
        <v>3314</v>
      </c>
      <c r="B78" s="131" t="s">
        <v>105</v>
      </c>
      <c r="C78" s="559">
        <v>40212.879999999997</v>
      </c>
      <c r="D78" s="559">
        <v>0</v>
      </c>
      <c r="E78" s="559">
        <v>0</v>
      </c>
      <c r="F78" s="559">
        <f t="shared" si="1"/>
        <v>40212.879999999997</v>
      </c>
      <c r="G78" s="559">
        <v>868805</v>
      </c>
      <c r="H78" s="559">
        <v>0</v>
      </c>
      <c r="I78" s="559">
        <v>58215</v>
      </c>
      <c r="J78" s="559">
        <v>0</v>
      </c>
      <c r="K78" s="559">
        <v>16900</v>
      </c>
      <c r="L78" s="559">
        <v>1700</v>
      </c>
      <c r="M78" s="559">
        <v>46143</v>
      </c>
      <c r="N78" s="559">
        <v>32844</v>
      </c>
      <c r="O78" s="559">
        <v>35400</v>
      </c>
      <c r="P78" s="559">
        <v>0</v>
      </c>
      <c r="Q78" s="559">
        <v>4765</v>
      </c>
      <c r="R78" s="559">
        <v>35730</v>
      </c>
      <c r="S78" s="559">
        <v>8626</v>
      </c>
      <c r="T78" s="559">
        <v>0</v>
      </c>
      <c r="U78" s="559">
        <v>0</v>
      </c>
      <c r="V78" s="559">
        <v>0</v>
      </c>
      <c r="W78" s="559">
        <v>28380</v>
      </c>
      <c r="X78" s="559">
        <v>504062</v>
      </c>
      <c r="Y78" s="559">
        <v>3008</v>
      </c>
      <c r="Z78" s="559">
        <v>146699</v>
      </c>
      <c r="AA78" s="559">
        <v>33054</v>
      </c>
      <c r="AB78" s="559">
        <v>43877</v>
      </c>
      <c r="AC78" s="559">
        <v>4217</v>
      </c>
      <c r="AD78" s="559">
        <v>17030</v>
      </c>
      <c r="AE78" s="559">
        <v>6255</v>
      </c>
      <c r="AF78" s="559">
        <v>7567</v>
      </c>
      <c r="AG78" s="559">
        <v>6519</v>
      </c>
      <c r="AH78" s="559">
        <v>247</v>
      </c>
      <c r="AI78" s="559">
        <v>25087</v>
      </c>
      <c r="AJ78" s="559">
        <v>8522</v>
      </c>
      <c r="AK78" s="559">
        <v>538</v>
      </c>
      <c r="AL78" s="559">
        <v>3125</v>
      </c>
      <c r="AM78" s="559">
        <v>12801</v>
      </c>
      <c r="AN78" s="559">
        <v>0</v>
      </c>
      <c r="AO78" s="559">
        <v>10114</v>
      </c>
      <c r="AP78" s="559">
        <v>92662</v>
      </c>
      <c r="AQ78" s="559">
        <v>21461</v>
      </c>
      <c r="AR78" s="559">
        <v>0</v>
      </c>
      <c r="AS78" s="559">
        <v>10120</v>
      </c>
      <c r="AT78" s="559">
        <v>5213</v>
      </c>
      <c r="AU78" s="559">
        <v>8958</v>
      </c>
      <c r="AV78" s="559">
        <v>57708</v>
      </c>
      <c r="AW78" s="559">
        <v>24548</v>
      </c>
      <c r="AX78" s="559">
        <v>20769</v>
      </c>
      <c r="AY78" s="559">
        <v>33271</v>
      </c>
      <c r="AZ78" s="559">
        <v>0</v>
      </c>
      <c r="BA78" s="559">
        <v>8990</v>
      </c>
      <c r="BB78" s="559">
        <v>0</v>
      </c>
      <c r="BC78" s="559">
        <v>0</v>
      </c>
      <c r="BD78" s="559">
        <v>0</v>
      </c>
      <c r="BE78" s="559">
        <v>0</v>
      </c>
      <c r="BF78" s="559">
        <v>8990</v>
      </c>
      <c r="BG78" s="131">
        <v>5000</v>
      </c>
      <c r="BH78" s="131">
        <v>0</v>
      </c>
      <c r="BI78" s="559">
        <v>0</v>
      </c>
      <c r="BJ78" s="559">
        <v>0</v>
      </c>
      <c r="BK78" s="559">
        <v>8990</v>
      </c>
    </row>
    <row r="79" spans="1:63">
      <c r="A79" s="131">
        <v>3507</v>
      </c>
      <c r="B79" s="131" t="s">
        <v>106</v>
      </c>
      <c r="C79" s="559">
        <v>77119.009999999995</v>
      </c>
      <c r="D79" s="559">
        <v>0</v>
      </c>
      <c r="E79" s="559">
        <v>1.79</v>
      </c>
      <c r="F79" s="559">
        <f t="shared" si="1"/>
        <v>77120.799999999988</v>
      </c>
      <c r="G79" s="559">
        <v>985696</v>
      </c>
      <c r="H79" s="559">
        <v>0</v>
      </c>
      <c r="I79" s="559">
        <v>0</v>
      </c>
      <c r="J79" s="559">
        <v>0</v>
      </c>
      <c r="K79" s="559">
        <v>41900</v>
      </c>
      <c r="L79" s="559">
        <v>2600</v>
      </c>
      <c r="M79" s="559">
        <v>5555</v>
      </c>
      <c r="N79" s="559">
        <v>17227</v>
      </c>
      <c r="O79" s="559">
        <v>30375</v>
      </c>
      <c r="P79" s="559">
        <v>0</v>
      </c>
      <c r="Q79" s="559">
        <v>0</v>
      </c>
      <c r="R79" s="559">
        <v>29413</v>
      </c>
      <c r="S79" s="559">
        <v>7053</v>
      </c>
      <c r="T79" s="559">
        <v>0</v>
      </c>
      <c r="U79" s="559">
        <v>0</v>
      </c>
      <c r="V79" s="559">
        <v>0</v>
      </c>
      <c r="W79" s="559">
        <v>33790</v>
      </c>
      <c r="X79" s="559">
        <v>497387</v>
      </c>
      <c r="Y79" s="559">
        <v>0</v>
      </c>
      <c r="Z79" s="559">
        <v>122769</v>
      </c>
      <c r="AA79" s="559">
        <v>52825</v>
      </c>
      <c r="AB79" s="559">
        <v>38024</v>
      </c>
      <c r="AC79" s="559">
        <v>0</v>
      </c>
      <c r="AD79" s="559">
        <v>27608</v>
      </c>
      <c r="AE79" s="559">
        <v>11585</v>
      </c>
      <c r="AF79" s="559">
        <v>12238</v>
      </c>
      <c r="AG79" s="559">
        <v>8204</v>
      </c>
      <c r="AH79" s="559">
        <v>1965</v>
      </c>
      <c r="AI79" s="559">
        <v>16748</v>
      </c>
      <c r="AJ79" s="559">
        <v>800</v>
      </c>
      <c r="AK79" s="559">
        <v>182</v>
      </c>
      <c r="AL79" s="559">
        <v>2949</v>
      </c>
      <c r="AM79" s="559">
        <v>10065</v>
      </c>
      <c r="AN79" s="559">
        <v>0</v>
      </c>
      <c r="AO79" s="559">
        <v>6072</v>
      </c>
      <c r="AP79" s="559">
        <v>75596</v>
      </c>
      <c r="AQ79" s="559">
        <v>23436</v>
      </c>
      <c r="AR79" s="559">
        <v>0</v>
      </c>
      <c r="AS79" s="559">
        <v>7712</v>
      </c>
      <c r="AT79" s="559">
        <v>5711</v>
      </c>
      <c r="AU79" s="559">
        <v>12779</v>
      </c>
      <c r="AV79" s="559">
        <v>61488</v>
      </c>
      <c r="AW79" s="559">
        <v>37271</v>
      </c>
      <c r="AX79" s="559">
        <v>56522</v>
      </c>
      <c r="AY79" s="559">
        <v>34016</v>
      </c>
      <c r="AZ79" s="559">
        <v>0</v>
      </c>
      <c r="BA79" s="559">
        <v>13114</v>
      </c>
      <c r="BB79" s="559">
        <v>1</v>
      </c>
      <c r="BC79" s="559">
        <v>0</v>
      </c>
      <c r="BD79" s="559">
        <v>0</v>
      </c>
      <c r="BE79" s="559">
        <v>7458</v>
      </c>
      <c r="BF79" s="559">
        <v>13114</v>
      </c>
      <c r="BG79" s="131">
        <v>5000</v>
      </c>
      <c r="BH79" s="131">
        <v>0</v>
      </c>
      <c r="BI79" s="559">
        <v>0</v>
      </c>
      <c r="BJ79" s="559">
        <v>0</v>
      </c>
      <c r="BK79" s="559">
        <v>20573</v>
      </c>
    </row>
    <row r="80" spans="1:63">
      <c r="A80" s="131">
        <v>3506</v>
      </c>
      <c r="B80" s="131" t="s">
        <v>107</v>
      </c>
      <c r="C80" s="559">
        <v>110514.39</v>
      </c>
      <c r="D80" s="559">
        <v>0</v>
      </c>
      <c r="E80" s="559">
        <v>0</v>
      </c>
      <c r="F80" s="559">
        <f t="shared" si="1"/>
        <v>110514.39</v>
      </c>
      <c r="G80" s="559">
        <v>1306150</v>
      </c>
      <c r="H80" s="559">
        <v>0</v>
      </c>
      <c r="I80" s="559">
        <v>74432</v>
      </c>
      <c r="J80" s="559">
        <v>0</v>
      </c>
      <c r="K80" s="559">
        <v>72506</v>
      </c>
      <c r="L80" s="559">
        <v>4450</v>
      </c>
      <c r="M80" s="559">
        <v>11492</v>
      </c>
      <c r="N80" s="559">
        <v>14846</v>
      </c>
      <c r="O80" s="559">
        <v>31336</v>
      </c>
      <c r="P80" s="559">
        <v>8736</v>
      </c>
      <c r="Q80" s="559">
        <v>0</v>
      </c>
      <c r="R80" s="559">
        <v>30699</v>
      </c>
      <c r="S80" s="559">
        <v>2997</v>
      </c>
      <c r="T80" s="559">
        <v>0</v>
      </c>
      <c r="U80" s="559">
        <v>0</v>
      </c>
      <c r="V80" s="559">
        <v>0</v>
      </c>
      <c r="W80" s="559">
        <v>38989</v>
      </c>
      <c r="X80" s="559">
        <v>669812</v>
      </c>
      <c r="Y80" s="559">
        <v>8257</v>
      </c>
      <c r="Z80" s="559">
        <v>311566</v>
      </c>
      <c r="AA80" s="559">
        <v>47413</v>
      </c>
      <c r="AB80" s="559">
        <v>63589</v>
      </c>
      <c r="AC80" s="559">
        <v>0</v>
      </c>
      <c r="AD80" s="559">
        <v>0</v>
      </c>
      <c r="AE80" s="559">
        <v>8336</v>
      </c>
      <c r="AF80" s="559">
        <v>13471</v>
      </c>
      <c r="AG80" s="559">
        <v>10024</v>
      </c>
      <c r="AH80" s="559">
        <v>381</v>
      </c>
      <c r="AI80" s="559">
        <v>31814</v>
      </c>
      <c r="AJ80" s="559">
        <v>4915</v>
      </c>
      <c r="AK80" s="559">
        <v>2853</v>
      </c>
      <c r="AL80" s="559">
        <v>3313</v>
      </c>
      <c r="AM80" s="559">
        <v>20468</v>
      </c>
      <c r="AN80" s="559">
        <v>0</v>
      </c>
      <c r="AO80" s="559">
        <v>9573</v>
      </c>
      <c r="AP80" s="559">
        <v>62962</v>
      </c>
      <c r="AQ80" s="559">
        <v>28733</v>
      </c>
      <c r="AR80" s="559">
        <v>0</v>
      </c>
      <c r="AS80" s="559">
        <v>10370</v>
      </c>
      <c r="AT80" s="559">
        <v>9807</v>
      </c>
      <c r="AU80" s="559">
        <v>1640</v>
      </c>
      <c r="AV80" s="559">
        <v>74694</v>
      </c>
      <c r="AW80" s="559">
        <v>49011</v>
      </c>
      <c r="AX80" s="559">
        <v>74972</v>
      </c>
      <c r="AY80" s="559">
        <v>41540</v>
      </c>
      <c r="AZ80" s="559">
        <v>0</v>
      </c>
      <c r="BA80" s="559">
        <v>0</v>
      </c>
      <c r="BB80" s="559">
        <v>-1</v>
      </c>
      <c r="BC80" s="559">
        <v>0</v>
      </c>
      <c r="BD80" s="559">
        <v>0</v>
      </c>
      <c r="BE80" s="559">
        <v>0</v>
      </c>
      <c r="BF80" s="559">
        <v>0</v>
      </c>
      <c r="BG80" s="131">
        <v>5000</v>
      </c>
      <c r="BH80" s="131">
        <v>0</v>
      </c>
      <c r="BI80" s="559">
        <v>0</v>
      </c>
      <c r="BJ80" s="559">
        <v>0</v>
      </c>
      <c r="BK80" s="559">
        <v>0</v>
      </c>
    </row>
    <row r="81" spans="1:63">
      <c r="A81" s="131">
        <v>2052</v>
      </c>
      <c r="B81" s="131" t="s">
        <v>108</v>
      </c>
      <c r="C81" s="559">
        <v>156036.15</v>
      </c>
      <c r="D81" s="559">
        <v>0</v>
      </c>
      <c r="E81" s="559">
        <v>3250.04</v>
      </c>
      <c r="F81" s="559">
        <f t="shared" si="1"/>
        <v>159286.19</v>
      </c>
      <c r="G81" s="559">
        <v>2169727</v>
      </c>
      <c r="H81" s="559">
        <v>0</v>
      </c>
      <c r="I81" s="559">
        <v>204279</v>
      </c>
      <c r="J81" s="559">
        <v>0</v>
      </c>
      <c r="K81" s="559">
        <v>198400</v>
      </c>
      <c r="L81" s="559">
        <v>1000</v>
      </c>
      <c r="M81" s="559">
        <v>5457</v>
      </c>
      <c r="N81" s="559">
        <v>8859</v>
      </c>
      <c r="O81" s="559">
        <v>50346</v>
      </c>
      <c r="P81" s="559">
        <v>17750</v>
      </c>
      <c r="Q81" s="559">
        <v>0</v>
      </c>
      <c r="R81" s="559">
        <v>15022</v>
      </c>
      <c r="S81" s="559">
        <v>6603</v>
      </c>
      <c r="T81" s="559">
        <v>0</v>
      </c>
      <c r="U81" s="559">
        <v>0</v>
      </c>
      <c r="V81" s="559">
        <v>0</v>
      </c>
      <c r="W81" s="559">
        <v>48309</v>
      </c>
      <c r="X81" s="559">
        <v>1238676</v>
      </c>
      <c r="Y81" s="559">
        <v>0</v>
      </c>
      <c r="Z81" s="559">
        <v>425326</v>
      </c>
      <c r="AA81" s="559">
        <v>48760</v>
      </c>
      <c r="AB81" s="559">
        <v>70519</v>
      </c>
      <c r="AC81" s="559">
        <v>49016</v>
      </c>
      <c r="AD81" s="559">
        <v>32331</v>
      </c>
      <c r="AE81" s="559">
        <v>13407</v>
      </c>
      <c r="AF81" s="559">
        <v>11580</v>
      </c>
      <c r="AG81" s="559">
        <v>24934</v>
      </c>
      <c r="AH81" s="559">
        <v>1907</v>
      </c>
      <c r="AI81" s="559">
        <v>25570</v>
      </c>
      <c r="AJ81" s="559">
        <v>5863</v>
      </c>
      <c r="AK81" s="559">
        <v>32194</v>
      </c>
      <c r="AL81" s="559">
        <v>3092</v>
      </c>
      <c r="AM81" s="559">
        <v>28716</v>
      </c>
      <c r="AN81" s="559">
        <v>23618</v>
      </c>
      <c r="AO81" s="559">
        <v>8822</v>
      </c>
      <c r="AP81" s="559">
        <v>99380</v>
      </c>
      <c r="AQ81" s="559">
        <v>41296</v>
      </c>
      <c r="AR81" s="559">
        <v>0</v>
      </c>
      <c r="AS81" s="559">
        <v>13100</v>
      </c>
      <c r="AT81" s="559">
        <v>11110</v>
      </c>
      <c r="AU81" s="559">
        <v>7797</v>
      </c>
      <c r="AV81" s="559">
        <v>81196</v>
      </c>
      <c r="AW81" s="559">
        <v>124043</v>
      </c>
      <c r="AX81" s="559">
        <v>210576</v>
      </c>
      <c r="AY81" s="559">
        <v>52695</v>
      </c>
      <c r="AZ81" s="559">
        <v>0</v>
      </c>
      <c r="BA81" s="559">
        <v>84566</v>
      </c>
      <c r="BB81" s="559">
        <v>1</v>
      </c>
      <c r="BC81" s="559">
        <v>0</v>
      </c>
      <c r="BD81" s="559">
        <v>9012</v>
      </c>
      <c r="BE81" s="559">
        <v>0</v>
      </c>
      <c r="BF81" s="559">
        <v>84566</v>
      </c>
      <c r="BG81" s="131">
        <v>5000</v>
      </c>
      <c r="BH81" s="131">
        <v>0</v>
      </c>
      <c r="BI81" s="559">
        <v>96686</v>
      </c>
      <c r="BJ81" s="559">
        <v>0</v>
      </c>
      <c r="BK81" s="559">
        <v>0</v>
      </c>
    </row>
    <row r="82" spans="1:63">
      <c r="A82" s="131">
        <v>2070</v>
      </c>
      <c r="B82" s="71" t="s">
        <v>109</v>
      </c>
      <c r="C82" s="559">
        <v>98495.54</v>
      </c>
      <c r="D82" s="559">
        <v>0</v>
      </c>
      <c r="E82" s="559">
        <v>10230.219999999999</v>
      </c>
      <c r="F82" s="559">
        <f t="shared" si="1"/>
        <v>108725.75999999999</v>
      </c>
      <c r="G82" s="559">
        <v>1140262</v>
      </c>
      <c r="H82" s="559">
        <v>0</v>
      </c>
      <c r="I82" s="559">
        <v>79088</v>
      </c>
      <c r="J82" s="559">
        <v>0</v>
      </c>
      <c r="K82" s="559">
        <v>107163</v>
      </c>
      <c r="L82" s="559">
        <v>9590</v>
      </c>
      <c r="M82" s="559">
        <v>5832</v>
      </c>
      <c r="N82" s="559">
        <v>5009</v>
      </c>
      <c r="O82" s="559">
        <v>26125</v>
      </c>
      <c r="P82" s="559">
        <v>3078</v>
      </c>
      <c r="Q82" s="559">
        <v>4590</v>
      </c>
      <c r="R82" s="559">
        <v>14628</v>
      </c>
      <c r="S82" s="559">
        <v>3556</v>
      </c>
      <c r="T82" s="559">
        <v>0</v>
      </c>
      <c r="U82" s="559">
        <v>0</v>
      </c>
      <c r="V82" s="559">
        <v>0</v>
      </c>
      <c r="W82" s="559">
        <v>22838</v>
      </c>
      <c r="X82" s="559">
        <v>601966</v>
      </c>
      <c r="Y82" s="559">
        <v>6095</v>
      </c>
      <c r="Z82" s="559">
        <v>312341</v>
      </c>
      <c r="AA82" s="559">
        <v>46918</v>
      </c>
      <c r="AB82" s="559">
        <v>56164</v>
      </c>
      <c r="AC82" s="559">
        <v>-1</v>
      </c>
      <c r="AD82" s="559">
        <v>27427</v>
      </c>
      <c r="AE82" s="559">
        <v>6537</v>
      </c>
      <c r="AF82" s="559">
        <v>6744</v>
      </c>
      <c r="AG82" s="559">
        <v>5240</v>
      </c>
      <c r="AH82" s="559">
        <v>7611</v>
      </c>
      <c r="AI82" s="559">
        <v>13248</v>
      </c>
      <c r="AJ82" s="559">
        <v>2592</v>
      </c>
      <c r="AK82" s="559">
        <v>1542</v>
      </c>
      <c r="AL82" s="559">
        <v>2737</v>
      </c>
      <c r="AM82" s="559">
        <v>13973</v>
      </c>
      <c r="AN82" s="559">
        <v>12773</v>
      </c>
      <c r="AO82" s="559">
        <v>6088</v>
      </c>
      <c r="AP82" s="559">
        <v>48626</v>
      </c>
      <c r="AQ82" s="559">
        <v>21755</v>
      </c>
      <c r="AR82" s="559">
        <v>0</v>
      </c>
      <c r="AS82" s="559">
        <v>14769</v>
      </c>
      <c r="AT82" s="559">
        <v>5006</v>
      </c>
      <c r="AU82" s="559">
        <v>7269</v>
      </c>
      <c r="AV82" s="559">
        <v>63410</v>
      </c>
      <c r="AW82" s="559">
        <v>6155</v>
      </c>
      <c r="AX82" s="559">
        <v>58092</v>
      </c>
      <c r="AY82" s="559">
        <v>13767</v>
      </c>
      <c r="AZ82" s="559">
        <v>0</v>
      </c>
      <c r="BA82" s="559">
        <v>58672</v>
      </c>
      <c r="BB82" s="559">
        <v>0</v>
      </c>
      <c r="BC82" s="559">
        <v>0</v>
      </c>
      <c r="BD82" s="559">
        <v>6576</v>
      </c>
      <c r="BE82" s="559">
        <v>0</v>
      </c>
      <c r="BF82" s="559">
        <v>58672</v>
      </c>
      <c r="BG82" s="131">
        <v>5000</v>
      </c>
      <c r="BH82" s="131">
        <v>0</v>
      </c>
      <c r="BI82" s="559">
        <v>65820</v>
      </c>
      <c r="BJ82" s="559">
        <v>6735</v>
      </c>
      <c r="BK82" s="559">
        <v>2924</v>
      </c>
    </row>
    <row r="83" spans="1:63">
      <c r="A83" s="131">
        <v>3316</v>
      </c>
      <c r="B83" s="131" t="s">
        <v>110</v>
      </c>
      <c r="C83" s="559">
        <v>35851.550000000003</v>
      </c>
      <c r="D83" s="559">
        <v>0</v>
      </c>
      <c r="E83" s="559">
        <v>0</v>
      </c>
      <c r="F83" s="559">
        <f t="shared" si="1"/>
        <v>35851.550000000003</v>
      </c>
      <c r="G83" s="559">
        <v>848124</v>
      </c>
      <c r="H83" s="559">
        <v>0</v>
      </c>
      <c r="I83" s="559">
        <v>596</v>
      </c>
      <c r="J83" s="559">
        <v>0</v>
      </c>
      <c r="K83" s="559">
        <v>26291</v>
      </c>
      <c r="L83" s="559">
        <v>1940</v>
      </c>
      <c r="M83" s="559">
        <v>1365</v>
      </c>
      <c r="N83" s="559">
        <v>13174</v>
      </c>
      <c r="O83" s="559">
        <v>39323</v>
      </c>
      <c r="P83" s="559">
        <v>0</v>
      </c>
      <c r="Q83" s="559">
        <v>505</v>
      </c>
      <c r="R83" s="559">
        <v>28486</v>
      </c>
      <c r="S83" s="559">
        <v>8242</v>
      </c>
      <c r="T83" s="559">
        <v>0</v>
      </c>
      <c r="U83" s="559">
        <v>0</v>
      </c>
      <c r="V83" s="559">
        <v>0</v>
      </c>
      <c r="W83" s="559">
        <v>26169</v>
      </c>
      <c r="X83" s="559">
        <v>439352</v>
      </c>
      <c r="Y83" s="559">
        <v>2253</v>
      </c>
      <c r="Z83" s="559">
        <v>119351</v>
      </c>
      <c r="AA83" s="559">
        <v>24984</v>
      </c>
      <c r="AB83" s="559">
        <v>39872</v>
      </c>
      <c r="AC83" s="559">
        <v>0</v>
      </c>
      <c r="AD83" s="559">
        <v>32215</v>
      </c>
      <c r="AE83" s="559">
        <v>5062</v>
      </c>
      <c r="AF83" s="559">
        <v>14461</v>
      </c>
      <c r="AG83" s="559">
        <v>8795</v>
      </c>
      <c r="AH83" s="559">
        <v>882</v>
      </c>
      <c r="AI83" s="559">
        <v>5788</v>
      </c>
      <c r="AJ83" s="559">
        <v>177</v>
      </c>
      <c r="AK83" s="559">
        <v>11614</v>
      </c>
      <c r="AL83" s="559">
        <v>1962</v>
      </c>
      <c r="AM83" s="559">
        <v>12460</v>
      </c>
      <c r="AN83" s="559">
        <v>0</v>
      </c>
      <c r="AO83" s="559">
        <v>5117</v>
      </c>
      <c r="AP83" s="559">
        <v>70717</v>
      </c>
      <c r="AQ83" s="559">
        <v>13505</v>
      </c>
      <c r="AR83" s="559">
        <v>0</v>
      </c>
      <c r="AS83" s="559">
        <v>3890</v>
      </c>
      <c r="AT83" s="559">
        <v>4292</v>
      </c>
      <c r="AU83" s="559">
        <v>3798</v>
      </c>
      <c r="AV83" s="559">
        <v>61550</v>
      </c>
      <c r="AW83" s="559">
        <v>66712</v>
      </c>
      <c r="AX83" s="559">
        <v>51347</v>
      </c>
      <c r="AY83" s="559">
        <v>9251</v>
      </c>
      <c r="AZ83" s="559">
        <v>0</v>
      </c>
      <c r="BA83" s="559">
        <v>0</v>
      </c>
      <c r="BB83" s="559">
        <v>0</v>
      </c>
      <c r="BC83" s="559">
        <v>0</v>
      </c>
      <c r="BD83" s="559">
        <v>0</v>
      </c>
      <c r="BE83" s="559">
        <v>0</v>
      </c>
      <c r="BF83" s="559">
        <v>0</v>
      </c>
      <c r="BG83" s="131">
        <v>5000</v>
      </c>
      <c r="BH83" s="131">
        <v>0</v>
      </c>
      <c r="BI83" s="559">
        <v>0</v>
      </c>
      <c r="BJ83" s="559">
        <v>0</v>
      </c>
      <c r="BK83" s="559">
        <v>0</v>
      </c>
    </row>
    <row r="84" spans="1:63">
      <c r="A84" s="131">
        <v>2055</v>
      </c>
      <c r="B84" s="131" t="s">
        <v>111</v>
      </c>
      <c r="C84" s="559">
        <v>50702.95</v>
      </c>
      <c r="D84" s="559">
        <v>0</v>
      </c>
      <c r="E84" s="559">
        <v>-1997.19</v>
      </c>
      <c r="F84" s="559">
        <f t="shared" si="1"/>
        <v>48705.759999999995</v>
      </c>
      <c r="G84" s="559">
        <v>1196161</v>
      </c>
      <c r="H84" s="559">
        <v>0</v>
      </c>
      <c r="I84" s="559">
        <v>36178</v>
      </c>
      <c r="J84" s="559">
        <v>0</v>
      </c>
      <c r="K84" s="559">
        <v>100100</v>
      </c>
      <c r="L84" s="559">
        <v>15820</v>
      </c>
      <c r="M84" s="559">
        <v>740</v>
      </c>
      <c r="N84" s="559">
        <v>12448</v>
      </c>
      <c r="O84" s="559">
        <v>21225</v>
      </c>
      <c r="P84" s="559">
        <v>6156</v>
      </c>
      <c r="Q84" s="559">
        <v>0</v>
      </c>
      <c r="R84" s="559">
        <v>7769</v>
      </c>
      <c r="S84" s="559">
        <v>1640</v>
      </c>
      <c r="T84" s="559">
        <v>0</v>
      </c>
      <c r="U84" s="559">
        <v>0</v>
      </c>
      <c r="V84" s="559">
        <v>0</v>
      </c>
      <c r="W84" s="559">
        <v>23718</v>
      </c>
      <c r="X84" s="559">
        <v>590298</v>
      </c>
      <c r="Y84" s="559">
        <v>-270</v>
      </c>
      <c r="Z84" s="559">
        <v>286229</v>
      </c>
      <c r="AA84" s="559">
        <v>29211</v>
      </c>
      <c r="AB84" s="559">
        <v>56135</v>
      </c>
      <c r="AC84" s="559">
        <v>0</v>
      </c>
      <c r="AD84" s="559">
        <v>25509</v>
      </c>
      <c r="AE84" s="559">
        <v>8005</v>
      </c>
      <c r="AF84" s="559">
        <v>2025</v>
      </c>
      <c r="AG84" s="559">
        <v>11535</v>
      </c>
      <c r="AH84" s="559">
        <v>1858</v>
      </c>
      <c r="AI84" s="559">
        <v>36663</v>
      </c>
      <c r="AJ84" s="559">
        <v>4492</v>
      </c>
      <c r="AK84" s="559">
        <v>17491</v>
      </c>
      <c r="AL84" s="559">
        <v>3680</v>
      </c>
      <c r="AM84" s="559">
        <v>20731</v>
      </c>
      <c r="AN84" s="559">
        <v>16147</v>
      </c>
      <c r="AO84" s="559">
        <v>10162</v>
      </c>
      <c r="AP84" s="559">
        <v>42642</v>
      </c>
      <c r="AQ84" s="559">
        <v>12156</v>
      </c>
      <c r="AR84" s="559">
        <v>0</v>
      </c>
      <c r="AS84" s="559">
        <v>7952</v>
      </c>
      <c r="AT84" s="559">
        <v>5414</v>
      </c>
      <c r="AU84" s="559">
        <v>2435</v>
      </c>
      <c r="AV84" s="559">
        <v>55938</v>
      </c>
      <c r="AW84" s="559">
        <v>69041</v>
      </c>
      <c r="AX84" s="559">
        <v>13950</v>
      </c>
      <c r="AY84" s="559">
        <v>44885</v>
      </c>
      <c r="AZ84" s="559">
        <v>0</v>
      </c>
      <c r="BA84" s="559">
        <v>15531</v>
      </c>
      <c r="BB84" s="559">
        <v>1</v>
      </c>
      <c r="BC84" s="559">
        <v>0</v>
      </c>
      <c r="BD84" s="559">
        <v>6408</v>
      </c>
      <c r="BE84" s="559">
        <v>0</v>
      </c>
      <c r="BF84" s="559">
        <v>15531</v>
      </c>
      <c r="BG84" s="131">
        <v>5000</v>
      </c>
      <c r="BH84" s="131">
        <v>0</v>
      </c>
      <c r="BI84" s="559">
        <v>0</v>
      </c>
      <c r="BJ84" s="559">
        <v>0</v>
      </c>
      <c r="BK84" s="559">
        <v>19939</v>
      </c>
    </row>
    <row r="85" spans="1:63">
      <c r="A85" s="131">
        <v>2057</v>
      </c>
      <c r="B85" s="131" t="s">
        <v>112</v>
      </c>
      <c r="C85" s="559">
        <v>153241.24</v>
      </c>
      <c r="D85" s="559">
        <v>37514</v>
      </c>
      <c r="E85" s="559">
        <v>11270.97</v>
      </c>
      <c r="F85" s="559">
        <f t="shared" si="1"/>
        <v>202026.21</v>
      </c>
      <c r="G85" s="559">
        <v>1850974</v>
      </c>
      <c r="H85" s="559">
        <v>0</v>
      </c>
      <c r="I85" s="559">
        <v>107513</v>
      </c>
      <c r="J85" s="559">
        <v>0</v>
      </c>
      <c r="K85" s="559">
        <v>209264</v>
      </c>
      <c r="L85" s="559">
        <v>3240</v>
      </c>
      <c r="M85" s="559">
        <v>6210</v>
      </c>
      <c r="N85" s="559">
        <v>30268</v>
      </c>
      <c r="O85" s="559">
        <v>28923</v>
      </c>
      <c r="P85" s="559">
        <v>11354</v>
      </c>
      <c r="Q85" s="559">
        <v>1275</v>
      </c>
      <c r="R85" s="559">
        <v>9611</v>
      </c>
      <c r="S85" s="559">
        <v>10965</v>
      </c>
      <c r="T85" s="559">
        <v>0</v>
      </c>
      <c r="U85" s="559">
        <v>406407</v>
      </c>
      <c r="V85" s="559">
        <v>80957</v>
      </c>
      <c r="W85" s="559">
        <v>40915</v>
      </c>
      <c r="X85" s="559">
        <v>878481</v>
      </c>
      <c r="Y85" s="559">
        <v>0</v>
      </c>
      <c r="Z85" s="559">
        <v>532079</v>
      </c>
      <c r="AA85" s="559">
        <v>58823</v>
      </c>
      <c r="AB85" s="559">
        <v>92032</v>
      </c>
      <c r="AC85" s="559">
        <v>0</v>
      </c>
      <c r="AD85" s="559">
        <v>63112</v>
      </c>
      <c r="AE85" s="559">
        <v>20386</v>
      </c>
      <c r="AF85" s="559">
        <v>6304</v>
      </c>
      <c r="AG85" s="559">
        <v>5975</v>
      </c>
      <c r="AH85" s="559">
        <v>6368</v>
      </c>
      <c r="AI85" s="559">
        <v>22670</v>
      </c>
      <c r="AJ85" s="559">
        <v>6203</v>
      </c>
      <c r="AK85" s="559">
        <v>6716</v>
      </c>
      <c r="AL85" s="559">
        <v>4751</v>
      </c>
      <c r="AM85" s="559">
        <v>29083</v>
      </c>
      <c r="AN85" s="559">
        <v>36574</v>
      </c>
      <c r="AO85" s="559">
        <v>6438</v>
      </c>
      <c r="AP85" s="559">
        <v>37426</v>
      </c>
      <c r="AQ85" s="559">
        <v>13295</v>
      </c>
      <c r="AR85" s="559">
        <v>0</v>
      </c>
      <c r="AS85" s="559">
        <v>16218</v>
      </c>
      <c r="AT85" s="559">
        <v>8934</v>
      </c>
      <c r="AU85" s="559">
        <v>5958</v>
      </c>
      <c r="AV85" s="559">
        <v>94929</v>
      </c>
      <c r="AW85" s="559">
        <v>195895</v>
      </c>
      <c r="AX85" s="559">
        <v>162268</v>
      </c>
      <c r="AY85" s="559">
        <v>25960</v>
      </c>
      <c r="AZ85" s="559">
        <v>0</v>
      </c>
      <c r="BA85" s="559">
        <v>27033</v>
      </c>
      <c r="BB85" s="559">
        <v>388777</v>
      </c>
      <c r="BC85" s="559">
        <v>102344</v>
      </c>
      <c r="BD85" s="559">
        <v>10557</v>
      </c>
      <c r="BE85" s="559">
        <v>0</v>
      </c>
      <c r="BF85" s="559">
        <v>27033</v>
      </c>
      <c r="BG85" s="131">
        <v>5000</v>
      </c>
      <c r="BH85" s="131">
        <v>0</v>
      </c>
      <c r="BI85" s="559">
        <v>3662</v>
      </c>
      <c r="BJ85" s="559">
        <v>45200</v>
      </c>
      <c r="BK85" s="559">
        <v>0</v>
      </c>
    </row>
    <row r="86" spans="1:63">
      <c r="A86" s="131">
        <v>2056</v>
      </c>
      <c r="B86" s="131" t="s">
        <v>113</v>
      </c>
      <c r="C86" s="559">
        <v>102772.43</v>
      </c>
      <c r="D86" s="559">
        <v>1668</v>
      </c>
      <c r="E86" s="559">
        <v>710.63</v>
      </c>
      <c r="F86" s="559">
        <f t="shared" si="1"/>
        <v>105151.06</v>
      </c>
      <c r="G86" s="559">
        <v>530252</v>
      </c>
      <c r="H86" s="559">
        <v>0</v>
      </c>
      <c r="I86" s="559">
        <v>34887</v>
      </c>
      <c r="J86" s="559">
        <v>0</v>
      </c>
      <c r="K86" s="559">
        <v>77916</v>
      </c>
      <c r="L86" s="559">
        <v>0</v>
      </c>
      <c r="M86" s="559">
        <v>5001</v>
      </c>
      <c r="N86" s="559">
        <v>4646</v>
      </c>
      <c r="O86" s="559">
        <v>8919</v>
      </c>
      <c r="P86" s="559">
        <v>3488</v>
      </c>
      <c r="Q86" s="559">
        <v>0</v>
      </c>
      <c r="R86" s="559">
        <v>12631</v>
      </c>
      <c r="S86" s="559">
        <v>19644</v>
      </c>
      <c r="T86" s="559">
        <v>0</v>
      </c>
      <c r="U86" s="559">
        <v>0</v>
      </c>
      <c r="V86" s="559">
        <v>764</v>
      </c>
      <c r="W86" s="559">
        <v>3607</v>
      </c>
      <c r="X86" s="559">
        <v>267363</v>
      </c>
      <c r="Y86" s="559">
        <v>3494</v>
      </c>
      <c r="Z86" s="559">
        <v>168403</v>
      </c>
      <c r="AA86" s="559">
        <v>51039</v>
      </c>
      <c r="AB86" s="559">
        <v>24742</v>
      </c>
      <c r="AC86" s="559">
        <v>0</v>
      </c>
      <c r="AD86" s="559">
        <v>5170</v>
      </c>
      <c r="AE86" s="559">
        <v>21329</v>
      </c>
      <c r="AF86" s="559">
        <v>1306</v>
      </c>
      <c r="AG86" s="559">
        <v>11806</v>
      </c>
      <c r="AH86" s="559">
        <v>3102</v>
      </c>
      <c r="AI86" s="559">
        <v>27560</v>
      </c>
      <c r="AJ86" s="559">
        <v>2800</v>
      </c>
      <c r="AK86" s="559">
        <v>2339</v>
      </c>
      <c r="AL86" s="559">
        <v>3057</v>
      </c>
      <c r="AM86" s="559">
        <v>11142</v>
      </c>
      <c r="AN86" s="559">
        <v>9360</v>
      </c>
      <c r="AO86" s="559">
        <v>1663</v>
      </c>
      <c r="AP86" s="559">
        <v>48177</v>
      </c>
      <c r="AQ86" s="559">
        <v>40386</v>
      </c>
      <c r="AR86" s="559">
        <v>0</v>
      </c>
      <c r="AS86" s="559">
        <v>8313</v>
      </c>
      <c r="AT86" s="559">
        <v>3519</v>
      </c>
      <c r="AU86" s="559">
        <v>1433</v>
      </c>
      <c r="AV86" s="559">
        <v>15602</v>
      </c>
      <c r="AW86" s="559">
        <v>16603</v>
      </c>
      <c r="AX86" s="559">
        <v>26839</v>
      </c>
      <c r="AY86" s="559">
        <v>5978</v>
      </c>
      <c r="AZ86" s="559">
        <v>0</v>
      </c>
      <c r="BA86" s="559">
        <v>25730</v>
      </c>
      <c r="BB86" s="559">
        <v>0</v>
      </c>
      <c r="BC86" s="559">
        <v>0</v>
      </c>
      <c r="BD86" s="559">
        <v>2905</v>
      </c>
      <c r="BE86" s="559">
        <v>0</v>
      </c>
      <c r="BF86" s="559">
        <v>25730</v>
      </c>
      <c r="BG86" s="131">
        <v>5000</v>
      </c>
      <c r="BH86" s="131">
        <v>0</v>
      </c>
      <c r="BI86" s="559">
        <v>10030</v>
      </c>
      <c r="BJ86" s="559">
        <v>0</v>
      </c>
      <c r="BK86" s="559">
        <v>19315</v>
      </c>
    </row>
    <row r="87" spans="1:63">
      <c r="A87" s="131">
        <v>2076</v>
      </c>
      <c r="B87" s="131" t="s">
        <v>114</v>
      </c>
      <c r="C87" s="559">
        <v>269496.84000000003</v>
      </c>
      <c r="D87" s="559">
        <v>0</v>
      </c>
      <c r="E87" s="559">
        <v>27327.74</v>
      </c>
      <c r="F87" s="559">
        <f t="shared" si="1"/>
        <v>296824.58</v>
      </c>
      <c r="G87" s="559">
        <v>2207827</v>
      </c>
      <c r="H87" s="559">
        <v>0</v>
      </c>
      <c r="I87" s="559">
        <v>36811</v>
      </c>
      <c r="J87" s="559">
        <v>0</v>
      </c>
      <c r="K87" s="559">
        <v>251480</v>
      </c>
      <c r="L87" s="559">
        <v>9370</v>
      </c>
      <c r="M87" s="559">
        <v>745</v>
      </c>
      <c r="N87" s="559">
        <v>98288</v>
      </c>
      <c r="O87" s="559">
        <v>37385</v>
      </c>
      <c r="P87" s="559">
        <v>17781</v>
      </c>
      <c r="Q87" s="559">
        <v>0</v>
      </c>
      <c r="R87" s="559">
        <v>16067</v>
      </c>
      <c r="S87" s="559">
        <v>3246</v>
      </c>
      <c r="T87" s="559">
        <v>0</v>
      </c>
      <c r="U87" s="559">
        <v>0</v>
      </c>
      <c r="V87" s="559">
        <v>0</v>
      </c>
      <c r="W87" s="559">
        <v>38830</v>
      </c>
      <c r="X87" s="559">
        <v>1125868</v>
      </c>
      <c r="Y87" s="559">
        <v>13339</v>
      </c>
      <c r="Z87" s="559">
        <v>462508</v>
      </c>
      <c r="AA87" s="559">
        <v>44521</v>
      </c>
      <c r="AB87" s="559">
        <v>145671</v>
      </c>
      <c r="AC87" s="559">
        <v>0</v>
      </c>
      <c r="AD87" s="559">
        <v>51397</v>
      </c>
      <c r="AE87" s="559">
        <v>22381</v>
      </c>
      <c r="AF87" s="559">
        <v>11579</v>
      </c>
      <c r="AG87" s="559">
        <v>18189</v>
      </c>
      <c r="AH87" s="559">
        <v>8511</v>
      </c>
      <c r="AI87" s="559">
        <v>52654</v>
      </c>
      <c r="AJ87" s="559">
        <v>5578</v>
      </c>
      <c r="AK87" s="559">
        <v>34753</v>
      </c>
      <c r="AL87" s="559">
        <v>8524</v>
      </c>
      <c r="AM87" s="559">
        <v>35081</v>
      </c>
      <c r="AN87" s="559">
        <v>25064</v>
      </c>
      <c r="AO87" s="559">
        <v>11822</v>
      </c>
      <c r="AP87" s="559">
        <v>90895</v>
      </c>
      <c r="AQ87" s="559">
        <v>33575</v>
      </c>
      <c r="AR87" s="559">
        <v>0</v>
      </c>
      <c r="AS87" s="559">
        <v>19922</v>
      </c>
      <c r="AT87" s="559">
        <v>9350</v>
      </c>
      <c r="AU87" s="559">
        <v>16468</v>
      </c>
      <c r="AV87" s="559">
        <v>105471</v>
      </c>
      <c r="AW87" s="559">
        <v>51838</v>
      </c>
      <c r="AX87" s="559">
        <v>171711</v>
      </c>
      <c r="AY87" s="559">
        <v>2571</v>
      </c>
      <c r="AZ87" s="559">
        <v>0</v>
      </c>
      <c r="BA87" s="559">
        <v>15157</v>
      </c>
      <c r="BB87" s="559">
        <v>0</v>
      </c>
      <c r="BC87" s="559">
        <v>0</v>
      </c>
      <c r="BD87" s="559">
        <v>9208</v>
      </c>
      <c r="BE87" s="559">
        <v>0</v>
      </c>
      <c r="BF87" s="559">
        <v>15157</v>
      </c>
      <c r="BG87" s="131">
        <v>5000</v>
      </c>
      <c r="BH87" s="131">
        <v>0</v>
      </c>
      <c r="BI87" s="559">
        <v>0</v>
      </c>
      <c r="BJ87" s="559">
        <v>0</v>
      </c>
      <c r="BK87" s="559">
        <v>15157</v>
      </c>
    </row>
    <row r="88" spans="1:63">
      <c r="A88" s="131">
        <v>2060</v>
      </c>
      <c r="B88" s="131" t="s">
        <v>115</v>
      </c>
      <c r="C88" s="559">
        <v>263008.78000000003</v>
      </c>
      <c r="D88" s="559">
        <v>0</v>
      </c>
      <c r="E88" s="559">
        <v>1473.88</v>
      </c>
      <c r="F88" s="559">
        <f t="shared" si="1"/>
        <v>264482.66000000003</v>
      </c>
      <c r="G88" s="559">
        <v>2338928</v>
      </c>
      <c r="H88" s="559">
        <v>0</v>
      </c>
      <c r="I88" s="559">
        <v>32128</v>
      </c>
      <c r="J88" s="559">
        <v>0</v>
      </c>
      <c r="K88" s="559">
        <v>245700</v>
      </c>
      <c r="L88" s="559">
        <v>1650</v>
      </c>
      <c r="M88" s="559">
        <v>1370</v>
      </c>
      <c r="N88" s="559">
        <v>90042</v>
      </c>
      <c r="O88" s="559">
        <v>42881</v>
      </c>
      <c r="P88" s="559">
        <v>19525</v>
      </c>
      <c r="Q88" s="559">
        <v>0</v>
      </c>
      <c r="R88" s="559">
        <v>22942</v>
      </c>
      <c r="S88" s="559">
        <v>6722</v>
      </c>
      <c r="T88" s="559">
        <v>0</v>
      </c>
      <c r="U88" s="559">
        <v>0</v>
      </c>
      <c r="V88" s="559">
        <v>0</v>
      </c>
      <c r="W88" s="559">
        <v>38458</v>
      </c>
      <c r="X88" s="559">
        <v>1082405</v>
      </c>
      <c r="Y88" s="559">
        <v>0</v>
      </c>
      <c r="Z88" s="559">
        <v>557516</v>
      </c>
      <c r="AA88" s="559">
        <v>57443</v>
      </c>
      <c r="AB88" s="559">
        <v>75258</v>
      </c>
      <c r="AC88" s="559">
        <v>0</v>
      </c>
      <c r="AD88" s="559">
        <v>58618</v>
      </c>
      <c r="AE88" s="559">
        <v>5472</v>
      </c>
      <c r="AF88" s="559">
        <v>14346</v>
      </c>
      <c r="AG88" s="559">
        <v>22169</v>
      </c>
      <c r="AH88" s="559">
        <v>2200</v>
      </c>
      <c r="AI88" s="559">
        <v>142023</v>
      </c>
      <c r="AJ88" s="559">
        <v>6345</v>
      </c>
      <c r="AK88" s="559">
        <v>39560</v>
      </c>
      <c r="AL88" s="559">
        <v>3415</v>
      </c>
      <c r="AM88" s="559">
        <v>69285</v>
      </c>
      <c r="AN88" s="559">
        <v>18557</v>
      </c>
      <c r="AO88" s="559">
        <v>13750</v>
      </c>
      <c r="AP88" s="559">
        <v>116063</v>
      </c>
      <c r="AQ88" s="559">
        <v>24090</v>
      </c>
      <c r="AR88" s="559">
        <v>0</v>
      </c>
      <c r="AS88" s="559">
        <v>18070</v>
      </c>
      <c r="AT88" s="559">
        <v>23377</v>
      </c>
      <c r="AU88" s="559">
        <v>35407</v>
      </c>
      <c r="AV88" s="559">
        <v>114426</v>
      </c>
      <c r="AW88" s="559">
        <v>55990</v>
      </c>
      <c r="AX88" s="559">
        <v>28908</v>
      </c>
      <c r="AY88" s="559">
        <v>42989</v>
      </c>
      <c r="AZ88" s="559">
        <v>0</v>
      </c>
      <c r="BA88" s="559">
        <v>152334</v>
      </c>
      <c r="BB88" s="559">
        <v>0</v>
      </c>
      <c r="BC88" s="559">
        <v>0</v>
      </c>
      <c r="BD88" s="559">
        <v>8612</v>
      </c>
      <c r="BE88" s="559">
        <v>0</v>
      </c>
      <c r="BF88" s="559">
        <v>152334</v>
      </c>
      <c r="BG88" s="131">
        <v>5000</v>
      </c>
      <c r="BH88" s="131">
        <v>0</v>
      </c>
      <c r="BI88" s="559">
        <v>134075</v>
      </c>
      <c r="BJ88" s="559">
        <v>9900</v>
      </c>
      <c r="BK88" s="559">
        <v>18445</v>
      </c>
    </row>
    <row r="89" spans="1:63">
      <c r="A89" s="131">
        <v>3518</v>
      </c>
      <c r="B89" s="131" t="s">
        <v>116</v>
      </c>
      <c r="C89" s="559">
        <v>220005.51</v>
      </c>
      <c r="D89" s="559">
        <v>0</v>
      </c>
      <c r="E89" s="559">
        <v>20054.32</v>
      </c>
      <c r="F89" s="559">
        <f t="shared" si="1"/>
        <v>240059.83000000002</v>
      </c>
      <c r="G89" s="559">
        <v>2222173</v>
      </c>
      <c r="H89" s="559">
        <v>0</v>
      </c>
      <c r="I89" s="559">
        <v>116713</v>
      </c>
      <c r="J89" s="559">
        <v>0</v>
      </c>
      <c r="K89" s="559">
        <v>306100</v>
      </c>
      <c r="L89" s="559">
        <v>3550</v>
      </c>
      <c r="M89" s="559">
        <v>5077</v>
      </c>
      <c r="N89" s="559">
        <v>22128</v>
      </c>
      <c r="O89" s="559">
        <v>25560</v>
      </c>
      <c r="P89" s="559">
        <v>12197</v>
      </c>
      <c r="Q89" s="559">
        <v>14060</v>
      </c>
      <c r="R89" s="559">
        <v>14559</v>
      </c>
      <c r="S89" s="559">
        <v>9138</v>
      </c>
      <c r="T89" s="559">
        <v>0</v>
      </c>
      <c r="U89" s="559">
        <v>0</v>
      </c>
      <c r="V89" s="559">
        <v>0</v>
      </c>
      <c r="W89" s="559">
        <v>35698</v>
      </c>
      <c r="X89" s="559">
        <v>1012701</v>
      </c>
      <c r="Y89" s="559">
        <v>16806</v>
      </c>
      <c r="Z89" s="559">
        <v>672368</v>
      </c>
      <c r="AA89" s="559">
        <v>42372</v>
      </c>
      <c r="AB89" s="559">
        <v>56764</v>
      </c>
      <c r="AC89" s="559">
        <v>0</v>
      </c>
      <c r="AD89" s="559">
        <v>76431</v>
      </c>
      <c r="AE89" s="559">
        <v>11724</v>
      </c>
      <c r="AF89" s="559">
        <v>21829</v>
      </c>
      <c r="AG89" s="559">
        <v>19698</v>
      </c>
      <c r="AH89" s="559">
        <v>1940</v>
      </c>
      <c r="AI89" s="559">
        <v>52739</v>
      </c>
      <c r="AJ89" s="559">
        <v>2028</v>
      </c>
      <c r="AK89" s="559">
        <v>69990</v>
      </c>
      <c r="AL89" s="559">
        <v>4002</v>
      </c>
      <c r="AM89" s="559">
        <v>41792</v>
      </c>
      <c r="AN89" s="559">
        <v>26028</v>
      </c>
      <c r="AO89" s="559">
        <v>10407</v>
      </c>
      <c r="AP89" s="559">
        <v>97085</v>
      </c>
      <c r="AQ89" s="559">
        <v>37160</v>
      </c>
      <c r="AR89" s="559">
        <v>0</v>
      </c>
      <c r="AS89" s="559">
        <v>18996</v>
      </c>
      <c r="AT89" s="559">
        <v>11325</v>
      </c>
      <c r="AU89" s="559">
        <v>28792</v>
      </c>
      <c r="AV89" s="559">
        <v>106424</v>
      </c>
      <c r="AW89" s="559">
        <v>166621</v>
      </c>
      <c r="AX89" s="559">
        <v>123706</v>
      </c>
      <c r="AY89" s="559">
        <v>42090</v>
      </c>
      <c r="AZ89" s="559">
        <v>0</v>
      </c>
      <c r="BA89" s="559">
        <v>47329</v>
      </c>
      <c r="BB89" s="559">
        <v>0</v>
      </c>
      <c r="BC89" s="559">
        <v>0</v>
      </c>
      <c r="BD89" s="559">
        <v>9012</v>
      </c>
      <c r="BE89" s="559">
        <v>0</v>
      </c>
      <c r="BF89" s="559">
        <v>47329</v>
      </c>
      <c r="BG89" s="131">
        <v>5000</v>
      </c>
      <c r="BH89" s="131">
        <v>0</v>
      </c>
      <c r="BI89" s="559">
        <v>0</v>
      </c>
      <c r="BJ89" s="559">
        <v>6099</v>
      </c>
      <c r="BK89" s="559">
        <v>35754</v>
      </c>
    </row>
    <row r="90" spans="1:63">
      <c r="A90" s="131">
        <v>2054</v>
      </c>
      <c r="B90" s="131" t="s">
        <v>117</v>
      </c>
      <c r="C90" s="559">
        <v>129863.06</v>
      </c>
      <c r="D90" s="559">
        <v>0</v>
      </c>
      <c r="E90" s="559">
        <v>1.28</v>
      </c>
      <c r="F90" s="559">
        <f t="shared" si="1"/>
        <v>129864.34</v>
      </c>
      <c r="G90" s="559">
        <v>994571</v>
      </c>
      <c r="H90" s="559">
        <v>0</v>
      </c>
      <c r="I90" s="559">
        <v>57435</v>
      </c>
      <c r="J90" s="559">
        <v>0</v>
      </c>
      <c r="K90" s="559">
        <v>24000</v>
      </c>
      <c r="L90" s="559">
        <v>2100</v>
      </c>
      <c r="M90" s="559">
        <v>9795</v>
      </c>
      <c r="N90" s="559">
        <v>33906</v>
      </c>
      <c r="O90" s="559">
        <v>34527</v>
      </c>
      <c r="P90" s="559">
        <v>10086</v>
      </c>
      <c r="Q90" s="559">
        <v>2530</v>
      </c>
      <c r="R90" s="559">
        <v>42322</v>
      </c>
      <c r="S90" s="559">
        <v>5403</v>
      </c>
      <c r="T90" s="559">
        <v>0</v>
      </c>
      <c r="U90" s="559">
        <v>0</v>
      </c>
      <c r="V90" s="559">
        <v>0</v>
      </c>
      <c r="W90" s="559">
        <v>34517</v>
      </c>
      <c r="X90" s="559">
        <v>521946</v>
      </c>
      <c r="Y90" s="559">
        <v>9000</v>
      </c>
      <c r="Z90" s="559">
        <v>265171</v>
      </c>
      <c r="AA90" s="559">
        <v>26838</v>
      </c>
      <c r="AB90" s="559">
        <v>38647</v>
      </c>
      <c r="AC90" s="559">
        <v>2371</v>
      </c>
      <c r="AD90" s="559">
        <v>28966</v>
      </c>
      <c r="AE90" s="559">
        <v>5792</v>
      </c>
      <c r="AF90" s="559">
        <v>6491</v>
      </c>
      <c r="AG90" s="559">
        <v>8800</v>
      </c>
      <c r="AH90" s="559">
        <v>1012</v>
      </c>
      <c r="AI90" s="559">
        <v>16004</v>
      </c>
      <c r="AJ90" s="559">
        <v>7868</v>
      </c>
      <c r="AK90" s="559">
        <v>11278</v>
      </c>
      <c r="AL90" s="559">
        <v>2459</v>
      </c>
      <c r="AM90" s="559">
        <v>11089</v>
      </c>
      <c r="AN90" s="559">
        <v>13376</v>
      </c>
      <c r="AO90" s="559">
        <v>4041</v>
      </c>
      <c r="AP90" s="559">
        <v>64968</v>
      </c>
      <c r="AQ90" s="559">
        <v>17453</v>
      </c>
      <c r="AR90" s="559">
        <v>0</v>
      </c>
      <c r="AS90" s="559">
        <v>7297</v>
      </c>
      <c r="AT90" s="559">
        <v>5302</v>
      </c>
      <c r="AU90" s="559">
        <v>11093</v>
      </c>
      <c r="AV90" s="559">
        <v>53767</v>
      </c>
      <c r="AW90" s="559">
        <v>19879</v>
      </c>
      <c r="AX90" s="559">
        <v>44915</v>
      </c>
      <c r="AY90" s="559">
        <v>26136</v>
      </c>
      <c r="AZ90" s="559">
        <v>0</v>
      </c>
      <c r="BA90" s="559">
        <v>0</v>
      </c>
      <c r="BB90" s="559">
        <v>1</v>
      </c>
      <c r="BC90" s="559">
        <v>0</v>
      </c>
      <c r="BD90" s="559">
        <v>6687</v>
      </c>
      <c r="BE90" s="559">
        <v>0</v>
      </c>
      <c r="BF90" s="559">
        <v>0</v>
      </c>
      <c r="BG90" s="131">
        <v>5000</v>
      </c>
      <c r="BH90" s="131">
        <v>0</v>
      </c>
      <c r="BI90" s="559">
        <v>0</v>
      </c>
      <c r="BJ90" s="559">
        <v>0</v>
      </c>
      <c r="BK90" s="559">
        <v>0</v>
      </c>
    </row>
    <row r="91" spans="1:63">
      <c r="A91" s="131">
        <v>5408</v>
      </c>
      <c r="B91" s="71" t="s">
        <v>118</v>
      </c>
      <c r="C91" s="559">
        <v>151503.51</v>
      </c>
      <c r="D91" s="559">
        <v>0</v>
      </c>
      <c r="E91" s="559">
        <v>-0.15</v>
      </c>
      <c r="F91" s="559">
        <f t="shared" si="1"/>
        <v>151503.36000000002</v>
      </c>
      <c r="G91" s="559">
        <v>3610414</v>
      </c>
      <c r="H91" s="559">
        <v>1282404</v>
      </c>
      <c r="I91" s="559">
        <v>128734</v>
      </c>
      <c r="J91" s="559">
        <v>0</v>
      </c>
      <c r="K91" s="559">
        <v>222000</v>
      </c>
      <c r="L91" s="559">
        <v>241297</v>
      </c>
      <c r="M91" s="559">
        <v>14472</v>
      </c>
      <c r="N91" s="559">
        <v>44068</v>
      </c>
      <c r="O91" s="559">
        <v>35508</v>
      </c>
      <c r="P91" s="559">
        <v>0</v>
      </c>
      <c r="Q91" s="559">
        <v>0</v>
      </c>
      <c r="R91" s="559">
        <v>77306</v>
      </c>
      <c r="S91" s="559">
        <v>400</v>
      </c>
      <c r="T91" s="559">
        <v>0</v>
      </c>
      <c r="U91" s="559">
        <v>0</v>
      </c>
      <c r="V91" s="559">
        <v>0</v>
      </c>
      <c r="W91" s="559">
        <v>23500</v>
      </c>
      <c r="X91" s="559">
        <v>2996968</v>
      </c>
      <c r="Y91" s="559">
        <v>18668</v>
      </c>
      <c r="Z91" s="559">
        <v>784475</v>
      </c>
      <c r="AA91" s="559">
        <v>148329</v>
      </c>
      <c r="AB91" s="559">
        <v>380859</v>
      </c>
      <c r="AC91" s="559">
        <v>0</v>
      </c>
      <c r="AD91" s="559">
        <v>8486</v>
      </c>
      <c r="AE91" s="559">
        <v>66997</v>
      </c>
      <c r="AF91" s="559">
        <v>44987</v>
      </c>
      <c r="AG91" s="559">
        <v>1090</v>
      </c>
      <c r="AH91" s="559">
        <v>11098</v>
      </c>
      <c r="AI91" s="559">
        <v>196046</v>
      </c>
      <c r="AJ91" s="559">
        <v>7819</v>
      </c>
      <c r="AK91" s="559">
        <v>85785</v>
      </c>
      <c r="AL91" s="559">
        <v>8720</v>
      </c>
      <c r="AM91" s="559">
        <v>88702</v>
      </c>
      <c r="AN91" s="559">
        <v>0</v>
      </c>
      <c r="AO91" s="559">
        <v>52698</v>
      </c>
      <c r="AP91" s="559">
        <v>222898</v>
      </c>
      <c r="AQ91" s="559">
        <v>96099</v>
      </c>
      <c r="AR91" s="559">
        <v>130901</v>
      </c>
      <c r="AS91" s="559">
        <v>118754</v>
      </c>
      <c r="AT91" s="559">
        <v>46792</v>
      </c>
      <c r="AU91" s="559">
        <v>0</v>
      </c>
      <c r="AV91" s="559">
        <v>99043</v>
      </c>
      <c r="AW91" s="559">
        <v>60775</v>
      </c>
      <c r="AX91" s="559">
        <v>70751</v>
      </c>
      <c r="AY91" s="559">
        <v>34061</v>
      </c>
      <c r="AZ91" s="559">
        <v>0</v>
      </c>
      <c r="BA91" s="559">
        <v>0</v>
      </c>
      <c r="BB91" s="559">
        <v>0</v>
      </c>
      <c r="BC91" s="559">
        <v>0</v>
      </c>
      <c r="BD91" s="559">
        <v>163724</v>
      </c>
      <c r="BE91" s="559">
        <v>0</v>
      </c>
      <c r="BF91" s="559">
        <v>0</v>
      </c>
      <c r="BG91" s="131">
        <v>5000</v>
      </c>
      <c r="BH91" s="131">
        <v>0</v>
      </c>
      <c r="BI91" s="559">
        <v>58025</v>
      </c>
      <c r="BJ91" s="559">
        <v>0</v>
      </c>
      <c r="BK91" s="559">
        <v>105698</v>
      </c>
    </row>
    <row r="92" spans="1:63">
      <c r="A92" s="131">
        <v>4003</v>
      </c>
      <c r="B92" s="131" t="s">
        <v>120</v>
      </c>
      <c r="C92" s="559">
        <v>241969.83</v>
      </c>
      <c r="D92" s="559">
        <v>0</v>
      </c>
      <c r="E92" s="559">
        <v>8029.73</v>
      </c>
      <c r="F92" s="559">
        <f t="shared" si="1"/>
        <v>249999.56</v>
      </c>
      <c r="G92" s="559">
        <v>4764278</v>
      </c>
      <c r="H92" s="559">
        <v>0</v>
      </c>
      <c r="I92" s="559">
        <v>212485</v>
      </c>
      <c r="J92" s="559">
        <v>0</v>
      </c>
      <c r="K92" s="559">
        <v>389816</v>
      </c>
      <c r="L92" s="559">
        <v>8586</v>
      </c>
      <c r="M92" s="559">
        <v>0</v>
      </c>
      <c r="N92" s="559">
        <v>44422</v>
      </c>
      <c r="O92" s="559">
        <v>0</v>
      </c>
      <c r="P92" s="559">
        <v>0</v>
      </c>
      <c r="Q92" s="559">
        <v>0</v>
      </c>
      <c r="R92" s="559">
        <v>14338</v>
      </c>
      <c r="S92" s="559">
        <v>0</v>
      </c>
      <c r="T92" s="559">
        <v>0</v>
      </c>
      <c r="U92" s="559">
        <v>0</v>
      </c>
      <c r="V92" s="559">
        <v>0</v>
      </c>
      <c r="W92" s="559">
        <v>29273</v>
      </c>
      <c r="X92" s="559">
        <v>2640036</v>
      </c>
      <c r="Y92" s="559">
        <v>0</v>
      </c>
      <c r="Z92" s="559">
        <v>773762</v>
      </c>
      <c r="AA92" s="559">
        <v>99912</v>
      </c>
      <c r="AB92" s="559">
        <v>402744</v>
      </c>
      <c r="AC92" s="559">
        <v>0</v>
      </c>
      <c r="AD92" s="559">
        <v>72578</v>
      </c>
      <c r="AE92" s="559">
        <v>91701</v>
      </c>
      <c r="AF92" s="559">
        <v>20893</v>
      </c>
      <c r="AG92" s="559">
        <v>1616</v>
      </c>
      <c r="AH92" s="559">
        <v>4583</v>
      </c>
      <c r="AI92" s="559">
        <v>94418</v>
      </c>
      <c r="AJ92" s="559">
        <v>8383</v>
      </c>
      <c r="AK92" s="559">
        <v>55304</v>
      </c>
      <c r="AL92" s="559">
        <v>5314</v>
      </c>
      <c r="AM92" s="559">
        <v>65711</v>
      </c>
      <c r="AN92" s="559">
        <v>55722</v>
      </c>
      <c r="AO92" s="559">
        <v>36429</v>
      </c>
      <c r="AP92" s="559">
        <v>155850</v>
      </c>
      <c r="AQ92" s="559">
        <v>77304</v>
      </c>
      <c r="AR92" s="559">
        <v>10708</v>
      </c>
      <c r="AS92" s="559">
        <v>61056</v>
      </c>
      <c r="AT92" s="559">
        <v>22679</v>
      </c>
      <c r="AU92" s="559">
        <v>0</v>
      </c>
      <c r="AV92" s="559">
        <v>65110</v>
      </c>
      <c r="AW92" s="559">
        <v>211865</v>
      </c>
      <c r="AX92" s="559">
        <v>64627</v>
      </c>
      <c r="AY92" s="559">
        <v>13320</v>
      </c>
      <c r="AZ92" s="559">
        <v>0</v>
      </c>
      <c r="BA92" s="559">
        <v>246000</v>
      </c>
      <c r="BB92" s="559">
        <v>0</v>
      </c>
      <c r="BC92" s="559">
        <v>0</v>
      </c>
      <c r="BD92" s="559">
        <v>17364</v>
      </c>
      <c r="BE92" s="559">
        <v>0</v>
      </c>
      <c r="BF92" s="559">
        <v>246000</v>
      </c>
      <c r="BG92" s="131">
        <v>5000</v>
      </c>
      <c r="BH92" s="131">
        <v>0</v>
      </c>
      <c r="BI92" s="559">
        <v>228573</v>
      </c>
      <c r="BJ92" s="559">
        <v>16814</v>
      </c>
      <c r="BK92" s="559">
        <v>23551</v>
      </c>
    </row>
    <row r="93" spans="1:63">
      <c r="A93" s="131">
        <v>5407</v>
      </c>
      <c r="B93" s="131" t="s">
        <v>125</v>
      </c>
      <c r="C93" s="559">
        <v>192677.07</v>
      </c>
      <c r="D93" s="559">
        <v>0</v>
      </c>
      <c r="E93" s="559">
        <v>0</v>
      </c>
      <c r="F93" s="559">
        <f t="shared" si="1"/>
        <v>192677.07</v>
      </c>
      <c r="G93" s="559">
        <v>4723505</v>
      </c>
      <c r="H93" s="559">
        <v>1175727</v>
      </c>
      <c r="I93" s="559">
        <v>199462</v>
      </c>
      <c r="J93" s="559">
        <v>0</v>
      </c>
      <c r="K93" s="559">
        <v>229706</v>
      </c>
      <c r="L93" s="559">
        <v>0</v>
      </c>
      <c r="M93" s="559">
        <v>0</v>
      </c>
      <c r="N93" s="559">
        <v>3575</v>
      </c>
      <c r="O93" s="559">
        <v>0</v>
      </c>
      <c r="P93" s="559">
        <v>0</v>
      </c>
      <c r="Q93" s="559">
        <v>0</v>
      </c>
      <c r="R93" s="559">
        <v>80440</v>
      </c>
      <c r="S93" s="559">
        <v>223858</v>
      </c>
      <c r="T93" s="559">
        <v>0</v>
      </c>
      <c r="U93" s="559">
        <v>0</v>
      </c>
      <c r="V93" s="559">
        <v>0</v>
      </c>
      <c r="W93" s="559">
        <v>8500</v>
      </c>
      <c r="X93" s="559">
        <v>3894397</v>
      </c>
      <c r="Y93" s="559">
        <v>0</v>
      </c>
      <c r="Z93" s="559">
        <v>772723</v>
      </c>
      <c r="AA93" s="559">
        <v>115597</v>
      </c>
      <c r="AB93" s="559">
        <v>388047</v>
      </c>
      <c r="AC93" s="559">
        <v>0</v>
      </c>
      <c r="AD93" s="559">
        <v>20423</v>
      </c>
      <c r="AE93" s="559">
        <v>44939</v>
      </c>
      <c r="AF93" s="559">
        <v>10367</v>
      </c>
      <c r="AG93" s="559">
        <v>1813</v>
      </c>
      <c r="AH93" s="559">
        <v>5373</v>
      </c>
      <c r="AI93" s="559">
        <v>67542</v>
      </c>
      <c r="AJ93" s="559">
        <v>13104</v>
      </c>
      <c r="AK93" s="559">
        <v>118034</v>
      </c>
      <c r="AL93" s="559">
        <v>10470</v>
      </c>
      <c r="AM93" s="559">
        <v>172415</v>
      </c>
      <c r="AN93" s="559">
        <v>0</v>
      </c>
      <c r="AO93" s="559">
        <v>29317</v>
      </c>
      <c r="AP93" s="559">
        <v>166356</v>
      </c>
      <c r="AQ93" s="559">
        <v>50830</v>
      </c>
      <c r="AR93" s="559">
        <v>107960</v>
      </c>
      <c r="AS93" s="559">
        <v>277964</v>
      </c>
      <c r="AT93" s="559">
        <v>48165</v>
      </c>
      <c r="AU93" s="559">
        <v>0</v>
      </c>
      <c r="AV93" s="559">
        <v>39308</v>
      </c>
      <c r="AW93" s="559">
        <v>238764</v>
      </c>
      <c r="AX93" s="559">
        <v>185116</v>
      </c>
      <c r="AY93" s="559">
        <v>58884</v>
      </c>
      <c r="AZ93" s="559">
        <v>0</v>
      </c>
      <c r="BA93" s="559">
        <v>0</v>
      </c>
      <c r="BB93" s="559">
        <v>0</v>
      </c>
      <c r="BC93" s="559">
        <v>0</v>
      </c>
      <c r="BD93" s="559">
        <v>0</v>
      </c>
      <c r="BE93" s="559">
        <v>0</v>
      </c>
      <c r="BF93" s="559">
        <v>0</v>
      </c>
      <c r="BG93" s="131">
        <v>5000</v>
      </c>
      <c r="BH93" s="131">
        <v>0</v>
      </c>
      <c r="BI93" s="559">
        <v>0</v>
      </c>
      <c r="BJ93" s="559">
        <v>0</v>
      </c>
      <c r="BK93" s="559">
        <v>0</v>
      </c>
    </row>
    <row r="94" spans="1:63">
      <c r="A94" s="131">
        <v>5403</v>
      </c>
      <c r="B94" s="131" t="s">
        <v>126</v>
      </c>
      <c r="C94" s="559">
        <v>336975.69</v>
      </c>
      <c r="D94" s="559">
        <v>0</v>
      </c>
      <c r="E94" s="559">
        <v>0</v>
      </c>
      <c r="F94" s="559">
        <f t="shared" si="1"/>
        <v>336975.69</v>
      </c>
      <c r="G94" s="559">
        <v>1782428</v>
      </c>
      <c r="H94" s="559">
        <v>371644</v>
      </c>
      <c r="I94" s="559">
        <v>77238</v>
      </c>
      <c r="J94" s="559">
        <v>0</v>
      </c>
      <c r="K94" s="559">
        <v>118460</v>
      </c>
      <c r="L94" s="559">
        <v>0</v>
      </c>
      <c r="M94" s="559">
        <v>1000</v>
      </c>
      <c r="N94" s="559">
        <v>61486</v>
      </c>
      <c r="O94" s="559">
        <v>0</v>
      </c>
      <c r="P94" s="559">
        <v>0</v>
      </c>
      <c r="Q94" s="559">
        <v>0</v>
      </c>
      <c r="R94" s="559">
        <v>6262</v>
      </c>
      <c r="S94" s="559">
        <v>15476</v>
      </c>
      <c r="T94" s="559">
        <v>0</v>
      </c>
      <c r="U94" s="559">
        <v>0</v>
      </c>
      <c r="V94" s="559">
        <v>0</v>
      </c>
      <c r="W94" s="559">
        <v>0</v>
      </c>
      <c r="X94" s="559">
        <v>961766</v>
      </c>
      <c r="Y94" s="559">
        <v>300864</v>
      </c>
      <c r="Z94" s="559">
        <v>190176</v>
      </c>
      <c r="AA94" s="559">
        <v>68984</v>
      </c>
      <c r="AB94" s="559">
        <v>154862</v>
      </c>
      <c r="AC94" s="559">
        <v>0</v>
      </c>
      <c r="AD94" s="559">
        <v>22676</v>
      </c>
      <c r="AE94" s="559">
        <v>4736</v>
      </c>
      <c r="AF94" s="559">
        <v>9478</v>
      </c>
      <c r="AG94" s="559">
        <v>542</v>
      </c>
      <c r="AH94" s="559">
        <v>1995</v>
      </c>
      <c r="AI94" s="559">
        <v>15234</v>
      </c>
      <c r="AJ94" s="559">
        <v>5979</v>
      </c>
      <c r="AK94" s="559">
        <v>57992</v>
      </c>
      <c r="AL94" s="559">
        <v>10998</v>
      </c>
      <c r="AM94" s="559">
        <v>41735</v>
      </c>
      <c r="AN94" s="559">
        <v>0</v>
      </c>
      <c r="AO94" s="559">
        <v>12167</v>
      </c>
      <c r="AP94" s="559">
        <v>75904</v>
      </c>
      <c r="AQ94" s="559">
        <v>60807</v>
      </c>
      <c r="AR94" s="559">
        <v>45748</v>
      </c>
      <c r="AS94" s="559">
        <v>13289</v>
      </c>
      <c r="AT94" s="559">
        <v>21503</v>
      </c>
      <c r="AU94" s="559">
        <v>9</v>
      </c>
      <c r="AV94" s="559">
        <v>18423</v>
      </c>
      <c r="AW94" s="559">
        <v>174636</v>
      </c>
      <c r="AX94" s="559">
        <v>60335</v>
      </c>
      <c r="AY94" s="559">
        <v>26696</v>
      </c>
      <c r="AZ94" s="559">
        <v>0</v>
      </c>
      <c r="BA94" s="559">
        <v>0</v>
      </c>
      <c r="BB94" s="559">
        <v>-1</v>
      </c>
      <c r="BC94" s="559">
        <v>0</v>
      </c>
      <c r="BD94" s="559">
        <v>0</v>
      </c>
      <c r="BE94" s="559">
        <v>0</v>
      </c>
      <c r="BF94" s="559">
        <v>0</v>
      </c>
      <c r="BG94" s="131">
        <v>5000</v>
      </c>
      <c r="BH94" s="131">
        <v>0</v>
      </c>
      <c r="BI94" s="559">
        <v>0</v>
      </c>
      <c r="BJ94" s="559">
        <v>0</v>
      </c>
      <c r="BK94" s="559">
        <v>0</v>
      </c>
    </row>
    <row r="95" spans="1:63">
      <c r="A95" s="131">
        <v>5405</v>
      </c>
      <c r="B95" s="131" t="s">
        <v>119</v>
      </c>
      <c r="C95" s="559">
        <v>799374.03</v>
      </c>
      <c r="D95" s="559">
        <v>-11794</v>
      </c>
      <c r="E95" s="559">
        <v>0</v>
      </c>
      <c r="F95" s="559">
        <f t="shared" si="1"/>
        <v>787580.03</v>
      </c>
      <c r="G95" s="559">
        <v>4359896</v>
      </c>
      <c r="H95" s="559">
        <v>1504074</v>
      </c>
      <c r="I95" s="559">
        <v>255888</v>
      </c>
      <c r="J95" s="559">
        <v>0</v>
      </c>
      <c r="K95" s="559">
        <v>122954</v>
      </c>
      <c r="L95" s="559">
        <v>53977</v>
      </c>
      <c r="M95" s="559">
        <v>16199</v>
      </c>
      <c r="N95" s="559">
        <v>111326</v>
      </c>
      <c r="O95" s="559">
        <v>272096</v>
      </c>
      <c r="P95" s="559">
        <v>0</v>
      </c>
      <c r="Q95" s="559">
        <v>0</v>
      </c>
      <c r="R95" s="559">
        <v>112505</v>
      </c>
      <c r="S95" s="559">
        <v>0</v>
      </c>
      <c r="T95" s="559">
        <v>0</v>
      </c>
      <c r="U95" s="559">
        <v>-2357</v>
      </c>
      <c r="V95" s="559">
        <v>0</v>
      </c>
      <c r="W95" s="559">
        <v>5000</v>
      </c>
      <c r="X95" s="559">
        <v>3923967</v>
      </c>
      <c r="Y95" s="559">
        <v>45231</v>
      </c>
      <c r="Z95" s="559">
        <v>566949</v>
      </c>
      <c r="AA95" s="559">
        <v>92422</v>
      </c>
      <c r="AB95" s="559">
        <v>391874</v>
      </c>
      <c r="AC95" s="559">
        <v>0</v>
      </c>
      <c r="AD95" s="559">
        <v>5927</v>
      </c>
      <c r="AE95" s="559">
        <v>55557</v>
      </c>
      <c r="AF95" s="559">
        <v>36555</v>
      </c>
      <c r="AG95" s="559">
        <v>0</v>
      </c>
      <c r="AH95" s="559">
        <v>2500</v>
      </c>
      <c r="AI95" s="559">
        <v>218619</v>
      </c>
      <c r="AJ95" s="559">
        <v>50116</v>
      </c>
      <c r="AK95" s="559">
        <v>89777</v>
      </c>
      <c r="AL95" s="559">
        <v>5691</v>
      </c>
      <c r="AM95" s="559">
        <v>67961</v>
      </c>
      <c r="AN95" s="559">
        <v>0</v>
      </c>
      <c r="AO95" s="559">
        <v>26406</v>
      </c>
      <c r="AP95" s="559">
        <v>294257</v>
      </c>
      <c r="AQ95" s="559">
        <v>100050</v>
      </c>
      <c r="AR95" s="559">
        <v>114643</v>
      </c>
      <c r="AS95" s="559">
        <v>100695</v>
      </c>
      <c r="AT95" s="559">
        <v>41690</v>
      </c>
      <c r="AU95" s="559">
        <v>908</v>
      </c>
      <c r="AV95" s="559">
        <v>269699</v>
      </c>
      <c r="AW95" s="559">
        <v>2115</v>
      </c>
      <c r="AX95" s="559">
        <v>62829</v>
      </c>
      <c r="AY95" s="559">
        <v>29563</v>
      </c>
      <c r="AZ95" s="559">
        <v>0</v>
      </c>
      <c r="BA95" s="559">
        <v>283443</v>
      </c>
      <c r="BB95" s="559">
        <v>4813</v>
      </c>
      <c r="BC95" s="559">
        <v>15</v>
      </c>
      <c r="BD95" s="559">
        <v>0</v>
      </c>
      <c r="BE95" s="559">
        <v>0</v>
      </c>
      <c r="BF95" s="559">
        <v>283443</v>
      </c>
      <c r="BG95" s="131">
        <v>5000</v>
      </c>
      <c r="BH95" s="131">
        <v>0</v>
      </c>
      <c r="BI95" s="559">
        <v>200000</v>
      </c>
      <c r="BJ95" s="559">
        <v>0</v>
      </c>
      <c r="BK95" s="559">
        <v>24776</v>
      </c>
    </row>
    <row r="96" spans="1:63">
      <c r="A96" s="131">
        <v>5404</v>
      </c>
      <c r="B96" s="131" t="s">
        <v>127</v>
      </c>
      <c r="C96" s="559">
        <v>-6422.04</v>
      </c>
      <c r="D96" s="559">
        <v>0</v>
      </c>
      <c r="E96" s="559">
        <v>4442.66</v>
      </c>
      <c r="F96" s="559">
        <f t="shared" si="1"/>
        <v>-1979.38</v>
      </c>
      <c r="G96" s="559">
        <v>2762221</v>
      </c>
      <c r="H96" s="559">
        <v>1346493</v>
      </c>
      <c r="I96" s="559">
        <v>0</v>
      </c>
      <c r="J96" s="559">
        <v>0</v>
      </c>
      <c r="K96" s="559">
        <v>35531</v>
      </c>
      <c r="L96" s="559">
        <v>5745</v>
      </c>
      <c r="M96" s="559">
        <v>915</v>
      </c>
      <c r="N96" s="559">
        <v>34505</v>
      </c>
      <c r="O96" s="559">
        <v>102932</v>
      </c>
      <c r="P96" s="559">
        <v>0</v>
      </c>
      <c r="Q96" s="559">
        <v>0</v>
      </c>
      <c r="R96" s="559">
        <v>14434</v>
      </c>
      <c r="S96" s="559">
        <v>109810</v>
      </c>
      <c r="T96" s="559">
        <v>0</v>
      </c>
      <c r="U96" s="559">
        <v>0</v>
      </c>
      <c r="V96" s="559">
        <v>0</v>
      </c>
      <c r="W96" s="559">
        <v>0</v>
      </c>
      <c r="X96" s="559">
        <v>2765806</v>
      </c>
      <c r="Y96" s="559">
        <v>33985</v>
      </c>
      <c r="Z96" s="559">
        <v>162951</v>
      </c>
      <c r="AA96" s="559">
        <v>138254</v>
      </c>
      <c r="AB96" s="559">
        <v>408493</v>
      </c>
      <c r="AC96" s="559">
        <v>61557</v>
      </c>
      <c r="AD96" s="559">
        <v>10424</v>
      </c>
      <c r="AE96" s="559">
        <v>73914</v>
      </c>
      <c r="AF96" s="559">
        <v>12503</v>
      </c>
      <c r="AG96" s="559">
        <v>-4440</v>
      </c>
      <c r="AH96" s="559">
        <v>4508</v>
      </c>
      <c r="AI96" s="559">
        <v>41450</v>
      </c>
      <c r="AJ96" s="559">
        <v>11597</v>
      </c>
      <c r="AK96" s="559">
        <v>12418</v>
      </c>
      <c r="AL96" s="559">
        <v>4851</v>
      </c>
      <c r="AM96" s="559">
        <v>54214</v>
      </c>
      <c r="AN96" s="559">
        <v>0</v>
      </c>
      <c r="AO96" s="559">
        <v>40928</v>
      </c>
      <c r="AP96" s="559">
        <v>161452</v>
      </c>
      <c r="AQ96" s="559">
        <v>39094</v>
      </c>
      <c r="AR96" s="559">
        <v>99468</v>
      </c>
      <c r="AS96" s="559">
        <v>15718</v>
      </c>
      <c r="AT96" s="559">
        <v>28913</v>
      </c>
      <c r="AU96" s="559">
        <v>2626</v>
      </c>
      <c r="AV96" s="559">
        <v>46382</v>
      </c>
      <c r="AW96" s="559">
        <v>24006</v>
      </c>
      <c r="AX96" s="559">
        <v>20682</v>
      </c>
      <c r="AY96" s="559">
        <v>86339</v>
      </c>
      <c r="AZ96" s="559">
        <v>0</v>
      </c>
      <c r="BA96" s="559">
        <v>0</v>
      </c>
      <c r="BB96" s="559">
        <v>0</v>
      </c>
      <c r="BC96" s="559">
        <v>0</v>
      </c>
      <c r="BD96" s="559">
        <v>0</v>
      </c>
      <c r="BE96" s="559">
        <v>0</v>
      </c>
      <c r="BF96" s="559">
        <v>0</v>
      </c>
      <c r="BG96" s="131">
        <v>5000</v>
      </c>
      <c r="BH96" s="131">
        <v>0</v>
      </c>
      <c r="BI96" s="559">
        <v>0</v>
      </c>
      <c r="BJ96" s="559">
        <v>0</v>
      </c>
      <c r="BK96" s="559">
        <v>0</v>
      </c>
    </row>
    <row r="97" spans="1:63">
      <c r="A97" s="131">
        <v>5427</v>
      </c>
      <c r="B97" s="131" t="s">
        <v>134</v>
      </c>
      <c r="C97" s="559">
        <v>172335.48</v>
      </c>
      <c r="D97" s="559">
        <v>0</v>
      </c>
      <c r="E97" s="559">
        <v>0</v>
      </c>
      <c r="F97" s="559">
        <f t="shared" si="1"/>
        <v>172335.48</v>
      </c>
      <c r="G97" s="559">
        <v>5061307</v>
      </c>
      <c r="H97" s="559">
        <v>393632</v>
      </c>
      <c r="I97" s="559">
        <v>886948</v>
      </c>
      <c r="J97" s="559">
        <v>0</v>
      </c>
      <c r="K97" s="559">
        <v>71089</v>
      </c>
      <c r="L97" s="559">
        <v>130221</v>
      </c>
      <c r="M97" s="559">
        <v>-1521</v>
      </c>
      <c r="N97" s="559">
        <v>2365</v>
      </c>
      <c r="O97" s="559">
        <v>31096</v>
      </c>
      <c r="P97" s="559">
        <v>30438</v>
      </c>
      <c r="Q97" s="559">
        <v>1287</v>
      </c>
      <c r="R97" s="559">
        <v>642005</v>
      </c>
      <c r="S97" s="559">
        <v>767421</v>
      </c>
      <c r="T97" s="559">
        <v>0</v>
      </c>
      <c r="U97" s="559">
        <v>0</v>
      </c>
      <c r="V97" s="559">
        <v>0</v>
      </c>
      <c r="W97" s="559">
        <v>0</v>
      </c>
      <c r="X97" s="559">
        <v>3685216</v>
      </c>
      <c r="Y97" s="559">
        <v>2902</v>
      </c>
      <c r="Z97" s="559">
        <v>1144451</v>
      </c>
      <c r="AA97" s="559">
        <v>125192</v>
      </c>
      <c r="AB97" s="559">
        <v>438326</v>
      </c>
      <c r="AC97" s="559">
        <v>0</v>
      </c>
      <c r="AD97" s="559">
        <v>90512</v>
      </c>
      <c r="AE97" s="559">
        <v>131070</v>
      </c>
      <c r="AF97" s="559">
        <v>37351</v>
      </c>
      <c r="AG97" s="559">
        <v>41668</v>
      </c>
      <c r="AH97" s="559">
        <v>0</v>
      </c>
      <c r="AI97" s="559">
        <v>168653</v>
      </c>
      <c r="AJ97" s="559">
        <v>27484</v>
      </c>
      <c r="AK97" s="559">
        <v>101795</v>
      </c>
      <c r="AL97" s="559">
        <v>7701</v>
      </c>
      <c r="AM97" s="559">
        <v>128345</v>
      </c>
      <c r="AN97" s="559">
        <v>0</v>
      </c>
      <c r="AO97" s="559">
        <v>99302</v>
      </c>
      <c r="AP97" s="559">
        <v>568471</v>
      </c>
      <c r="AQ97" s="559">
        <v>112519</v>
      </c>
      <c r="AR97" s="559">
        <v>86373</v>
      </c>
      <c r="AS97" s="559">
        <v>72913</v>
      </c>
      <c r="AT97" s="559">
        <v>51570</v>
      </c>
      <c r="AU97" s="559">
        <v>0</v>
      </c>
      <c r="AV97" s="559">
        <v>25951</v>
      </c>
      <c r="AW97" s="559">
        <v>160275</v>
      </c>
      <c r="AX97" s="559">
        <v>319035</v>
      </c>
      <c r="AY97" s="559">
        <v>366413</v>
      </c>
      <c r="AZ97" s="559">
        <v>0</v>
      </c>
      <c r="BA97" s="559">
        <v>0</v>
      </c>
      <c r="BB97" s="559">
        <v>-1</v>
      </c>
      <c r="BC97" s="559">
        <v>0</v>
      </c>
      <c r="BD97" s="559">
        <v>0</v>
      </c>
      <c r="BE97" s="559">
        <v>0</v>
      </c>
      <c r="BF97" s="559">
        <v>0</v>
      </c>
      <c r="BG97" s="131">
        <v>5000</v>
      </c>
      <c r="BH97" s="131">
        <v>0</v>
      </c>
      <c r="BI97" s="559">
        <v>0</v>
      </c>
      <c r="BJ97" s="559">
        <v>0</v>
      </c>
      <c r="BK97" s="559">
        <v>0</v>
      </c>
    </row>
    <row r="98" spans="1:63">
      <c r="A98" s="131">
        <v>7010</v>
      </c>
      <c r="B98" s="131" t="s">
        <v>129</v>
      </c>
      <c r="C98" s="559">
        <v>58904.790000000008</v>
      </c>
      <c r="D98" s="559">
        <v>179077</v>
      </c>
      <c r="E98" s="559">
        <v>8200.83</v>
      </c>
      <c r="F98" s="559">
        <f t="shared" si="1"/>
        <v>246182.62</v>
      </c>
      <c r="G98" s="559">
        <v>678561</v>
      </c>
      <c r="H98" s="559">
        <v>140513</v>
      </c>
      <c r="I98" s="559">
        <v>1510563</v>
      </c>
      <c r="J98" s="559">
        <v>0</v>
      </c>
      <c r="K98" s="559">
        <v>26180</v>
      </c>
      <c r="L98" s="559">
        <v>37555</v>
      </c>
      <c r="M98" s="559">
        <v>12626</v>
      </c>
      <c r="N98" s="559">
        <v>12991</v>
      </c>
      <c r="O98" s="559">
        <v>13460</v>
      </c>
      <c r="P98" s="559">
        <v>10143</v>
      </c>
      <c r="Q98" s="559">
        <v>7913</v>
      </c>
      <c r="R98" s="559">
        <v>0</v>
      </c>
      <c r="S98" s="559">
        <v>673</v>
      </c>
      <c r="T98" s="559">
        <v>0</v>
      </c>
      <c r="U98" s="559">
        <v>170000</v>
      </c>
      <c r="V98" s="559">
        <v>42843</v>
      </c>
      <c r="W98" s="559">
        <v>4500</v>
      </c>
      <c r="X98" s="559">
        <v>992514</v>
      </c>
      <c r="Y98" s="559">
        <v>0</v>
      </c>
      <c r="Z98" s="559">
        <v>965900</v>
      </c>
      <c r="AA98" s="559">
        <v>64404</v>
      </c>
      <c r="AB98" s="559">
        <v>28159</v>
      </c>
      <c r="AC98" s="559">
        <v>0</v>
      </c>
      <c r="AD98" s="559">
        <v>61707</v>
      </c>
      <c r="AE98" s="559">
        <v>24563</v>
      </c>
      <c r="AF98" s="559">
        <v>14787</v>
      </c>
      <c r="AG98" s="559">
        <v>26089</v>
      </c>
      <c r="AH98" s="559">
        <v>281</v>
      </c>
      <c r="AI98" s="559">
        <v>68865</v>
      </c>
      <c r="AJ98" s="559">
        <v>2825</v>
      </c>
      <c r="AK98" s="559">
        <v>2895</v>
      </c>
      <c r="AL98" s="559">
        <v>6439</v>
      </c>
      <c r="AM98" s="559">
        <v>20104</v>
      </c>
      <c r="AN98" s="559">
        <v>0</v>
      </c>
      <c r="AO98" s="559">
        <v>14292</v>
      </c>
      <c r="AP98" s="559">
        <v>73754</v>
      </c>
      <c r="AQ98" s="559">
        <v>18858</v>
      </c>
      <c r="AR98" s="559">
        <v>976</v>
      </c>
      <c r="AS98" s="559">
        <v>9602</v>
      </c>
      <c r="AT98" s="559">
        <v>7548</v>
      </c>
      <c r="AU98" s="559">
        <v>0</v>
      </c>
      <c r="AV98" s="559">
        <v>21046</v>
      </c>
      <c r="AW98" s="559">
        <v>0</v>
      </c>
      <c r="AX98" s="559">
        <v>6492</v>
      </c>
      <c r="AY98" s="559">
        <v>26497</v>
      </c>
      <c r="AZ98" s="559">
        <v>0</v>
      </c>
      <c r="BA98" s="559">
        <v>10230</v>
      </c>
      <c r="BB98" s="559">
        <v>158421</v>
      </c>
      <c r="BC98" s="559">
        <v>26381</v>
      </c>
      <c r="BD98" s="559">
        <v>6193</v>
      </c>
      <c r="BE98" s="559">
        <v>287</v>
      </c>
      <c r="BF98" s="559">
        <v>10230</v>
      </c>
      <c r="BG98" s="131">
        <v>5000</v>
      </c>
      <c r="BH98" s="131">
        <v>0</v>
      </c>
      <c r="BI98" s="559">
        <v>-1107</v>
      </c>
      <c r="BJ98" s="559">
        <v>16397</v>
      </c>
      <c r="BK98" s="559">
        <v>9621</v>
      </c>
    </row>
    <row r="99" spans="1:63">
      <c r="A99" s="131">
        <v>7005</v>
      </c>
      <c r="B99" s="131" t="s">
        <v>130</v>
      </c>
      <c r="C99" s="559">
        <v>53934.51</v>
      </c>
      <c r="D99" s="559">
        <v>0</v>
      </c>
      <c r="E99" s="559">
        <v>13836.09</v>
      </c>
      <c r="F99" s="559">
        <f t="shared" si="1"/>
        <v>67770.600000000006</v>
      </c>
      <c r="G99" s="559">
        <v>953754</v>
      </c>
      <c r="H99" s="559">
        <v>0</v>
      </c>
      <c r="I99" s="559">
        <v>899696</v>
      </c>
      <c r="J99" s="559">
        <v>0</v>
      </c>
      <c r="K99" s="559">
        <v>62181</v>
      </c>
      <c r="L99" s="559">
        <v>36430</v>
      </c>
      <c r="M99" s="559">
        <v>1014</v>
      </c>
      <c r="N99" s="559">
        <v>37569</v>
      </c>
      <c r="O99" s="559">
        <v>9508</v>
      </c>
      <c r="P99" s="559">
        <v>3881</v>
      </c>
      <c r="Q99" s="559">
        <v>4099</v>
      </c>
      <c r="R99" s="559">
        <v>0</v>
      </c>
      <c r="S99" s="559">
        <v>205</v>
      </c>
      <c r="T99" s="559">
        <v>0</v>
      </c>
      <c r="U99" s="559">
        <v>0</v>
      </c>
      <c r="V99" s="559">
        <v>821</v>
      </c>
      <c r="W99" s="559">
        <v>14592</v>
      </c>
      <c r="X99" s="559">
        <v>774589</v>
      </c>
      <c r="Y99" s="559">
        <v>0</v>
      </c>
      <c r="Z99" s="559">
        <v>718445</v>
      </c>
      <c r="AA99" s="559">
        <v>18822</v>
      </c>
      <c r="AB99" s="559">
        <v>53817</v>
      </c>
      <c r="AC99" s="559">
        <v>0</v>
      </c>
      <c r="AD99" s="559">
        <v>11347</v>
      </c>
      <c r="AE99" s="559">
        <v>17826</v>
      </c>
      <c r="AF99" s="559">
        <v>28759</v>
      </c>
      <c r="AG99" s="559">
        <v>18241</v>
      </c>
      <c r="AH99" s="559">
        <v>-57</v>
      </c>
      <c r="AI99" s="559">
        <v>45622</v>
      </c>
      <c r="AJ99" s="559">
        <v>3432</v>
      </c>
      <c r="AK99" s="559">
        <v>17935</v>
      </c>
      <c r="AL99" s="559">
        <v>5651</v>
      </c>
      <c r="AM99" s="559">
        <v>39175</v>
      </c>
      <c r="AN99" s="559">
        <v>0</v>
      </c>
      <c r="AO99" s="559">
        <v>5155</v>
      </c>
      <c r="AP99" s="559">
        <v>36750</v>
      </c>
      <c r="AQ99" s="559">
        <v>14444</v>
      </c>
      <c r="AR99" s="559">
        <v>0</v>
      </c>
      <c r="AS99" s="559">
        <v>4988</v>
      </c>
      <c r="AT99" s="559">
        <v>4923</v>
      </c>
      <c r="AU99" s="559">
        <v>23</v>
      </c>
      <c r="AV99" s="559">
        <v>24438</v>
      </c>
      <c r="AW99" s="559">
        <v>13495</v>
      </c>
      <c r="AX99" s="559">
        <v>96889</v>
      </c>
      <c r="AY99" s="559">
        <v>35305</v>
      </c>
      <c r="AZ99" s="559">
        <v>0</v>
      </c>
      <c r="BA99" s="559">
        <v>0</v>
      </c>
      <c r="BB99" s="559">
        <v>-1</v>
      </c>
      <c r="BC99" s="559">
        <v>0</v>
      </c>
      <c r="BD99" s="559">
        <v>7037</v>
      </c>
      <c r="BE99" s="559">
        <v>0</v>
      </c>
      <c r="BF99" s="559">
        <v>0</v>
      </c>
      <c r="BG99" s="131">
        <v>5000</v>
      </c>
      <c r="BH99" s="131">
        <v>0</v>
      </c>
      <c r="BI99" s="559">
        <v>6605</v>
      </c>
      <c r="BJ99" s="559">
        <v>0</v>
      </c>
      <c r="BK99" s="559">
        <v>0</v>
      </c>
    </row>
    <row r="100" spans="1:63">
      <c r="A100" s="131">
        <v>7000</v>
      </c>
      <c r="B100" s="131" t="s">
        <v>131</v>
      </c>
      <c r="C100" s="559">
        <v>384016.75</v>
      </c>
      <c r="D100" s="559">
        <v>0</v>
      </c>
      <c r="E100" s="559">
        <v>-0.24</v>
      </c>
      <c r="F100" s="559">
        <f t="shared" si="1"/>
        <v>384016.51</v>
      </c>
      <c r="G100" s="559">
        <v>1218014</v>
      </c>
      <c r="H100" s="559">
        <v>516986</v>
      </c>
      <c r="I100" s="559">
        <v>1521834</v>
      </c>
      <c r="J100" s="559">
        <v>0</v>
      </c>
      <c r="K100" s="559">
        <v>51425</v>
      </c>
      <c r="L100" s="559">
        <v>63384</v>
      </c>
      <c r="M100" s="559">
        <v>277538</v>
      </c>
      <c r="N100" s="559">
        <v>81104</v>
      </c>
      <c r="O100" s="559">
        <v>25364</v>
      </c>
      <c r="P100" s="559">
        <v>0</v>
      </c>
      <c r="Q100" s="559">
        <v>2271</v>
      </c>
      <c r="R100" s="559">
        <v>22882</v>
      </c>
      <c r="S100" s="559">
        <v>21151</v>
      </c>
      <c r="T100" s="559">
        <v>0</v>
      </c>
      <c r="U100" s="559">
        <v>0</v>
      </c>
      <c r="V100" s="559">
        <v>0</v>
      </c>
      <c r="W100" s="559">
        <v>6000</v>
      </c>
      <c r="X100" s="559">
        <v>1838503</v>
      </c>
      <c r="Y100" s="559">
        <v>0</v>
      </c>
      <c r="Z100" s="559">
        <v>951032</v>
      </c>
      <c r="AA100" s="559">
        <v>56573</v>
      </c>
      <c r="AB100" s="559">
        <v>133279</v>
      </c>
      <c r="AC100" s="559">
        <v>7258</v>
      </c>
      <c r="AD100" s="559">
        <v>-89608</v>
      </c>
      <c r="AE100" s="559">
        <v>30666</v>
      </c>
      <c r="AF100" s="559">
        <v>16907</v>
      </c>
      <c r="AG100" s="559">
        <v>0</v>
      </c>
      <c r="AH100" s="559">
        <v>1009</v>
      </c>
      <c r="AI100" s="559">
        <v>42470</v>
      </c>
      <c r="AJ100" s="559">
        <v>3420</v>
      </c>
      <c r="AK100" s="559">
        <v>26564</v>
      </c>
      <c r="AL100" s="559">
        <v>5955</v>
      </c>
      <c r="AM100" s="559">
        <v>28572</v>
      </c>
      <c r="AN100" s="559">
        <v>0</v>
      </c>
      <c r="AO100" s="559">
        <v>10212</v>
      </c>
      <c r="AP100" s="559">
        <v>146567</v>
      </c>
      <c r="AQ100" s="559">
        <v>26808</v>
      </c>
      <c r="AR100" s="559">
        <v>5994</v>
      </c>
      <c r="AS100" s="559">
        <v>22993</v>
      </c>
      <c r="AT100" s="559">
        <v>8611</v>
      </c>
      <c r="AU100" s="559">
        <v>10264</v>
      </c>
      <c r="AV100" s="559">
        <v>41956</v>
      </c>
      <c r="AW100" s="559">
        <v>30104</v>
      </c>
      <c r="AX100" s="559">
        <v>529957</v>
      </c>
      <c r="AY100" s="559">
        <v>30190</v>
      </c>
      <c r="AZ100" s="559">
        <v>0</v>
      </c>
      <c r="BA100" s="559">
        <v>115859</v>
      </c>
      <c r="BB100" s="559">
        <v>0</v>
      </c>
      <c r="BC100" s="559">
        <v>0</v>
      </c>
      <c r="BD100" s="559">
        <v>9672</v>
      </c>
      <c r="BE100" s="559">
        <v>0</v>
      </c>
      <c r="BF100" s="559">
        <v>115859</v>
      </c>
      <c r="BG100" s="131">
        <v>5000</v>
      </c>
      <c r="BH100" s="131">
        <v>0</v>
      </c>
      <c r="BI100" s="559">
        <v>0</v>
      </c>
      <c r="BJ100" s="559">
        <v>98211</v>
      </c>
      <c r="BK100" s="559">
        <v>27317</v>
      </c>
    </row>
    <row r="101" spans="1:63">
      <c r="A101" s="131">
        <v>7009</v>
      </c>
      <c r="B101" s="131" t="s">
        <v>132</v>
      </c>
      <c r="C101" s="559">
        <v>25974.15</v>
      </c>
      <c r="D101" s="559">
        <v>0</v>
      </c>
      <c r="E101" s="559">
        <v>18175.27</v>
      </c>
      <c r="F101" s="559">
        <f t="shared" si="1"/>
        <v>44149.42</v>
      </c>
      <c r="G101" s="559">
        <v>977118</v>
      </c>
      <c r="H101" s="559">
        <v>0</v>
      </c>
      <c r="I101" s="559">
        <v>1670412</v>
      </c>
      <c r="J101" s="559">
        <v>0</v>
      </c>
      <c r="K101" s="559">
        <v>33652</v>
      </c>
      <c r="L101" s="559">
        <v>175083</v>
      </c>
      <c r="M101" s="559">
        <v>2138</v>
      </c>
      <c r="N101" s="559">
        <v>41873</v>
      </c>
      <c r="O101" s="559">
        <v>5636</v>
      </c>
      <c r="P101" s="559">
        <v>10229</v>
      </c>
      <c r="Q101" s="559">
        <v>16585</v>
      </c>
      <c r="R101" s="559">
        <v>3343</v>
      </c>
      <c r="S101" s="559">
        <v>7145</v>
      </c>
      <c r="T101" s="559">
        <v>42602</v>
      </c>
      <c r="U101" s="559">
        <v>0</v>
      </c>
      <c r="V101" s="559">
        <v>0</v>
      </c>
      <c r="W101" s="559">
        <v>14840</v>
      </c>
      <c r="X101" s="559">
        <v>1171429</v>
      </c>
      <c r="Y101" s="559">
        <v>0</v>
      </c>
      <c r="Z101" s="559">
        <v>944376</v>
      </c>
      <c r="AA101" s="559">
        <v>33878</v>
      </c>
      <c r="AB101" s="559">
        <v>62568</v>
      </c>
      <c r="AC101" s="559">
        <v>5063</v>
      </c>
      <c r="AD101" s="559">
        <v>57369</v>
      </c>
      <c r="AE101" s="559">
        <v>26377</v>
      </c>
      <c r="AF101" s="559">
        <v>12295</v>
      </c>
      <c r="AG101" s="559">
        <v>15509</v>
      </c>
      <c r="AH101" s="559">
        <v>9684</v>
      </c>
      <c r="AI101" s="559">
        <v>36574</v>
      </c>
      <c r="AJ101" s="559">
        <v>0</v>
      </c>
      <c r="AK101" s="559">
        <v>27178</v>
      </c>
      <c r="AL101" s="559">
        <v>3081</v>
      </c>
      <c r="AM101" s="559">
        <v>25024</v>
      </c>
      <c r="AN101" s="559">
        <v>0</v>
      </c>
      <c r="AO101" s="559">
        <v>13552</v>
      </c>
      <c r="AP101" s="559">
        <v>83572</v>
      </c>
      <c r="AQ101" s="559">
        <v>30241</v>
      </c>
      <c r="AR101" s="559">
        <v>0</v>
      </c>
      <c r="AS101" s="559">
        <v>27654</v>
      </c>
      <c r="AT101" s="559">
        <v>2678</v>
      </c>
      <c r="AU101" s="559">
        <v>29348</v>
      </c>
      <c r="AV101" s="559">
        <v>16931</v>
      </c>
      <c r="AW101" s="559">
        <v>0</v>
      </c>
      <c r="AX101" s="559">
        <v>300721</v>
      </c>
      <c r="AY101" s="559">
        <v>46299</v>
      </c>
      <c r="AZ101" s="559">
        <v>0</v>
      </c>
      <c r="BA101" s="559">
        <v>5712</v>
      </c>
      <c r="BB101" s="559">
        <v>1</v>
      </c>
      <c r="BC101" s="559">
        <v>0</v>
      </c>
      <c r="BD101" s="559">
        <v>6768</v>
      </c>
      <c r="BE101" s="559">
        <v>64982</v>
      </c>
      <c r="BF101" s="559">
        <v>5712</v>
      </c>
      <c r="BG101" s="131">
        <v>5000</v>
      </c>
      <c r="BH101" s="131">
        <v>0</v>
      </c>
      <c r="BI101" s="559">
        <v>76932</v>
      </c>
      <c r="BJ101" s="559">
        <v>9494</v>
      </c>
      <c r="BK101" s="559">
        <v>9212</v>
      </c>
    </row>
    <row r="102" spans="1:63">
      <c r="A102" s="131">
        <v>1103</v>
      </c>
      <c r="B102" s="131" t="s">
        <v>452</v>
      </c>
      <c r="C102" s="559">
        <v>0</v>
      </c>
      <c r="D102" s="559">
        <v>0</v>
      </c>
      <c r="E102" s="559">
        <v>0</v>
      </c>
      <c r="F102" s="559">
        <f t="shared" si="1"/>
        <v>0</v>
      </c>
      <c r="G102" s="559">
        <v>307161</v>
      </c>
      <c r="H102" s="559">
        <v>0</v>
      </c>
      <c r="I102" s="559">
        <v>107295</v>
      </c>
      <c r="J102" s="559">
        <v>0</v>
      </c>
      <c r="K102" s="559">
        <v>0</v>
      </c>
      <c r="L102" s="559">
        <v>0</v>
      </c>
      <c r="M102" s="559">
        <v>0</v>
      </c>
      <c r="N102" s="559">
        <v>7365</v>
      </c>
      <c r="O102" s="559">
        <v>0</v>
      </c>
      <c r="P102" s="559">
        <v>0</v>
      </c>
      <c r="Q102" s="559">
        <v>0</v>
      </c>
      <c r="R102" s="559">
        <v>0</v>
      </c>
      <c r="S102" s="559">
        <v>0</v>
      </c>
      <c r="T102" s="559">
        <v>0</v>
      </c>
      <c r="U102" s="559">
        <v>0</v>
      </c>
      <c r="V102" s="559">
        <v>0</v>
      </c>
      <c r="W102" s="559">
        <v>0</v>
      </c>
      <c r="X102" s="559">
        <v>230919</v>
      </c>
      <c r="Y102" s="559">
        <v>0</v>
      </c>
      <c r="Z102" s="559">
        <v>34410</v>
      </c>
      <c r="AA102" s="559">
        <v>0</v>
      </c>
      <c r="AB102" s="559">
        <v>0</v>
      </c>
      <c r="AC102" s="559">
        <v>0</v>
      </c>
      <c r="AD102" s="559">
        <v>0</v>
      </c>
      <c r="AE102" s="559">
        <v>3963</v>
      </c>
      <c r="AF102" s="559">
        <v>1202</v>
      </c>
      <c r="AG102" s="559">
        <v>0</v>
      </c>
      <c r="AH102" s="559">
        <v>0</v>
      </c>
      <c r="AI102" s="559">
        <v>304</v>
      </c>
      <c r="AJ102" s="559">
        <v>0</v>
      </c>
      <c r="AK102" s="559">
        <v>0</v>
      </c>
      <c r="AL102" s="559">
        <v>0</v>
      </c>
      <c r="AM102" s="559">
        <v>0</v>
      </c>
      <c r="AN102" s="559">
        <v>0</v>
      </c>
      <c r="AO102" s="559">
        <v>600</v>
      </c>
      <c r="AP102" s="559">
        <v>3015</v>
      </c>
      <c r="AQ102" s="559">
        <v>4214</v>
      </c>
      <c r="AR102" s="559">
        <v>278</v>
      </c>
      <c r="AS102" s="559">
        <v>11749</v>
      </c>
      <c r="AT102" s="559">
        <v>0</v>
      </c>
      <c r="AU102" s="559">
        <v>10631</v>
      </c>
      <c r="AV102" s="559">
        <v>87</v>
      </c>
      <c r="AW102" s="559">
        <v>98363</v>
      </c>
      <c r="AX102" s="559">
        <v>7555</v>
      </c>
      <c r="AY102" s="559">
        <v>13447</v>
      </c>
      <c r="AZ102" s="559">
        <v>0</v>
      </c>
      <c r="BA102" s="559">
        <v>0</v>
      </c>
      <c r="BB102" s="559">
        <v>0</v>
      </c>
      <c r="BC102" s="559">
        <v>0</v>
      </c>
      <c r="BD102" s="559">
        <v>2333</v>
      </c>
      <c r="BE102" s="559">
        <v>0</v>
      </c>
      <c r="BF102" s="559">
        <v>0</v>
      </c>
      <c r="BG102" s="131">
        <v>5000</v>
      </c>
      <c r="BH102" s="131">
        <v>0</v>
      </c>
      <c r="BI102" s="559">
        <v>0</v>
      </c>
      <c r="BJ102" s="559">
        <v>0</v>
      </c>
      <c r="BK102" s="559">
        <v>3416</v>
      </c>
    </row>
    <row r="103" spans="1:63">
      <c r="A103" s="131">
        <v>1102</v>
      </c>
      <c r="B103" s="131" t="s">
        <v>453</v>
      </c>
      <c r="C103" s="559">
        <v>18976</v>
      </c>
      <c r="D103" s="559">
        <v>0</v>
      </c>
      <c r="E103" s="559">
        <v>0</v>
      </c>
      <c r="F103" s="559">
        <f t="shared" si="1"/>
        <v>18976</v>
      </c>
      <c r="G103" s="559">
        <v>380006</v>
      </c>
      <c r="H103" s="559">
        <v>0</v>
      </c>
      <c r="I103" s="559">
        <v>21974</v>
      </c>
      <c r="J103" s="559">
        <v>0</v>
      </c>
      <c r="K103" s="559">
        <v>2336</v>
      </c>
      <c r="L103" s="559">
        <v>55882</v>
      </c>
      <c r="M103" s="559">
        <v>1800</v>
      </c>
      <c r="N103" s="559">
        <v>0</v>
      </c>
      <c r="O103" s="559">
        <v>0</v>
      </c>
      <c r="P103" s="559">
        <v>0</v>
      </c>
      <c r="Q103" s="559">
        <v>0</v>
      </c>
      <c r="R103" s="559">
        <v>0</v>
      </c>
      <c r="S103" s="559">
        <v>0</v>
      </c>
      <c r="T103" s="559">
        <v>0</v>
      </c>
      <c r="U103" s="559">
        <v>0</v>
      </c>
      <c r="V103" s="559">
        <v>0</v>
      </c>
      <c r="W103" s="559">
        <v>0</v>
      </c>
      <c r="X103" s="559">
        <v>300389</v>
      </c>
      <c r="Y103" s="559">
        <v>0</v>
      </c>
      <c r="Z103" s="559">
        <v>41723</v>
      </c>
      <c r="AA103" s="559">
        <v>0</v>
      </c>
      <c r="AB103" s="559">
        <v>57190</v>
      </c>
      <c r="AC103" s="559">
        <v>0</v>
      </c>
      <c r="AD103" s="559">
        <v>0</v>
      </c>
      <c r="AE103" s="559">
        <v>147</v>
      </c>
      <c r="AF103" s="559">
        <v>988</v>
      </c>
      <c r="AG103" s="559">
        <v>0</v>
      </c>
      <c r="AH103" s="559">
        <v>0</v>
      </c>
      <c r="AI103" s="559">
        <v>480</v>
      </c>
      <c r="AJ103" s="559">
        <v>0</v>
      </c>
      <c r="AK103" s="559">
        <v>0</v>
      </c>
      <c r="AL103" s="559">
        <v>0</v>
      </c>
      <c r="AM103" s="559">
        <v>0</v>
      </c>
      <c r="AN103" s="559">
        <v>0</v>
      </c>
      <c r="AO103" s="559">
        <v>150</v>
      </c>
      <c r="AP103" s="559">
        <v>2417</v>
      </c>
      <c r="AQ103" s="559">
        <v>4740</v>
      </c>
      <c r="AR103" s="559">
        <v>994</v>
      </c>
      <c r="AS103" s="559">
        <v>14412</v>
      </c>
      <c r="AT103" s="559">
        <v>0</v>
      </c>
      <c r="AU103" s="559">
        <v>2</v>
      </c>
      <c r="AV103" s="559">
        <v>-931</v>
      </c>
      <c r="AW103" s="559">
        <v>0</v>
      </c>
      <c r="AX103" s="559">
        <v>44891</v>
      </c>
      <c r="AY103" s="559">
        <v>13205</v>
      </c>
      <c r="AZ103" s="559">
        <v>0</v>
      </c>
      <c r="BA103" s="559">
        <v>0</v>
      </c>
      <c r="BB103" s="559">
        <v>0</v>
      </c>
      <c r="BC103" s="559">
        <v>0</v>
      </c>
      <c r="BD103" s="559">
        <v>4744</v>
      </c>
      <c r="BE103" s="559">
        <v>0</v>
      </c>
      <c r="BF103" s="559">
        <v>0</v>
      </c>
      <c r="BG103" s="131">
        <v>5000</v>
      </c>
      <c r="BH103" s="131">
        <v>0</v>
      </c>
      <c r="BI103" s="559">
        <v>0</v>
      </c>
      <c r="BJ103" s="559">
        <v>0</v>
      </c>
      <c r="BK103" s="559">
        <v>0</v>
      </c>
    </row>
    <row r="104" spans="1:63">
      <c r="A104" s="131">
        <v>1100</v>
      </c>
      <c r="B104" s="131" t="s">
        <v>1583</v>
      </c>
      <c r="C104" s="559">
        <v>80000</v>
      </c>
      <c r="D104" s="559">
        <v>0</v>
      </c>
      <c r="E104" s="559">
        <v>0</v>
      </c>
      <c r="F104" s="559">
        <f t="shared" si="1"/>
        <v>80000</v>
      </c>
      <c r="G104" s="559">
        <v>741673</v>
      </c>
      <c r="H104" s="559">
        <v>0</v>
      </c>
      <c r="I104" s="559">
        <v>824796</v>
      </c>
      <c r="J104" s="559">
        <v>0</v>
      </c>
      <c r="K104" s="559">
        <v>45358</v>
      </c>
      <c r="L104" s="559">
        <v>750</v>
      </c>
      <c r="M104" s="559">
        <v>2368</v>
      </c>
      <c r="N104" s="559">
        <v>26973</v>
      </c>
      <c r="O104" s="559">
        <v>170</v>
      </c>
      <c r="P104" s="559">
        <v>0</v>
      </c>
      <c r="Q104" s="559">
        <v>0</v>
      </c>
      <c r="R104" s="559">
        <v>435</v>
      </c>
      <c r="S104" s="559">
        <v>0</v>
      </c>
      <c r="T104" s="559">
        <v>0</v>
      </c>
      <c r="U104" s="559">
        <v>0</v>
      </c>
      <c r="V104" s="559">
        <v>0</v>
      </c>
      <c r="W104" s="559">
        <v>1167</v>
      </c>
      <c r="X104" s="559">
        <v>996163</v>
      </c>
      <c r="Y104" s="559">
        <v>0</v>
      </c>
      <c r="Z104" s="559">
        <v>243583</v>
      </c>
      <c r="AA104" s="559">
        <v>33081</v>
      </c>
      <c r="AB104" s="559">
        <v>26240</v>
      </c>
      <c r="AC104" s="559">
        <v>0</v>
      </c>
      <c r="AD104" s="559">
        <v>0</v>
      </c>
      <c r="AE104" s="559">
        <v>13741</v>
      </c>
      <c r="AF104" s="559">
        <v>6062</v>
      </c>
      <c r="AG104" s="559">
        <v>0</v>
      </c>
      <c r="AH104" s="559">
        <v>1454</v>
      </c>
      <c r="AI104" s="559">
        <v>2826</v>
      </c>
      <c r="AJ104" s="559">
        <v>3561</v>
      </c>
      <c r="AK104" s="559">
        <v>14140</v>
      </c>
      <c r="AL104" s="559">
        <v>1702</v>
      </c>
      <c r="AM104" s="559">
        <v>18304</v>
      </c>
      <c r="AN104" s="559">
        <v>0</v>
      </c>
      <c r="AO104" s="559">
        <v>7606</v>
      </c>
      <c r="AP104" s="559">
        <v>30721</v>
      </c>
      <c r="AQ104" s="559">
        <v>14824</v>
      </c>
      <c r="AR104" s="559">
        <v>4539</v>
      </c>
      <c r="AS104" s="559">
        <v>18999</v>
      </c>
      <c r="AT104" s="559">
        <v>1846</v>
      </c>
      <c r="AU104" s="559">
        <v>8376</v>
      </c>
      <c r="AV104" s="559">
        <v>30563</v>
      </c>
      <c r="AW104" s="559">
        <v>122893</v>
      </c>
      <c r="AX104" s="559">
        <v>26504</v>
      </c>
      <c r="AY104" s="559">
        <v>40726</v>
      </c>
      <c r="AZ104" s="559">
        <v>0</v>
      </c>
      <c r="BA104" s="559">
        <v>0</v>
      </c>
      <c r="BB104" s="559">
        <v>0</v>
      </c>
      <c r="BC104" s="559">
        <v>0</v>
      </c>
      <c r="BD104" s="559">
        <v>7794</v>
      </c>
      <c r="BE104" s="559">
        <v>0</v>
      </c>
      <c r="BF104" s="559">
        <v>0</v>
      </c>
      <c r="BG104" s="131">
        <v>5000</v>
      </c>
      <c r="BH104" s="131">
        <v>0</v>
      </c>
      <c r="BI104" s="559">
        <v>0</v>
      </c>
      <c r="BJ104" s="559">
        <v>0</v>
      </c>
      <c r="BK104" s="559">
        <v>3477</v>
      </c>
    </row>
    <row r="105" spans="1:63">
      <c r="A105" s="131"/>
      <c r="B105" s="131"/>
      <c r="C105" s="559"/>
      <c r="D105" s="131"/>
      <c r="E105" s="559"/>
      <c r="F105" s="559"/>
      <c r="G105" s="131"/>
      <c r="H105" s="131"/>
      <c r="I105" s="131"/>
      <c r="J105" s="559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</row>
    <row r="106" spans="1:63">
      <c r="A106" s="131"/>
      <c r="B106" s="131"/>
      <c r="C106" s="559"/>
      <c r="D106" s="131"/>
      <c r="E106" s="559"/>
      <c r="F106" s="559"/>
      <c r="G106" s="560">
        <v>153778681</v>
      </c>
      <c r="H106" s="560">
        <v>6731473</v>
      </c>
      <c r="I106" s="560">
        <v>15224208</v>
      </c>
      <c r="J106" s="560">
        <v>0</v>
      </c>
      <c r="K106" s="560">
        <v>10386074</v>
      </c>
      <c r="L106" s="560">
        <v>1387557</v>
      </c>
      <c r="M106" s="560">
        <v>891740</v>
      </c>
      <c r="N106" s="560">
        <v>4042322</v>
      </c>
      <c r="O106" s="560">
        <v>3629531</v>
      </c>
      <c r="P106" s="560">
        <v>788434</v>
      </c>
      <c r="Q106" s="560">
        <v>285467</v>
      </c>
      <c r="R106" s="560">
        <v>3187369</v>
      </c>
      <c r="S106" s="560">
        <v>2975329</v>
      </c>
      <c r="T106" s="560">
        <v>60802</v>
      </c>
      <c r="U106" s="560">
        <v>2768650</v>
      </c>
      <c r="V106" s="560">
        <v>396524</v>
      </c>
      <c r="W106" s="560">
        <v>3050498</v>
      </c>
      <c r="X106" s="560">
        <v>92095201</v>
      </c>
      <c r="Y106" s="560">
        <v>854646</v>
      </c>
      <c r="Z106" s="560">
        <v>38482451</v>
      </c>
      <c r="AA106" s="560">
        <v>4382544</v>
      </c>
      <c r="AB106" s="560">
        <v>8729434</v>
      </c>
      <c r="AC106" s="560">
        <v>366688</v>
      </c>
      <c r="AD106" s="560">
        <v>3542498</v>
      </c>
      <c r="AE106" s="560">
        <v>1727321</v>
      </c>
      <c r="AF106" s="560">
        <v>1035888</v>
      </c>
      <c r="AG106" s="560">
        <v>1139584</v>
      </c>
      <c r="AH106" s="560">
        <v>275556</v>
      </c>
      <c r="AI106" s="560">
        <v>4089954</v>
      </c>
      <c r="AJ106" s="560">
        <v>620964</v>
      </c>
      <c r="AK106" s="560">
        <v>2320369</v>
      </c>
      <c r="AL106" s="560">
        <v>373136</v>
      </c>
      <c r="AM106" s="560">
        <v>2602750</v>
      </c>
      <c r="AN106" s="560">
        <v>940668</v>
      </c>
      <c r="AO106" s="560">
        <v>1288380</v>
      </c>
      <c r="AP106" s="560">
        <v>8688275</v>
      </c>
      <c r="AQ106" s="560">
        <v>2473162</v>
      </c>
      <c r="AR106" s="560">
        <v>608582</v>
      </c>
      <c r="AS106" s="560">
        <v>2070089</v>
      </c>
      <c r="AT106" s="560">
        <v>986510</v>
      </c>
      <c r="AU106" s="560">
        <v>849807</v>
      </c>
      <c r="AV106" s="560">
        <v>7250862</v>
      </c>
      <c r="AW106" s="560">
        <v>5840076</v>
      </c>
      <c r="AX106" s="560">
        <v>7998312</v>
      </c>
      <c r="AY106" s="560">
        <v>3692837</v>
      </c>
      <c r="AZ106" s="560">
        <v>0</v>
      </c>
      <c r="BA106" s="560">
        <v>3075596</v>
      </c>
      <c r="BB106" s="560">
        <v>2292202</v>
      </c>
      <c r="BC106" s="560">
        <v>579459</v>
      </c>
      <c r="BD106" s="560">
        <v>614216</v>
      </c>
      <c r="BE106" s="560">
        <v>263072</v>
      </c>
      <c r="BF106" s="560">
        <v>3075595</v>
      </c>
      <c r="BG106" s="560"/>
      <c r="BH106" s="560">
        <v>0</v>
      </c>
      <c r="BI106" s="560">
        <v>2228141</v>
      </c>
      <c r="BJ106" s="560">
        <v>382494</v>
      </c>
      <c r="BK106" s="560">
        <v>1307230</v>
      </c>
    </row>
    <row r="107" spans="1:63">
      <c r="A107" s="131"/>
      <c r="B107" s="131"/>
      <c r="C107" s="559"/>
      <c r="D107" s="131"/>
      <c r="E107" s="559"/>
      <c r="F107" s="559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</row>
    <row r="108" spans="1:63">
      <c r="A108" s="131"/>
      <c r="B108" s="131"/>
      <c r="C108" s="562">
        <f>SUM(C5:C107)</f>
        <v>14417826.299999999</v>
      </c>
      <c r="D108" s="562">
        <f t="shared" ref="D108:AX108" si="2">SUM(D5:D107)</f>
        <v>383225</v>
      </c>
      <c r="E108" s="562">
        <f t="shared" si="2"/>
        <v>270321.37000000011</v>
      </c>
      <c r="F108" s="562">
        <f t="shared" si="2"/>
        <v>15071372.67</v>
      </c>
      <c r="G108" s="562">
        <f t="shared" si="2"/>
        <v>307557362</v>
      </c>
      <c r="H108" s="562">
        <f t="shared" si="2"/>
        <v>13462946</v>
      </c>
      <c r="I108" s="562">
        <f t="shared" si="2"/>
        <v>30448416</v>
      </c>
      <c r="J108" s="562">
        <f t="shared" si="2"/>
        <v>0</v>
      </c>
      <c r="K108" s="562">
        <f t="shared" si="2"/>
        <v>20772148</v>
      </c>
      <c r="L108" s="562">
        <f t="shared" si="2"/>
        <v>2775114</v>
      </c>
      <c r="M108" s="562">
        <f t="shared" si="2"/>
        <v>1783480</v>
      </c>
      <c r="N108" s="562">
        <f t="shared" si="2"/>
        <v>8084644</v>
      </c>
      <c r="O108" s="562">
        <f t="shared" si="2"/>
        <v>7259062</v>
      </c>
      <c r="P108" s="562">
        <f t="shared" si="2"/>
        <v>1576868</v>
      </c>
      <c r="Q108" s="562">
        <f t="shared" si="2"/>
        <v>570934</v>
      </c>
      <c r="R108" s="562">
        <f t="shared" si="2"/>
        <v>6374738</v>
      </c>
      <c r="S108" s="562">
        <f t="shared" si="2"/>
        <v>5950658</v>
      </c>
      <c r="T108" s="562">
        <f t="shared" si="2"/>
        <v>121604</v>
      </c>
      <c r="U108" s="562">
        <f t="shared" si="2"/>
        <v>5537300</v>
      </c>
      <c r="V108" s="562">
        <f t="shared" si="2"/>
        <v>793048</v>
      </c>
      <c r="W108" s="562">
        <f t="shared" si="2"/>
        <v>6100996</v>
      </c>
      <c r="X108" s="562">
        <f t="shared" si="2"/>
        <v>184190402</v>
      </c>
      <c r="Y108" s="562">
        <f t="shared" si="2"/>
        <v>1709292</v>
      </c>
      <c r="Z108" s="562">
        <f t="shared" si="2"/>
        <v>76964902</v>
      </c>
      <c r="AA108" s="562">
        <f t="shared" si="2"/>
        <v>8765088</v>
      </c>
      <c r="AB108" s="562">
        <f t="shared" si="2"/>
        <v>17458868</v>
      </c>
      <c r="AC108" s="562">
        <f t="shared" si="2"/>
        <v>733376</v>
      </c>
      <c r="AD108" s="562">
        <f t="shared" si="2"/>
        <v>7084996</v>
      </c>
      <c r="AE108" s="562">
        <f t="shared" si="2"/>
        <v>3454642</v>
      </c>
      <c r="AF108" s="562">
        <f t="shared" si="2"/>
        <v>2071776</v>
      </c>
      <c r="AG108" s="562">
        <f t="shared" si="2"/>
        <v>2279168</v>
      </c>
      <c r="AH108" s="562">
        <f t="shared" si="2"/>
        <v>551112</v>
      </c>
      <c r="AI108" s="562">
        <f t="shared" si="2"/>
        <v>8179908</v>
      </c>
      <c r="AJ108" s="562">
        <f t="shared" si="2"/>
        <v>1241928</v>
      </c>
      <c r="AK108" s="562">
        <f t="shared" si="2"/>
        <v>4640738</v>
      </c>
      <c r="AL108" s="562">
        <f t="shared" si="2"/>
        <v>746272</v>
      </c>
      <c r="AM108" s="562">
        <f t="shared" si="2"/>
        <v>5205500</v>
      </c>
      <c r="AN108" s="562">
        <f t="shared" si="2"/>
        <v>1881336</v>
      </c>
      <c r="AO108" s="562">
        <f t="shared" si="2"/>
        <v>2576760</v>
      </c>
      <c r="AP108" s="562">
        <f t="shared" si="2"/>
        <v>17376550</v>
      </c>
      <c r="AQ108" s="562">
        <f t="shared" si="2"/>
        <v>4946324</v>
      </c>
      <c r="AR108" s="562">
        <f t="shared" si="2"/>
        <v>1217164</v>
      </c>
      <c r="AS108" s="562">
        <f t="shared" si="2"/>
        <v>4140178</v>
      </c>
      <c r="AT108" s="562">
        <f t="shared" si="2"/>
        <v>1973020</v>
      </c>
      <c r="AU108" s="562">
        <f t="shared" si="2"/>
        <v>1699614</v>
      </c>
      <c r="AV108" s="562">
        <f t="shared" si="2"/>
        <v>14501724</v>
      </c>
      <c r="AW108" s="562">
        <f t="shared" si="2"/>
        <v>11680152</v>
      </c>
      <c r="AX108" s="562">
        <f t="shared" si="2"/>
        <v>15996624</v>
      </c>
      <c r="AY108" s="563">
        <v>3692837</v>
      </c>
      <c r="AZ108" s="563">
        <v>0</v>
      </c>
      <c r="BA108" s="563">
        <v>3075596</v>
      </c>
      <c r="BB108" s="563">
        <v>2292202</v>
      </c>
      <c r="BC108" s="563">
        <v>579459</v>
      </c>
      <c r="BD108" s="562">
        <v>-614216</v>
      </c>
      <c r="BE108" s="562">
        <v>-263072</v>
      </c>
      <c r="BF108" s="562">
        <v>-3075595</v>
      </c>
      <c r="BG108" s="131"/>
      <c r="BH108" s="131">
        <v>0</v>
      </c>
      <c r="BI108" s="561">
        <v>2228141</v>
      </c>
      <c r="BJ108" s="561">
        <v>382494</v>
      </c>
      <c r="BK108" s="561">
        <v>1307230</v>
      </c>
    </row>
    <row r="109" spans="1:63">
      <c r="A109" s="131"/>
      <c r="B109" s="131"/>
      <c r="C109" s="559"/>
      <c r="D109" s="131"/>
      <c r="E109" s="559"/>
      <c r="F109" s="559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</row>
    <row r="110" spans="1:63">
      <c r="A110" s="131"/>
      <c r="B110" s="131"/>
      <c r="C110" s="559"/>
      <c r="D110" s="131"/>
      <c r="E110" s="559"/>
      <c r="F110" s="559"/>
      <c r="G110" s="561">
        <v>0</v>
      </c>
      <c r="H110" s="561">
        <v>0</v>
      </c>
      <c r="I110" s="561">
        <v>0</v>
      </c>
      <c r="J110" s="561">
        <v>0</v>
      </c>
      <c r="K110" s="561">
        <v>0</v>
      </c>
      <c r="L110" s="561">
        <v>0</v>
      </c>
      <c r="M110" s="561">
        <v>0</v>
      </c>
      <c r="N110" s="561">
        <v>0</v>
      </c>
      <c r="O110" s="561">
        <v>0</v>
      </c>
      <c r="P110" s="561">
        <v>0</v>
      </c>
      <c r="Q110" s="561">
        <v>0</v>
      </c>
      <c r="R110" s="561">
        <v>0</v>
      </c>
      <c r="S110" s="561">
        <v>0</v>
      </c>
      <c r="T110" s="561">
        <v>0</v>
      </c>
      <c r="U110" s="561">
        <v>0</v>
      </c>
      <c r="V110" s="561">
        <v>0</v>
      </c>
      <c r="W110" s="561">
        <v>0</v>
      </c>
      <c r="X110" s="561">
        <v>0</v>
      </c>
      <c r="Y110" s="561">
        <v>0</v>
      </c>
      <c r="Z110" s="561">
        <v>0</v>
      </c>
      <c r="AA110" s="561">
        <v>0</v>
      </c>
      <c r="AB110" s="561">
        <v>0</v>
      </c>
      <c r="AC110" s="561">
        <v>0</v>
      </c>
      <c r="AD110" s="561">
        <v>0</v>
      </c>
      <c r="AE110" s="561">
        <v>0</v>
      </c>
      <c r="AF110" s="561">
        <v>0</v>
      </c>
      <c r="AG110" s="561">
        <v>0</v>
      </c>
      <c r="AH110" s="561">
        <v>0</v>
      </c>
      <c r="AI110" s="561">
        <v>0</v>
      </c>
      <c r="AJ110" s="561">
        <v>0</v>
      </c>
      <c r="AK110" s="561">
        <v>0</v>
      </c>
      <c r="AL110" s="561">
        <v>0</v>
      </c>
      <c r="AM110" s="561">
        <v>0</v>
      </c>
      <c r="AN110" s="561">
        <v>0</v>
      </c>
      <c r="AO110" s="561">
        <v>0</v>
      </c>
      <c r="AP110" s="561">
        <v>0</v>
      </c>
      <c r="AQ110" s="561">
        <v>0</v>
      </c>
      <c r="AR110" s="561">
        <v>0</v>
      </c>
      <c r="AS110" s="561">
        <v>0</v>
      </c>
      <c r="AT110" s="561">
        <v>0</v>
      </c>
      <c r="AU110" s="561">
        <v>0</v>
      </c>
      <c r="AV110" s="561">
        <v>0</v>
      </c>
      <c r="AW110" s="561">
        <v>0</v>
      </c>
      <c r="AX110" s="561">
        <v>0</v>
      </c>
      <c r="AY110" s="561">
        <v>0</v>
      </c>
      <c r="AZ110" s="561">
        <v>0</v>
      </c>
      <c r="BA110" s="561">
        <v>0</v>
      </c>
      <c r="BB110" s="561">
        <v>0</v>
      </c>
      <c r="BC110" s="561">
        <v>0</v>
      </c>
      <c r="BD110" s="561">
        <v>0</v>
      </c>
      <c r="BE110" s="561">
        <v>0</v>
      </c>
      <c r="BF110" s="561">
        <v>0</v>
      </c>
      <c r="BG110" s="561"/>
      <c r="BH110" s="561">
        <v>0</v>
      </c>
      <c r="BI110" s="561">
        <v>0</v>
      </c>
      <c r="BJ110" s="561">
        <v>0</v>
      </c>
      <c r="BK110" s="561">
        <v>0</v>
      </c>
    </row>
  </sheetData>
  <mergeCells count="6">
    <mergeCell ref="A3:B3"/>
    <mergeCell ref="C3:E3"/>
    <mergeCell ref="G3:W3"/>
    <mergeCell ref="X3:BC3"/>
    <mergeCell ref="BD3:BF3"/>
    <mergeCell ref="BG3:BK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indexed="34"/>
  </sheetPr>
  <dimension ref="A1:IV116"/>
  <sheetViews>
    <sheetView tabSelected="1" workbookViewId="0">
      <pane xSplit="3" ySplit="3" topLeftCell="BC67" activePane="bottomRight" state="frozen"/>
      <selection pane="topRight" activeCell="D1" sqref="D1"/>
      <selection pane="bottomLeft" activeCell="A4" sqref="A4"/>
      <selection pane="bottomRight" activeCell="BF60" sqref="BF60"/>
    </sheetView>
  </sheetViews>
  <sheetFormatPr defaultRowHeight="15"/>
  <cols>
    <col min="1" max="1" width="6.7109375" bestFit="1" customWidth="1"/>
    <col min="2" max="2" width="6.7109375" style="59" customWidth="1"/>
    <col min="3" max="3" width="34" customWidth="1"/>
    <col min="4" max="4" width="19" customWidth="1"/>
    <col min="5" max="5" width="16.140625" customWidth="1"/>
    <col min="6" max="6" width="17.7109375" customWidth="1"/>
    <col min="7" max="7" width="16.42578125" customWidth="1"/>
    <col min="8" max="8" width="17.7109375" customWidth="1"/>
    <col min="9" max="12" width="16.42578125" customWidth="1"/>
    <col min="13" max="14" width="14.42578125" customWidth="1"/>
    <col min="15" max="20" width="16.42578125" customWidth="1"/>
    <col min="21" max="21" width="19" customWidth="1"/>
    <col min="22" max="22" width="17.140625" customWidth="1"/>
    <col min="23" max="23" width="17.5703125" customWidth="1"/>
    <col min="24" max="24" width="18.140625" customWidth="1"/>
    <col min="25" max="25" width="17.42578125" customWidth="1"/>
    <col min="26" max="26" width="14.85546875" customWidth="1"/>
    <col min="27" max="27" width="17.85546875" customWidth="1"/>
    <col min="28" max="28" width="17.5703125" customWidth="1"/>
    <col min="29" max="29" width="17" customWidth="1"/>
    <col min="30" max="30" width="16.42578125" customWidth="1"/>
    <col min="31" max="31" width="14.7109375" customWidth="1"/>
    <col min="32" max="32" width="16.28515625" customWidth="1"/>
    <col min="33" max="33" width="15.42578125" customWidth="1"/>
    <col min="34" max="34" width="16.42578125" customWidth="1"/>
    <col min="35" max="35" width="14.28515625" customWidth="1"/>
    <col min="36" max="37" width="16.42578125" customWidth="1"/>
    <col min="38" max="38" width="15.5703125" customWidth="1"/>
    <col min="39" max="43" width="16.42578125" customWidth="1"/>
    <col min="44" max="44" width="14.85546875" customWidth="1"/>
    <col min="45" max="45" width="16.140625" customWidth="1"/>
    <col min="46" max="48" width="16.42578125" customWidth="1"/>
    <col min="49" max="49" width="14.28515625" customWidth="1"/>
    <col min="50" max="52" width="16.42578125" customWidth="1"/>
    <col min="53" max="54" width="20.28515625" bestFit="1" customWidth="1"/>
    <col min="55" max="55" width="18.28515625" customWidth="1"/>
    <col min="56" max="56" width="14.7109375" customWidth="1"/>
    <col min="57" max="57" width="19.140625" customWidth="1"/>
    <col min="58" max="58" width="14.7109375" customWidth="1"/>
    <col min="59" max="59" width="17.42578125" customWidth="1"/>
    <col min="60" max="60" width="14.7109375" customWidth="1"/>
    <col min="61" max="61" width="4.140625" customWidth="1"/>
    <col min="62" max="62" width="13.28515625" style="61" customWidth="1"/>
    <col min="63" max="63" width="14.28515625" style="61" bestFit="1" customWidth="1"/>
    <col min="64" max="65" width="13.28515625" style="61" customWidth="1"/>
    <col min="66" max="73" width="14.28515625" style="61" customWidth="1"/>
    <col min="74" max="74" width="16.42578125" style="61" bestFit="1" customWidth="1"/>
    <col min="75" max="75" width="16.85546875" style="61" bestFit="1" customWidth="1"/>
    <col min="76" max="76" width="20.140625" style="61" customWidth="1"/>
    <col min="77" max="77" width="16.42578125" style="62" customWidth="1"/>
    <col min="78" max="78" width="12.5703125" style="61" customWidth="1"/>
    <col min="79" max="79" width="9.140625" style="62"/>
    <col min="80" max="80" width="12.5703125" style="61" customWidth="1"/>
    <col min="81" max="81" width="9" style="62" customWidth="1"/>
    <col min="82" max="82" width="12.28515625" style="61" bestFit="1" customWidth="1"/>
    <col min="83" max="83" width="10.5703125" style="61" bestFit="1" customWidth="1"/>
    <col min="84" max="84" width="13.42578125" style="61" customWidth="1"/>
    <col min="85" max="85" width="11.85546875" customWidth="1"/>
    <col min="86" max="86" width="12.28515625" style="61" bestFit="1" customWidth="1"/>
    <col min="87" max="87" width="10.5703125" style="61" bestFit="1" customWidth="1"/>
    <col min="88" max="88" width="12.85546875" style="61" customWidth="1"/>
    <col min="89" max="89" width="12" customWidth="1"/>
    <col min="90" max="90" width="12.28515625" style="61" bestFit="1" customWidth="1"/>
    <col min="91" max="91" width="10.5703125" style="61" bestFit="1" customWidth="1"/>
    <col min="92" max="92" width="13.42578125" style="61" customWidth="1"/>
    <col min="94" max="94" width="12.28515625" style="61" bestFit="1" customWidth="1"/>
    <col min="95" max="95" width="9.140625" style="61"/>
    <col min="96" max="96" width="13.140625" style="61" customWidth="1"/>
    <col min="97" max="97" width="11.85546875" bestFit="1" customWidth="1"/>
    <col min="98" max="98" width="12.28515625" style="61" bestFit="1" customWidth="1"/>
    <col min="99" max="99" width="11.5703125" style="61" bestFit="1" customWidth="1"/>
    <col min="100" max="100" width="13.5703125" style="61" customWidth="1"/>
    <col min="101" max="101" width="12.5703125" customWidth="1"/>
    <col min="102" max="102" width="12.28515625" bestFit="1" customWidth="1"/>
    <col min="103" max="103" width="13" customWidth="1"/>
    <col min="104" max="104" width="14.42578125" bestFit="1" customWidth="1"/>
    <col min="105" max="105" width="13" customWidth="1"/>
    <col min="106" max="106" width="14.140625" customWidth="1"/>
    <col min="107" max="107" width="9.140625" style="62"/>
    <col min="108" max="108" width="12.28515625" bestFit="1" customWidth="1"/>
    <col min="109" max="109" width="13.140625" customWidth="1"/>
    <col min="110" max="110" width="12.28515625" style="62" customWidth="1"/>
    <col min="111" max="111" width="9.140625" style="62"/>
    <col min="112" max="112" width="12.28515625" bestFit="1" customWidth="1"/>
    <col min="113" max="113" width="13" customWidth="1"/>
    <col min="114" max="114" width="14.42578125" style="62" bestFit="1" customWidth="1"/>
    <col min="117" max="117" width="13.140625" customWidth="1"/>
    <col min="118" max="118" width="13.140625" style="62" customWidth="1"/>
    <col min="120" max="120" width="13.140625" customWidth="1"/>
    <col min="121" max="121" width="11.5703125" style="62" bestFit="1" customWidth="1"/>
    <col min="122" max="122" width="13.5703125" customWidth="1"/>
    <col min="123" max="123" width="13.140625" style="62" bestFit="1" customWidth="1"/>
    <col min="124" max="124" width="11.140625" customWidth="1"/>
    <col min="125" max="125" width="13.7109375" customWidth="1"/>
    <col min="126" max="126" width="12.5703125" customWidth="1"/>
    <col min="127" max="127" width="11.85546875" customWidth="1"/>
    <col min="128" max="128" width="4.85546875" customWidth="1"/>
    <col min="129" max="129" width="22" style="68" customWidth="1"/>
  </cols>
  <sheetData>
    <row r="1" spans="1:256" ht="13.5" thickBot="1">
      <c r="D1" s="59"/>
      <c r="F1" s="59"/>
      <c r="H1" s="59"/>
      <c r="J1" s="59"/>
      <c r="L1" s="59"/>
      <c r="N1" s="59"/>
      <c r="P1" s="59"/>
      <c r="R1" s="59"/>
      <c r="T1" s="59"/>
      <c r="V1" s="59"/>
      <c r="X1" s="59"/>
      <c r="Z1" s="59"/>
      <c r="AB1" s="59"/>
      <c r="AD1" s="59"/>
      <c r="AF1" s="59"/>
      <c r="AH1" s="59"/>
      <c r="AJ1" s="59"/>
      <c r="AL1" s="59"/>
      <c r="AN1" s="59"/>
      <c r="AP1" s="59"/>
      <c r="AR1" s="59"/>
      <c r="AT1" s="59"/>
      <c r="AV1" s="59"/>
      <c r="AX1" s="59"/>
      <c r="AZ1" s="59"/>
      <c r="BB1" s="59"/>
      <c r="BD1" s="59"/>
      <c r="BF1" s="59"/>
      <c r="BH1" s="59"/>
      <c r="BJ1" s="59"/>
      <c r="BK1"/>
      <c r="BL1" s="59"/>
      <c r="BM1"/>
      <c r="BN1" s="59"/>
      <c r="BO1"/>
      <c r="BP1" s="59"/>
      <c r="BQ1"/>
      <c r="BR1" s="59"/>
      <c r="BS1"/>
      <c r="BT1" s="59"/>
      <c r="BU1"/>
      <c r="BV1" s="59"/>
      <c r="BW1"/>
      <c r="BX1" s="59"/>
      <c r="BY1"/>
      <c r="BZ1" s="59"/>
      <c r="CA1"/>
      <c r="CB1" s="59"/>
      <c r="CC1"/>
      <c r="CD1" s="59"/>
      <c r="CE1"/>
      <c r="CF1" s="59"/>
      <c r="CH1" s="59"/>
      <c r="CI1"/>
      <c r="CJ1" s="59"/>
      <c r="CL1" s="59"/>
      <c r="CM1"/>
      <c r="CN1" s="59"/>
      <c r="CP1" s="59"/>
      <c r="CQ1"/>
      <c r="CR1" s="59"/>
      <c r="CT1" s="59"/>
      <c r="CU1"/>
      <c r="CV1" s="59"/>
      <c r="CX1" s="59"/>
      <c r="CZ1" s="59"/>
      <c r="DB1" s="59"/>
      <c r="DC1"/>
      <c r="DD1" s="59"/>
      <c r="DF1" s="59"/>
      <c r="DG1"/>
      <c r="DH1" s="59"/>
      <c r="DJ1" s="59"/>
      <c r="DL1" s="59"/>
      <c r="DN1" s="59"/>
      <c r="DP1" s="59"/>
      <c r="DQ1"/>
      <c r="DR1" s="59"/>
      <c r="DS1"/>
      <c r="DT1" s="59"/>
      <c r="DV1" s="59"/>
      <c r="DX1" s="59"/>
      <c r="DY1"/>
    </row>
    <row r="2" spans="1:256" ht="39" customHeight="1" thickBot="1">
      <c r="A2" s="1"/>
      <c r="B2" s="26" t="s">
        <v>1649</v>
      </c>
      <c r="C2" s="1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91" t="s">
        <v>272</v>
      </c>
      <c r="BB2" s="91" t="s">
        <v>273</v>
      </c>
      <c r="BG2" s="14"/>
      <c r="BH2" s="575" t="s">
        <v>1651</v>
      </c>
      <c r="BJ2" s="634" t="s">
        <v>149</v>
      </c>
      <c r="BK2" s="635"/>
      <c r="BL2" s="634" t="s">
        <v>150</v>
      </c>
      <c r="BM2" s="635"/>
      <c r="BN2" s="634" t="s">
        <v>151</v>
      </c>
      <c r="BO2" s="635"/>
      <c r="BP2" s="634" t="s">
        <v>152</v>
      </c>
      <c r="BQ2" s="635"/>
      <c r="BR2" s="634" t="s">
        <v>642</v>
      </c>
      <c r="BS2" s="635"/>
      <c r="BT2" s="634" t="s">
        <v>277</v>
      </c>
      <c r="BU2" s="635"/>
      <c r="BV2" s="634" t="s">
        <v>155</v>
      </c>
      <c r="BW2" s="635"/>
      <c r="BX2" s="636" t="s">
        <v>276</v>
      </c>
      <c r="BY2" s="637"/>
      <c r="BZ2" s="639" t="s">
        <v>278</v>
      </c>
      <c r="CA2" s="640"/>
      <c r="CB2" s="639" t="s">
        <v>135</v>
      </c>
      <c r="CC2" s="641"/>
      <c r="CD2" s="631" t="s">
        <v>405</v>
      </c>
      <c r="CE2" s="632"/>
      <c r="CF2" s="632"/>
      <c r="CG2" s="633"/>
      <c r="CH2" s="636" t="s">
        <v>136</v>
      </c>
      <c r="CI2" s="638"/>
      <c r="CJ2" s="638"/>
      <c r="CK2" s="637"/>
      <c r="CL2" s="631" t="s">
        <v>137</v>
      </c>
      <c r="CM2" s="632"/>
      <c r="CN2" s="632"/>
      <c r="CO2" s="633"/>
      <c r="CP2" s="636" t="s">
        <v>138</v>
      </c>
      <c r="CQ2" s="638"/>
      <c r="CR2" s="638"/>
      <c r="CS2" s="637"/>
      <c r="CT2" s="631" t="s">
        <v>19</v>
      </c>
      <c r="CU2" s="632"/>
      <c r="CV2" s="632"/>
      <c r="CW2" s="633"/>
      <c r="CX2" s="636" t="s">
        <v>139</v>
      </c>
      <c r="CY2" s="638"/>
      <c r="CZ2" s="638"/>
      <c r="DA2" s="637"/>
      <c r="DB2" s="631" t="s">
        <v>140</v>
      </c>
      <c r="DC2" s="633"/>
      <c r="DD2" s="636" t="s">
        <v>141</v>
      </c>
      <c r="DE2" s="638"/>
      <c r="DF2" s="638"/>
      <c r="DG2" s="637"/>
      <c r="DH2" s="631" t="s">
        <v>142</v>
      </c>
      <c r="DI2" s="632"/>
      <c r="DJ2" s="633"/>
      <c r="DK2" s="636" t="s">
        <v>143</v>
      </c>
      <c r="DL2" s="638"/>
      <c r="DM2" s="638"/>
      <c r="DN2" s="637"/>
      <c r="DO2" s="631" t="s">
        <v>144</v>
      </c>
      <c r="DP2" s="632"/>
      <c r="DQ2" s="633"/>
      <c r="DR2" s="636" t="s">
        <v>145</v>
      </c>
      <c r="DS2" s="637"/>
      <c r="DT2" s="631" t="s">
        <v>146</v>
      </c>
      <c r="DU2" s="632"/>
      <c r="DV2" s="632"/>
      <c r="DW2" s="633"/>
      <c r="DY2" s="27"/>
    </row>
    <row r="3" spans="1:256" ht="63.75" thickBot="1">
      <c r="A3" s="613" t="s">
        <v>1584</v>
      </c>
      <c r="B3" s="613" t="s">
        <v>147</v>
      </c>
      <c r="C3" s="613" t="s">
        <v>148</v>
      </c>
      <c r="D3" s="614" t="s">
        <v>149</v>
      </c>
      <c r="E3" s="613" t="s">
        <v>150</v>
      </c>
      <c r="F3" s="614" t="s">
        <v>151</v>
      </c>
      <c r="G3" s="614" t="s">
        <v>152</v>
      </c>
      <c r="H3" s="614" t="s">
        <v>153</v>
      </c>
      <c r="I3" s="614" t="s">
        <v>154</v>
      </c>
      <c r="J3" s="614" t="s">
        <v>155</v>
      </c>
      <c r="K3" s="614" t="s">
        <v>156</v>
      </c>
      <c r="L3" s="614" t="s">
        <v>157</v>
      </c>
      <c r="M3" s="614" t="s">
        <v>158</v>
      </c>
      <c r="N3" s="614" t="s">
        <v>159</v>
      </c>
      <c r="O3" s="614" t="s">
        <v>160</v>
      </c>
      <c r="P3" s="614" t="s">
        <v>161</v>
      </c>
      <c r="Q3" s="614" t="s">
        <v>162</v>
      </c>
      <c r="R3" s="614" t="s">
        <v>163</v>
      </c>
      <c r="S3" s="614" t="s">
        <v>164</v>
      </c>
      <c r="T3" s="614" t="s">
        <v>641</v>
      </c>
      <c r="U3" s="614" t="s">
        <v>165</v>
      </c>
      <c r="V3" s="614" t="s">
        <v>166</v>
      </c>
      <c r="W3" s="614" t="s">
        <v>167</v>
      </c>
      <c r="X3" s="614" t="s">
        <v>168</v>
      </c>
      <c r="Y3" s="614" t="s">
        <v>169</v>
      </c>
      <c r="Z3" s="613" t="s">
        <v>170</v>
      </c>
      <c r="AA3" s="613" t="s">
        <v>171</v>
      </c>
      <c r="AB3" s="614" t="s">
        <v>172</v>
      </c>
      <c r="AC3" s="614" t="s">
        <v>173</v>
      </c>
      <c r="AD3" s="614" t="s">
        <v>174</v>
      </c>
      <c r="AE3" s="614" t="s">
        <v>175</v>
      </c>
      <c r="AF3" s="614" t="s">
        <v>176</v>
      </c>
      <c r="AG3" s="614" t="s">
        <v>177</v>
      </c>
      <c r="AH3" s="614" t="s">
        <v>178</v>
      </c>
      <c r="AI3" s="614" t="s">
        <v>22</v>
      </c>
      <c r="AJ3" s="614" t="s">
        <v>179</v>
      </c>
      <c r="AK3" s="614" t="s">
        <v>180</v>
      </c>
      <c r="AL3" s="614" t="s">
        <v>181</v>
      </c>
      <c r="AM3" s="614" t="s">
        <v>182</v>
      </c>
      <c r="AN3" s="614" t="s">
        <v>183</v>
      </c>
      <c r="AO3" s="614" t="s">
        <v>184</v>
      </c>
      <c r="AP3" s="613" t="s">
        <v>185</v>
      </c>
      <c r="AQ3" s="614" t="s">
        <v>186</v>
      </c>
      <c r="AR3" s="614" t="s">
        <v>187</v>
      </c>
      <c r="AS3" s="614" t="s">
        <v>188</v>
      </c>
      <c r="AT3" s="614" t="s">
        <v>189</v>
      </c>
      <c r="AU3" s="614" t="s">
        <v>190</v>
      </c>
      <c r="AV3" s="614" t="s">
        <v>191</v>
      </c>
      <c r="AW3" s="614" t="s">
        <v>192</v>
      </c>
      <c r="AX3" s="614" t="s">
        <v>193</v>
      </c>
      <c r="AY3" s="614" t="s">
        <v>194</v>
      </c>
      <c r="AZ3" s="614" t="s">
        <v>195</v>
      </c>
      <c r="BA3" s="615" t="s">
        <v>196</v>
      </c>
      <c r="BB3" s="615" t="s">
        <v>197</v>
      </c>
      <c r="BC3" s="615" t="s">
        <v>198</v>
      </c>
      <c r="BD3" s="615" t="s">
        <v>1647</v>
      </c>
      <c r="BE3" s="615" t="s">
        <v>1648</v>
      </c>
      <c r="BF3" s="419" t="s">
        <v>1683</v>
      </c>
      <c r="BG3" s="419" t="s">
        <v>1650</v>
      </c>
      <c r="BH3" s="419" t="s">
        <v>199</v>
      </c>
      <c r="BJ3" s="28" t="s">
        <v>9</v>
      </c>
      <c r="BK3" s="29" t="s">
        <v>200</v>
      </c>
      <c r="BL3" s="28" t="s">
        <v>9</v>
      </c>
      <c r="BM3" s="29" t="s">
        <v>200</v>
      </c>
      <c r="BN3" s="28" t="s">
        <v>9</v>
      </c>
      <c r="BO3" s="29" t="s">
        <v>200</v>
      </c>
      <c r="BP3" s="28" t="s">
        <v>9</v>
      </c>
      <c r="BQ3" s="29" t="s">
        <v>200</v>
      </c>
      <c r="BR3" s="28" t="s">
        <v>9</v>
      </c>
      <c r="BS3" s="29" t="s">
        <v>200</v>
      </c>
      <c r="BT3" s="28" t="s">
        <v>9</v>
      </c>
      <c r="BU3" s="29" t="s">
        <v>200</v>
      </c>
      <c r="BV3" s="28" t="s">
        <v>9</v>
      </c>
      <c r="BW3" s="29" t="s">
        <v>200</v>
      </c>
      <c r="BX3" s="28" t="s">
        <v>9</v>
      </c>
      <c r="BY3" s="29" t="s">
        <v>200</v>
      </c>
      <c r="BZ3" s="30" t="s">
        <v>9</v>
      </c>
      <c r="CA3" s="29" t="s">
        <v>200</v>
      </c>
      <c r="CB3" s="30" t="s">
        <v>9</v>
      </c>
      <c r="CC3" s="29" t="s">
        <v>200</v>
      </c>
      <c r="CD3" s="31" t="s">
        <v>13</v>
      </c>
      <c r="CE3" s="30" t="s">
        <v>9</v>
      </c>
      <c r="CF3" s="32" t="s">
        <v>201</v>
      </c>
      <c r="CG3" s="33" t="s">
        <v>202</v>
      </c>
      <c r="CH3" s="28" t="s">
        <v>13</v>
      </c>
      <c r="CI3" s="30" t="s">
        <v>9</v>
      </c>
      <c r="CJ3" s="30" t="s">
        <v>201</v>
      </c>
      <c r="CK3" s="34" t="s">
        <v>202</v>
      </c>
      <c r="CL3" s="35" t="s">
        <v>13</v>
      </c>
      <c r="CM3" s="30" t="s">
        <v>9</v>
      </c>
      <c r="CN3" s="32" t="s">
        <v>201</v>
      </c>
      <c r="CO3" s="33" t="s">
        <v>202</v>
      </c>
      <c r="CP3" s="28" t="s">
        <v>13</v>
      </c>
      <c r="CQ3" s="30" t="s">
        <v>9</v>
      </c>
      <c r="CR3" s="30" t="s">
        <v>201</v>
      </c>
      <c r="CS3" s="34" t="s">
        <v>202</v>
      </c>
      <c r="CT3" s="35" t="s">
        <v>13</v>
      </c>
      <c r="CU3" s="32" t="s">
        <v>203</v>
      </c>
      <c r="CV3" s="32" t="s">
        <v>201</v>
      </c>
      <c r="CW3" s="33" t="s">
        <v>204</v>
      </c>
      <c r="CX3" s="36" t="s">
        <v>13</v>
      </c>
      <c r="CY3" s="37" t="s">
        <v>201</v>
      </c>
      <c r="CZ3" s="37" t="s">
        <v>205</v>
      </c>
      <c r="DA3" s="34" t="s">
        <v>15</v>
      </c>
      <c r="DB3" s="38" t="s">
        <v>201</v>
      </c>
      <c r="DC3" s="39" t="s">
        <v>202</v>
      </c>
      <c r="DD3" s="36" t="s">
        <v>13</v>
      </c>
      <c r="DE3" s="37" t="s">
        <v>201</v>
      </c>
      <c r="DF3" s="40" t="s">
        <v>205</v>
      </c>
      <c r="DG3" s="29" t="s">
        <v>206</v>
      </c>
      <c r="DH3" s="38" t="s">
        <v>13</v>
      </c>
      <c r="DI3" s="41" t="s">
        <v>201</v>
      </c>
      <c r="DJ3" s="39" t="s">
        <v>205</v>
      </c>
      <c r="DK3" s="42" t="s">
        <v>13</v>
      </c>
      <c r="DL3" s="37" t="s">
        <v>9</v>
      </c>
      <c r="DM3" s="37" t="s">
        <v>201</v>
      </c>
      <c r="DN3" s="29" t="s">
        <v>207</v>
      </c>
      <c r="DO3" s="38" t="s">
        <v>13</v>
      </c>
      <c r="DP3" s="41" t="s">
        <v>201</v>
      </c>
      <c r="DQ3" s="39" t="s">
        <v>206</v>
      </c>
      <c r="DR3" s="36" t="s">
        <v>201</v>
      </c>
      <c r="DS3" s="29" t="s">
        <v>15</v>
      </c>
      <c r="DT3" s="38" t="s">
        <v>13</v>
      </c>
      <c r="DU3" s="41" t="s">
        <v>203</v>
      </c>
      <c r="DV3" s="41" t="s">
        <v>201</v>
      </c>
      <c r="DW3" s="33" t="s">
        <v>274</v>
      </c>
      <c r="DY3" s="576" t="s">
        <v>1652</v>
      </c>
    </row>
    <row r="4" spans="1:256">
      <c r="A4" s="74">
        <v>1000</v>
      </c>
      <c r="B4" s="75">
        <v>10130</v>
      </c>
      <c r="C4" s="606" t="s">
        <v>28</v>
      </c>
      <c r="D4" s="595">
        <f>VLOOKUP(A4,[4]CFR20152016_BenchMarkDataReport!$B$3:$BO$99,18,0)</f>
        <v>378766</v>
      </c>
      <c r="E4" s="595">
        <f>VLOOKUP(A4,[4]CFR20152016_BenchMarkDataReport!$B$3:$BO$99,19,0)</f>
        <v>0</v>
      </c>
      <c r="F4" s="595">
        <f>VLOOKUP(A4,[4]CFR20152016_BenchMarkDataReport!$B$3:$BO$99,20,0)</f>
        <v>0</v>
      </c>
      <c r="G4" s="595">
        <f>VLOOKUP(A4,[4]CFR20152016_BenchMarkDataReport!$B$3:$BO$99,21,0)</f>
        <v>0</v>
      </c>
      <c r="H4" s="595">
        <f>VLOOKUP(A4,[4]CFR20152016_BenchMarkDataReport!$B$3:$BO$99,22,0)</f>
        <v>2000</v>
      </c>
      <c r="I4" s="595">
        <f>VLOOKUP(A4,[4]CFR20152016_BenchMarkDataReport!$B$3:$BO$99,23,0)</f>
        <v>49677.5</v>
      </c>
      <c r="J4" s="595">
        <f>VLOOKUP(A4,[4]CFR20152016_BenchMarkDataReport!$B$3:$BO$99,24,0)</f>
        <v>4580.8500000000004</v>
      </c>
      <c r="K4" s="595">
        <f>VLOOKUP(A4,[4]CFR20152016_BenchMarkDataReport!$B$3:$BO$99,25,0)</f>
        <v>171738.03</v>
      </c>
      <c r="L4" s="595">
        <f>VLOOKUP(A4,[4]CFR20152016_BenchMarkDataReport!$B$3:$BO$99,26,0)</f>
        <v>7607.35</v>
      </c>
      <c r="M4" s="595">
        <f>VLOOKUP(A4,[4]CFR20152016_BenchMarkDataReport!$B$3:$BO$99,27,0)</f>
        <v>2323.58</v>
      </c>
      <c r="N4" s="595">
        <f>VLOOKUP(A4,[4]CFR20152016_BenchMarkDataReport!$B$3:$BO$99,28,0)</f>
        <v>0</v>
      </c>
      <c r="O4" s="595">
        <f>VLOOKUP(A4,[4]CFR20152016_BenchMarkDataReport!$B$3:$BO$99,29,0)</f>
        <v>1263.29</v>
      </c>
      <c r="P4" s="595">
        <f>VLOOKUP(A4,[4]CFR20152016_BenchMarkDataReport!$B$3:$BO$99,30,0)</f>
        <v>4413.2</v>
      </c>
      <c r="Q4" s="595">
        <f>VLOOKUP(A4,[4]CFR20152016_BenchMarkDataReport!$B$3:$BO$99,31,0)</f>
        <v>0</v>
      </c>
      <c r="R4" s="595">
        <f>VLOOKUP(A4,[4]CFR20152016_BenchMarkDataReport!$B$3:$BO$99,32,0)</f>
        <v>0</v>
      </c>
      <c r="S4" s="595">
        <f>VLOOKUP(A4,[4]CFR20152016_BenchMarkDataReport!$B$3:$BO$99,33,0)</f>
        <v>0</v>
      </c>
      <c r="T4" s="595">
        <f>VLOOKUP(A4,[4]CFR20152016_BenchMarkDataReport!$B$3:$BO$99,34,0)</f>
        <v>0</v>
      </c>
      <c r="U4" s="595">
        <f>VLOOKUP(A4,[4]CFR20152016_BenchMarkDataReport!$B$3:$BO$99,35,0)</f>
        <v>201343.79</v>
      </c>
      <c r="V4" s="595">
        <f>VLOOKUP(A4,[4]CFR20152016_BenchMarkDataReport!$B$3:$BO$99,36,0)</f>
        <v>0</v>
      </c>
      <c r="W4" s="595">
        <f>VLOOKUP(A4,[4]CFR20152016_BenchMarkDataReport!$B$3:$BO$99,37,0)</f>
        <v>337170.3</v>
      </c>
      <c r="X4" s="595">
        <f>VLOOKUP(A4,[4]CFR20152016_BenchMarkDataReport!$B$3:$BO$99,38,0)</f>
        <v>28382.07</v>
      </c>
      <c r="Y4" s="595">
        <f>VLOOKUP(A4,[4]CFR20152016_BenchMarkDataReport!$B$3:$BO$99,39,0)</f>
        <v>35639.29</v>
      </c>
      <c r="Z4" s="595">
        <f>VLOOKUP(A4,[4]CFR20152016_BenchMarkDataReport!$B$3:$BO$99,40,0)</f>
        <v>0</v>
      </c>
      <c r="AA4" s="595">
        <f>VLOOKUP(A4,[4]CFR20152016_BenchMarkDataReport!$B$3:$BO$99,41,0)</f>
        <v>9010.3799999999992</v>
      </c>
      <c r="AB4" s="595">
        <f>VLOOKUP(A4,[4]CFR20152016_BenchMarkDataReport!$B$3:$BO$99,42,0)</f>
        <v>4017.46</v>
      </c>
      <c r="AC4" s="595">
        <f>VLOOKUP(A4,[4]CFR20152016_BenchMarkDataReport!$B$3:$BO$99,43,0)</f>
        <v>9850.42</v>
      </c>
      <c r="AD4" s="595">
        <f>VLOOKUP(A4,[4]CFR20152016_BenchMarkDataReport!$B$3:$BO$99,44,0)</f>
        <v>5896.57</v>
      </c>
      <c r="AE4" s="595">
        <f>VLOOKUP(A4,[4]CFR20152016_BenchMarkDataReport!$B$3:$BO$99,45,0)</f>
        <v>1264.6400000000001</v>
      </c>
      <c r="AF4" s="595">
        <f>VLOOKUP(A4,[4]CFR20152016_BenchMarkDataReport!$B$3:$BO$99,46,0)</f>
        <v>6889.06</v>
      </c>
      <c r="AG4" s="595">
        <f>VLOOKUP(A4,[4]CFR20152016_BenchMarkDataReport!$B$3:$BO$99,47,0)</f>
        <v>2322.42</v>
      </c>
      <c r="AH4" s="595">
        <f>VLOOKUP(A4,[4]CFR20152016_BenchMarkDataReport!$B$3:$BO$99,48,0)</f>
        <v>1210.68</v>
      </c>
      <c r="AI4" s="595">
        <f>VLOOKUP(A4,[4]CFR20152016_BenchMarkDataReport!$B$3:$BO$99,49,0)</f>
        <v>1460.17</v>
      </c>
      <c r="AJ4" s="595">
        <f>VLOOKUP(A4,[4]CFR20152016_BenchMarkDataReport!$B$3:$BO$99,50,0)</f>
        <v>4958.75</v>
      </c>
      <c r="AK4" s="595">
        <f>VLOOKUP(A4,[4]CFR20152016_BenchMarkDataReport!$B$3:$BO$99,51,0)</f>
        <v>1992</v>
      </c>
      <c r="AL4" s="595">
        <f>VLOOKUP(A4,[4]CFR20152016_BenchMarkDataReport!$B$3:$BO$99,52,0)</f>
        <v>6177.45</v>
      </c>
      <c r="AM4" s="595">
        <f>VLOOKUP(A4,[4]CFR20152016_BenchMarkDataReport!$B$3:$BO$99,53,0)</f>
        <v>21031.85</v>
      </c>
      <c r="AN4" s="595">
        <f>VLOOKUP(A4,[4]CFR20152016_BenchMarkDataReport!$B$3:$BO$99,54,0)</f>
        <v>9532.7900000000009</v>
      </c>
      <c r="AO4" s="595">
        <f>VLOOKUP(A4,[4]CFR20152016_BenchMarkDataReport!$B$3:$BO$99,55,0)</f>
        <v>0</v>
      </c>
      <c r="AP4" s="595">
        <f>VLOOKUP(A4,[4]CFR20152016_BenchMarkDataReport!$B$3:$BO$99,56,0)</f>
        <v>7465.02</v>
      </c>
      <c r="AQ4" s="595">
        <f>VLOOKUP(A4,[4]CFR20152016_BenchMarkDataReport!$B$3:$BO$99,57,0)</f>
        <v>973.79</v>
      </c>
      <c r="AR4" s="595">
        <f>VLOOKUP(A4,[4]CFR20152016_BenchMarkDataReport!$B$3:$BO$99,58,0)</f>
        <v>5231.63</v>
      </c>
      <c r="AS4" s="595">
        <f>VLOOKUP(A4,[4]CFR20152016_BenchMarkDataReport!$B$3:$BO$99,59,0)</f>
        <v>11709.95</v>
      </c>
      <c r="AT4" s="595">
        <f>VLOOKUP(A4,[4]CFR20152016_BenchMarkDataReport!$B$3:$BO$99,60,0)</f>
        <v>560</v>
      </c>
      <c r="AU4" s="595">
        <f>VLOOKUP(A4,[4]CFR20152016_BenchMarkDataReport!$B$3:$BO$99,61,0)</f>
        <v>1470</v>
      </c>
      <c r="AV4" s="595">
        <f>VLOOKUP(A4,[4]CFR20152016_BenchMarkDataReport!$B$3:$BO$99,62,0)</f>
        <v>19906.32</v>
      </c>
      <c r="AW4" s="595">
        <f>VLOOKUP(A4,[4]CFR20152016_BenchMarkDataReport!$B$3:$BO$99,63,0)</f>
        <v>0</v>
      </c>
      <c r="AX4" s="595">
        <f>VLOOKUP(A4,[4]CFR20152016_BenchMarkDataReport!$B$3:$BO$99,64,0)</f>
        <v>49099</v>
      </c>
      <c r="AY4" s="595">
        <f>VLOOKUP(A4,[4]CFR20152016_BenchMarkDataReport!$B$3:$BO$99,65,0)</f>
        <v>0</v>
      </c>
      <c r="AZ4" s="595">
        <f>VLOOKUP(A4,[4]CFR20152016_BenchMarkDataReport!$B$3:$BO$99,66,0)</f>
        <v>0</v>
      </c>
      <c r="BA4" s="596">
        <f>SUM(D4:Q4)+T4</f>
        <v>622369.79999999993</v>
      </c>
      <c r="BB4" s="595">
        <f>SUM(U4:AX4)</f>
        <v>784565.8</v>
      </c>
      <c r="BC4" s="596">
        <f>BA4-BB4</f>
        <v>-162196.00000000012</v>
      </c>
      <c r="BD4" s="595">
        <f>VLOOKUP(A4,[4]CFR20152016_BenchMarkDataReport!$B$3:$BO$99,15,0)</f>
        <v>307555</v>
      </c>
      <c r="BE4" s="596">
        <f>SUM(BC4:BD4)</f>
        <v>145358.99999999988</v>
      </c>
      <c r="BF4" s="76">
        <f>VLOOKUP(A4,'OCT 15 CENSUS'!$B$9:$U$132,20,0)</f>
        <v>82</v>
      </c>
      <c r="BG4" s="73">
        <f>VLOOKUP(A4,'[2]BUDGET SHARE inc ADJUSTMENTS'!$D$4:$M$139,10,0)</f>
        <v>383495.40756390977</v>
      </c>
      <c r="BH4" s="76">
        <f>VLOOKUP(A4,'12-13 Pupil Data'!A:CI,81,0)</f>
        <v>370</v>
      </c>
      <c r="BI4" t="s">
        <v>208</v>
      </c>
      <c r="BJ4" s="44">
        <f>D4/BA4</f>
        <v>0.60858672769790567</v>
      </c>
      <c r="BK4" s="45">
        <f>D4/BF4</f>
        <v>4619.0975609756097</v>
      </c>
      <c r="BL4" s="44">
        <f>E4/BA4</f>
        <v>0</v>
      </c>
      <c r="BM4" s="45">
        <f>E4/BF4</f>
        <v>0</v>
      </c>
      <c r="BN4" s="44">
        <f>F4/BA4</f>
        <v>0</v>
      </c>
      <c r="BO4" s="45">
        <f>F4/BF4</f>
        <v>0</v>
      </c>
      <c r="BP4" s="44">
        <f>G4/BA4</f>
        <v>0</v>
      </c>
      <c r="BQ4" s="45">
        <f>G4/BF4</f>
        <v>0</v>
      </c>
      <c r="BR4" s="44">
        <f>H4/BA4</f>
        <v>3.2135235353643447E-3</v>
      </c>
      <c r="BS4" s="45">
        <f>H4/BF4</f>
        <v>24.390243902439025</v>
      </c>
      <c r="BT4" s="44">
        <f>I4/BA4</f>
        <v>7.9819907714031121E-2</v>
      </c>
      <c r="BU4" s="45">
        <f>I4/BF4</f>
        <v>605.82317073170736</v>
      </c>
      <c r="BV4" s="44">
        <f>J4/BA4</f>
        <v>7.3603346434868797E-3</v>
      </c>
      <c r="BW4" s="45">
        <f>J4/BF4</f>
        <v>55.864024390243905</v>
      </c>
      <c r="BX4" s="44">
        <f>K4/BA4</f>
        <v>0.27594210066105396</v>
      </c>
      <c r="BY4" s="45">
        <f>K4/BF4</f>
        <v>2094.3662195121951</v>
      </c>
      <c r="BZ4" s="46">
        <f>O4/BA4</f>
        <v>2.0298060734952115E-3</v>
      </c>
      <c r="CA4" s="47">
        <f>O4/BF4</f>
        <v>15.405975609756098</v>
      </c>
      <c r="CB4" s="44">
        <f>P4/BA4</f>
        <v>7.0909610331349633E-3</v>
      </c>
      <c r="CC4" s="48">
        <f>P4/BF4</f>
        <v>53.819512195121952</v>
      </c>
      <c r="CD4" s="46">
        <f>(U4+V4+AT4)/BG4</f>
        <v>0.52648294091071379</v>
      </c>
      <c r="CE4" s="49">
        <f>(U4+V4+AT4)/BA4</f>
        <v>0.32441129052213014</v>
      </c>
      <c r="CF4" s="49">
        <f>(U4+V4+AT4)/BB4</f>
        <v>0.25734462297489896</v>
      </c>
      <c r="CG4" s="47">
        <f>(U4+V4+AT4)/BF4</f>
        <v>2462.2413414634148</v>
      </c>
      <c r="CH4" s="44">
        <f>W4/BG4</f>
        <v>0.87920296658001129</v>
      </c>
      <c r="CI4" s="50">
        <f>W4/BA4</f>
        <v>0.54175234723792831</v>
      </c>
      <c r="CJ4" s="50">
        <f>W4/BB4</f>
        <v>0.42975401170940664</v>
      </c>
      <c r="CK4" s="45">
        <f>W4/BF4</f>
        <v>4111.8329268292682</v>
      </c>
      <c r="CL4" s="46">
        <f>X4/BG4</f>
        <v>7.4008891476151792E-2</v>
      </c>
      <c r="CM4" s="49">
        <f>X4/BA4</f>
        <v>4.5603224963679155E-2</v>
      </c>
      <c r="CN4" s="49">
        <f>X4/BB4</f>
        <v>3.6175512621121134E-2</v>
      </c>
      <c r="CO4" s="47">
        <f>X4/BF4</f>
        <v>346.12280487804878</v>
      </c>
      <c r="CP4" s="44">
        <f>Y4/BG4</f>
        <v>9.2932768677446778E-2</v>
      </c>
      <c r="CQ4" s="50">
        <f>Y4/BA4</f>
        <v>5.7263848599337572E-2</v>
      </c>
      <c r="CR4" s="50">
        <f>Y4/BB4</f>
        <v>4.5425495222962811E-2</v>
      </c>
      <c r="CS4" s="45">
        <f>Y4/BF4</f>
        <v>434.62548780487805</v>
      </c>
      <c r="CT4" s="81">
        <f>(U4+V4+W4+X4+Y4+Z4+AA4)/BG4</f>
        <v>1.5946627206952548</v>
      </c>
      <c r="CU4" s="49">
        <f>(U4+V4+W4+X4+Y4+Z4+AA4)/BA4</f>
        <v>0.98260845882946124</v>
      </c>
      <c r="CV4" s="49">
        <f>(U4+V4+W4+X4+Y4+Z4+AA4)/BB4</f>
        <v>0.77947041535585659</v>
      </c>
      <c r="CW4" s="47">
        <f>(U4+V4+W4+X4+Y4+Z4+AA4)/BF4</f>
        <v>7457.8759756097552</v>
      </c>
      <c r="CX4" s="44">
        <f>AF4/BG4</f>
        <v>1.7963865705098263E-2</v>
      </c>
      <c r="CY4" s="50">
        <f>AF4/BB4</f>
        <v>8.780729417468873E-3</v>
      </c>
      <c r="CZ4" s="48">
        <f>AF4/BH4</f>
        <v>18.619081081081081</v>
      </c>
      <c r="DA4" s="45">
        <f>AF4/BF4</f>
        <v>84.012926829268295</v>
      </c>
      <c r="DB4" s="51">
        <f>AI4/BB4</f>
        <v>1.8611185957889064E-3</v>
      </c>
      <c r="DC4" s="52">
        <f>AI4/BF4</f>
        <v>17.806951219512197</v>
      </c>
      <c r="DD4" s="44">
        <f>AJ4/BG4</f>
        <v>1.2930402560749364E-2</v>
      </c>
      <c r="DE4" s="50">
        <f>AJ4/BB4</f>
        <v>6.320374913104802E-3</v>
      </c>
      <c r="DF4" s="48">
        <f>AJ4/BH4</f>
        <v>13.402027027027026</v>
      </c>
      <c r="DG4" s="45">
        <f>AJ4/BF4</f>
        <v>60.472560975609753</v>
      </c>
      <c r="DH4" s="46">
        <f>AL4/BG4</f>
        <v>1.6108276339581781E-2</v>
      </c>
      <c r="DI4" s="49">
        <f>AL4/BB4</f>
        <v>7.8737181763467116E-3</v>
      </c>
      <c r="DJ4" s="47">
        <f>AL4/BH4</f>
        <v>16.695810810810812</v>
      </c>
      <c r="DK4" s="44">
        <f>AM4/BG4</f>
        <v>5.4842508111378169E-2</v>
      </c>
      <c r="DL4" s="50">
        <f>AM4/BA4</f>
        <v>3.3793172483626295E-2</v>
      </c>
      <c r="DM4" s="50">
        <f>AM4/BB4</f>
        <v>2.6806993116447336E-2</v>
      </c>
      <c r="DN4" s="45">
        <f>AM4/BF4</f>
        <v>256.48597560975605</v>
      </c>
      <c r="DO4" s="46">
        <f>AP4/BG4</f>
        <v>1.9465735059046176E-2</v>
      </c>
      <c r="DP4" s="49">
        <f>AP4/BB4</f>
        <v>9.5148424772020391E-3</v>
      </c>
      <c r="DQ4" s="47">
        <f>AP4/BF4</f>
        <v>91.036829268292692</v>
      </c>
      <c r="DR4" s="53">
        <f>AS4/BB4</f>
        <v>1.492538930450448E-2</v>
      </c>
      <c r="DS4" s="45">
        <f>AS4/BF4</f>
        <v>142.80426829268293</v>
      </c>
      <c r="DT4" s="46" t="e">
        <f>DY4/BG4</f>
        <v>#N/A</v>
      </c>
      <c r="DU4" s="49" t="e">
        <f>DY4/BA4</f>
        <v>#N/A</v>
      </c>
      <c r="DV4" s="49" t="e">
        <f>DY4/BB4</f>
        <v>#N/A</v>
      </c>
      <c r="DW4" s="47" t="e">
        <f>DY4/BF4</f>
        <v>#N/A</v>
      </c>
      <c r="DY4" s="54" t="e">
        <f>VLOOKUP(A4,'2014-15 PPFSM'!E:L,8,0)</f>
        <v>#N/A</v>
      </c>
    </row>
    <row r="5" spans="1:256">
      <c r="A5" s="74">
        <v>1001</v>
      </c>
      <c r="B5" s="75">
        <v>10131</v>
      </c>
      <c r="C5" s="606" t="s">
        <v>29</v>
      </c>
      <c r="D5" s="595">
        <f>VLOOKUP(A5,[4]CFR20152016_BenchMarkDataReport!$B$3:$BO$99,18,0)</f>
        <v>333900</v>
      </c>
      <c r="E5" s="595">
        <f>VLOOKUP(A5,[4]CFR20152016_BenchMarkDataReport!$B$3:$BO$99,19,0)</f>
        <v>0</v>
      </c>
      <c r="F5" s="595">
        <f>VLOOKUP(A5,[4]CFR20152016_BenchMarkDataReport!$B$3:$BO$99,20,0)</f>
        <v>0</v>
      </c>
      <c r="G5" s="595">
        <f>VLOOKUP(A5,[4]CFR20152016_BenchMarkDataReport!$B$3:$BO$99,21,0)</f>
        <v>0</v>
      </c>
      <c r="H5" s="595">
        <f>VLOOKUP(A5,[4]CFR20152016_BenchMarkDataReport!$B$3:$BO$99,22,0)</f>
        <v>0</v>
      </c>
      <c r="I5" s="595">
        <f>VLOOKUP(A5,[4]CFR20152016_BenchMarkDataReport!$B$3:$BO$99,23,0)</f>
        <v>74904</v>
      </c>
      <c r="J5" s="595">
        <f>VLOOKUP(A5,[4]CFR20152016_BenchMarkDataReport!$B$3:$BO$99,24,0)</f>
        <v>12493.4</v>
      </c>
      <c r="K5" s="595">
        <f>VLOOKUP(A5,[4]CFR20152016_BenchMarkDataReport!$B$3:$BO$99,25,0)</f>
        <v>122161.02</v>
      </c>
      <c r="L5" s="595">
        <f>VLOOKUP(A5,[4]CFR20152016_BenchMarkDataReport!$B$3:$BO$99,26,0)</f>
        <v>0</v>
      </c>
      <c r="M5" s="595">
        <f>VLOOKUP(A5,[4]CFR20152016_BenchMarkDataReport!$B$3:$BO$99,27,0)</f>
        <v>0</v>
      </c>
      <c r="N5" s="595">
        <f>VLOOKUP(A5,[4]CFR20152016_BenchMarkDataReport!$B$3:$BO$99,28,0)</f>
        <v>0</v>
      </c>
      <c r="O5" s="595">
        <f>VLOOKUP(A5,[4]CFR20152016_BenchMarkDataReport!$B$3:$BO$99,29,0)</f>
        <v>0</v>
      </c>
      <c r="P5" s="595">
        <f>VLOOKUP(A5,[4]CFR20152016_BenchMarkDataReport!$B$3:$BO$99,30,0)</f>
        <v>5017.25</v>
      </c>
      <c r="Q5" s="595">
        <f>VLOOKUP(A5,[4]CFR20152016_BenchMarkDataReport!$B$3:$BO$99,31,0)</f>
        <v>0</v>
      </c>
      <c r="R5" s="595">
        <f>VLOOKUP(A5,[4]CFR20152016_BenchMarkDataReport!$B$3:$BO$99,32,0)</f>
        <v>198823</v>
      </c>
      <c r="S5" s="595">
        <f>VLOOKUP(A5,[4]CFR20152016_BenchMarkDataReport!$B$3:$BO$99,33,0)</f>
        <v>1845.07</v>
      </c>
      <c r="T5" s="595">
        <f>VLOOKUP(A5,[4]CFR20152016_BenchMarkDataReport!$B$3:$BO$99,34,0)</f>
        <v>0</v>
      </c>
      <c r="U5" s="595">
        <f>VLOOKUP(A5,[4]CFR20152016_BenchMarkDataReport!$B$3:$BO$99,35,0)</f>
        <v>162956.62</v>
      </c>
      <c r="V5" s="595">
        <f>VLOOKUP(A5,[4]CFR20152016_BenchMarkDataReport!$B$3:$BO$99,36,0)</f>
        <v>0</v>
      </c>
      <c r="W5" s="595">
        <f>VLOOKUP(A5,[4]CFR20152016_BenchMarkDataReport!$B$3:$BO$99,37,0)</f>
        <v>218959.15</v>
      </c>
      <c r="X5" s="595">
        <f>VLOOKUP(A5,[4]CFR20152016_BenchMarkDataReport!$B$3:$BO$99,38,0)</f>
        <v>22163.57</v>
      </c>
      <c r="Y5" s="595">
        <f>VLOOKUP(A5,[4]CFR20152016_BenchMarkDataReport!$B$3:$BO$99,39,0)</f>
        <v>37335.69</v>
      </c>
      <c r="Z5" s="595">
        <f>VLOOKUP(A5,[4]CFR20152016_BenchMarkDataReport!$B$3:$BO$99,40,0)</f>
        <v>0</v>
      </c>
      <c r="AA5" s="595">
        <f>VLOOKUP(A5,[4]CFR20152016_BenchMarkDataReport!$B$3:$BO$99,41,0)</f>
        <v>14766.01</v>
      </c>
      <c r="AB5" s="595">
        <f>VLOOKUP(A5,[4]CFR20152016_BenchMarkDataReport!$B$3:$BO$99,42,0)</f>
        <v>2367.25</v>
      </c>
      <c r="AC5" s="595">
        <f>VLOOKUP(A5,[4]CFR20152016_BenchMarkDataReport!$B$3:$BO$99,43,0)</f>
        <v>2174.77</v>
      </c>
      <c r="AD5" s="595">
        <f>VLOOKUP(A5,[4]CFR20152016_BenchMarkDataReport!$B$3:$BO$99,44,0)</f>
        <v>4772.7</v>
      </c>
      <c r="AE5" s="595">
        <f>VLOOKUP(A5,[4]CFR20152016_BenchMarkDataReport!$B$3:$BO$99,45,0)</f>
        <v>377.8</v>
      </c>
      <c r="AF5" s="595">
        <f>VLOOKUP(A5,[4]CFR20152016_BenchMarkDataReport!$B$3:$BO$99,46,0)</f>
        <v>5541.51</v>
      </c>
      <c r="AG5" s="595">
        <f>VLOOKUP(A5,[4]CFR20152016_BenchMarkDataReport!$B$3:$BO$99,47,0)</f>
        <v>385</v>
      </c>
      <c r="AH5" s="595">
        <f>VLOOKUP(A5,[4]CFR20152016_BenchMarkDataReport!$B$3:$BO$99,48,0)</f>
        <v>671.34</v>
      </c>
      <c r="AI5" s="595">
        <f>VLOOKUP(A5,[4]CFR20152016_BenchMarkDataReport!$B$3:$BO$99,49,0)</f>
        <v>688.78</v>
      </c>
      <c r="AJ5" s="595">
        <f>VLOOKUP(A5,[4]CFR20152016_BenchMarkDataReport!$B$3:$BO$99,50,0)</f>
        <v>951.61</v>
      </c>
      <c r="AK5" s="595">
        <f>VLOOKUP(A5,[4]CFR20152016_BenchMarkDataReport!$B$3:$BO$99,51,0)</f>
        <v>12571.5</v>
      </c>
      <c r="AL5" s="595">
        <f>VLOOKUP(A5,[4]CFR20152016_BenchMarkDataReport!$B$3:$BO$99,52,0)</f>
        <v>2880.1</v>
      </c>
      <c r="AM5" s="595">
        <f>VLOOKUP(A5,[4]CFR20152016_BenchMarkDataReport!$B$3:$BO$99,53,0)</f>
        <v>11846.48</v>
      </c>
      <c r="AN5" s="595">
        <f>VLOOKUP(A5,[4]CFR20152016_BenchMarkDataReport!$B$3:$BO$99,54,0)</f>
        <v>4721.78</v>
      </c>
      <c r="AO5" s="595">
        <f>VLOOKUP(A5,[4]CFR20152016_BenchMarkDataReport!$B$3:$BO$99,55,0)</f>
        <v>0</v>
      </c>
      <c r="AP5" s="595">
        <f>VLOOKUP(A5,[4]CFR20152016_BenchMarkDataReport!$B$3:$BO$99,56,0)</f>
        <v>7161.79</v>
      </c>
      <c r="AQ5" s="595">
        <f>VLOOKUP(A5,[4]CFR20152016_BenchMarkDataReport!$B$3:$BO$99,57,0)</f>
        <v>505.86</v>
      </c>
      <c r="AR5" s="595">
        <f>VLOOKUP(A5,[4]CFR20152016_BenchMarkDataReport!$B$3:$BO$99,58,0)</f>
        <v>4000.2</v>
      </c>
      <c r="AS5" s="595">
        <f>VLOOKUP(A5,[4]CFR20152016_BenchMarkDataReport!$B$3:$BO$99,59,0)</f>
        <v>761.27</v>
      </c>
      <c r="AT5" s="595">
        <f>VLOOKUP(A5,[4]CFR20152016_BenchMarkDataReport!$B$3:$BO$99,60,0)</f>
        <v>0.42</v>
      </c>
      <c r="AU5" s="595">
        <f>VLOOKUP(A5,[4]CFR20152016_BenchMarkDataReport!$B$3:$BO$99,61,0)</f>
        <v>16522.259999999998</v>
      </c>
      <c r="AV5" s="595">
        <f>VLOOKUP(A5,[4]CFR20152016_BenchMarkDataReport!$B$3:$BO$99,62,0)</f>
        <v>13309.21</v>
      </c>
      <c r="AW5" s="595">
        <f>VLOOKUP(A5,[4]CFR20152016_BenchMarkDataReport!$B$3:$BO$99,63,0)</f>
        <v>0</v>
      </c>
      <c r="AX5" s="595">
        <f>VLOOKUP(A5,[4]CFR20152016_BenchMarkDataReport!$B$3:$BO$99,64,0)</f>
        <v>0</v>
      </c>
      <c r="AY5" s="595">
        <f>VLOOKUP(A5,[4]CFR20152016_BenchMarkDataReport!$B$3:$BO$99,65,0)</f>
        <v>166647.21</v>
      </c>
      <c r="AZ5" s="595">
        <f>VLOOKUP(A5,[4]CFR20152016_BenchMarkDataReport!$B$3:$BO$99,66,0)</f>
        <v>24179.7</v>
      </c>
      <c r="BA5" s="596">
        <f t="shared" ref="BA5:BA63" si="0">SUM(D5:Q5)+T5</f>
        <v>548475.67000000004</v>
      </c>
      <c r="BB5" s="595">
        <f>SUM(U5:AX5)</f>
        <v>548392.67000000004</v>
      </c>
      <c r="BC5" s="596">
        <f>BA5-BB5</f>
        <v>83</v>
      </c>
      <c r="BD5" s="595">
        <f>VLOOKUP(A5,[4]CFR20152016_BenchMarkDataReport!$B$3:$BO$99,15,0)</f>
        <v>166912</v>
      </c>
      <c r="BE5" s="596">
        <f t="shared" ref="BE5:BE61" si="1">SUM(BC5:BD5)</f>
        <v>166995</v>
      </c>
      <c r="BF5" s="76">
        <f>VLOOKUP(A5,'OCT 15 CENSUS'!$B$9:$U$132,20,0)</f>
        <v>82</v>
      </c>
      <c r="BG5" s="73">
        <f>VLOOKUP(A5,'[2]BUDGET SHARE inc ADJUSTMENTS'!$D$4:$M$139,10,0)</f>
        <v>338530.55665988498</v>
      </c>
      <c r="BH5" s="76">
        <f>VLOOKUP(A5,'12-13 Pupil Data'!A:CI,81,0)</f>
        <v>200</v>
      </c>
      <c r="BI5" t="s">
        <v>208</v>
      </c>
      <c r="BJ5" s="44">
        <f>D5/BA5</f>
        <v>0.60877814324927115</v>
      </c>
      <c r="BK5" s="45">
        <f>D5/BF5</f>
        <v>4071.9512195121952</v>
      </c>
      <c r="BL5" s="44">
        <f>E5/BA5</f>
        <v>0</v>
      </c>
      <c r="BM5" s="45">
        <f>E5/BF5</f>
        <v>0</v>
      </c>
      <c r="BN5" s="44">
        <f>F5/BA5</f>
        <v>0</v>
      </c>
      <c r="BO5" s="45">
        <f>F5/BF5</f>
        <v>0</v>
      </c>
      <c r="BP5" s="44">
        <f>G5/BA5</f>
        <v>0</v>
      </c>
      <c r="BQ5" s="45">
        <f>G5/BF5</f>
        <v>0</v>
      </c>
      <c r="BR5" s="44">
        <f>H5/BA5</f>
        <v>0</v>
      </c>
      <c r="BS5" s="45">
        <f>H5/BF5</f>
        <v>0</v>
      </c>
      <c r="BT5" s="44">
        <f>I5/BA5</f>
        <v>0.13656758922414916</v>
      </c>
      <c r="BU5" s="45">
        <f>I5/BF5</f>
        <v>913.46341463414637</v>
      </c>
      <c r="BV5" s="44">
        <f>J5/BA5</f>
        <v>2.277840327903697E-2</v>
      </c>
      <c r="BW5" s="45">
        <f>J5/BF5</f>
        <v>152.35853658536584</v>
      </c>
      <c r="BX5" s="44">
        <f>K5/BA5</f>
        <v>0.22272823879316286</v>
      </c>
      <c r="BY5" s="45">
        <f>K5/BF5</f>
        <v>1489.7685365853658</v>
      </c>
      <c r="BZ5" s="46">
        <f>O5/BA5</f>
        <v>0</v>
      </c>
      <c r="CA5" s="47">
        <f>O5/BF5</f>
        <v>0</v>
      </c>
      <c r="CB5" s="44">
        <f>P5/BA5</f>
        <v>9.1476254543797712E-3</v>
      </c>
      <c r="CC5" s="48">
        <f>P5/BF5</f>
        <v>61.185975609756099</v>
      </c>
      <c r="CD5" s="46">
        <f>(U5+V5+AT5)/BG5</f>
        <v>0.48136582294909275</v>
      </c>
      <c r="CE5" s="49">
        <f>(U5+V5+AT5)/BA5</f>
        <v>0.2971089674770806</v>
      </c>
      <c r="CF5" s="49">
        <f>(U5+V5+AT5)/BB5</f>
        <v>0.29715393533615247</v>
      </c>
      <c r="CG5" s="47">
        <f>(U5+V5+AT5)/BF5</f>
        <v>1987.2809756097563</v>
      </c>
      <c r="CH5" s="44">
        <f t="shared" ref="CH5:CH61" si="2">W5/BG5</f>
        <v>0.64679286904072286</v>
      </c>
      <c r="CI5" s="50">
        <f t="shared" ref="CI5:CI61" si="3">W5/BA5</f>
        <v>0.39921397060329034</v>
      </c>
      <c r="CJ5" s="50">
        <f t="shared" ref="CJ5:CJ61" si="4">W5/BB5</f>
        <v>0.39927439219783878</v>
      </c>
      <c r="CK5" s="45">
        <f t="shared" ref="CK5:CK61" si="5">W5/BF5</f>
        <v>2670.233536585366</v>
      </c>
      <c r="CL5" s="46">
        <f t="shared" ref="CL5:CL61" si="6">X5/BG5</f>
        <v>6.5469924542933669E-2</v>
      </c>
      <c r="CM5" s="49">
        <f>X5/BA5</f>
        <v>4.0409395005616196E-2</v>
      </c>
      <c r="CN5" s="49">
        <f>X5/BB5</f>
        <v>4.0415511024244725E-2</v>
      </c>
      <c r="CO5" s="47">
        <f>X5/BF5</f>
        <v>270.28743902439027</v>
      </c>
      <c r="CP5" s="44">
        <f t="shared" ref="CP5:CP61" si="7">Y5/BG5</f>
        <v>0.11028750364035952</v>
      </c>
      <c r="CQ5" s="50">
        <f t="shared" ref="CQ5:CQ61" si="8">Y5/BA5</f>
        <v>6.8071734157323691E-2</v>
      </c>
      <c r="CR5" s="50">
        <f>Y5/BB5</f>
        <v>6.8082036909793128E-2</v>
      </c>
      <c r="CS5" s="45">
        <f t="shared" ref="CS5:CS61" si="9">Y5/BF5</f>
        <v>455.31329268292689</v>
      </c>
      <c r="CT5" s="46">
        <f t="shared" ref="CT5:CT61" si="10">(U5+V5+W5+X5+Y5+Z5+AA5)/BG5</f>
        <v>1.3475328327844751</v>
      </c>
      <c r="CU5" s="49">
        <f t="shared" ref="CU5:CU61" si="11">(U5+V5+W5+X5+Y5+Z5+AA5)/BA5</f>
        <v>0.83172520669877659</v>
      </c>
      <c r="CV5" s="49">
        <f t="shared" ref="CV5:CV61" si="12">(U5+V5+W5+X5+Y5+Z5+AA5)/BB5</f>
        <v>0.83185108947572184</v>
      </c>
      <c r="CW5" s="47">
        <f t="shared" ref="CW5:CW61" si="13">(U5+V5+W5+X5+Y5+Z5+AA5)/BF5</f>
        <v>5563.1834146341471</v>
      </c>
      <c r="CX5" s="44">
        <f t="shared" ref="CX5:CX61" si="14">AF5/BG5</f>
        <v>1.6369305195594049E-2</v>
      </c>
      <c r="CY5" s="50">
        <f t="shared" ref="CY5:CY61" si="15">AF5/BB5</f>
        <v>1.0105003774029292E-2</v>
      </c>
      <c r="CZ5" s="48">
        <f t="shared" ref="CZ5:CZ61" si="16">AF5/BH5</f>
        <v>27.707550000000001</v>
      </c>
      <c r="DA5" s="45">
        <f t="shared" ref="DA5:DA61" si="17">AF5/BF5</f>
        <v>67.579390243902438</v>
      </c>
      <c r="DB5" s="51">
        <f t="shared" ref="DB5:DB61" si="18">AI5/BB5</f>
        <v>1.255997823603295E-3</v>
      </c>
      <c r="DC5" s="52">
        <f t="shared" ref="DC5:DC61" si="19">AI5/BF5</f>
        <v>8.3997560975609744</v>
      </c>
      <c r="DD5" s="44">
        <f t="shared" ref="DD5:DD61" si="20">AJ5/BG5</f>
        <v>2.8110017878122118E-3</v>
      </c>
      <c r="DE5" s="50">
        <f t="shared" ref="DE5:DE61" si="21">AJ5/BB5</f>
        <v>1.7352711880704022E-3</v>
      </c>
      <c r="DF5" s="48">
        <f t="shared" ref="DF5:DF61" si="22">AJ5/BH5</f>
        <v>4.7580499999999999</v>
      </c>
      <c r="DG5" s="45">
        <f t="shared" ref="DG5:DG61" si="23">AJ5/BF5</f>
        <v>11.605</v>
      </c>
      <c r="DH5" s="46">
        <f t="shared" ref="DH5:DH61" si="24">AL5/BG5</f>
        <v>8.5076515054254911E-3</v>
      </c>
      <c r="DI5" s="49">
        <f t="shared" ref="DI5:DI61" si="25">AL5/BB5</f>
        <v>5.2518936841369516E-3</v>
      </c>
      <c r="DJ5" s="47">
        <f t="shared" ref="DJ5:DJ61" si="26">AL5/BH5</f>
        <v>14.400499999999999</v>
      </c>
      <c r="DK5" s="44">
        <f t="shared" ref="DK5:DK61" si="27">AM5/BG5</f>
        <v>3.499382778583833E-2</v>
      </c>
      <c r="DL5" s="50">
        <f t="shared" ref="DL5:DL61" si="28">AM5/BA5</f>
        <v>2.1598916137884474E-2</v>
      </c>
      <c r="DM5" s="50">
        <f t="shared" ref="DM5:DM61" si="29">AM5/BB5</f>
        <v>2.1602185164145245E-2</v>
      </c>
      <c r="DN5" s="45">
        <f t="shared" ref="DN5:DN61" si="30">AM5/BF5</f>
        <v>144.46926829268293</v>
      </c>
      <c r="DO5" s="46">
        <f t="shared" ref="DO5:DO61" si="31">AP5/BG5</f>
        <v>2.1155520112163199E-2</v>
      </c>
      <c r="DP5" s="49">
        <f t="shared" ref="DP5:DP61" si="32">AP5/BB5</f>
        <v>1.3059601981915622E-2</v>
      </c>
      <c r="DQ5" s="47">
        <f t="shared" ref="DQ5:DQ61" si="33">AP5/BF5</f>
        <v>87.338902439024395</v>
      </c>
      <c r="DR5" s="53">
        <f t="shared" ref="DR5:DR61" si="34">AS5/BB5</f>
        <v>1.3881841272604901E-3</v>
      </c>
      <c r="DS5" s="45">
        <f t="shared" ref="DS5:DS61" si="35">AS5/BF5</f>
        <v>9.2837804878048775</v>
      </c>
      <c r="DT5" s="46" t="e">
        <f>DY5/BG5</f>
        <v>#N/A</v>
      </c>
      <c r="DU5" s="49" t="e">
        <f>DY5/BA5</f>
        <v>#N/A</v>
      </c>
      <c r="DV5" s="49" t="e">
        <f>DY5/BB5</f>
        <v>#N/A</v>
      </c>
      <c r="DW5" s="47" t="e">
        <f>DY5/BF5</f>
        <v>#N/A</v>
      </c>
      <c r="DY5" s="54" t="e">
        <f>VLOOKUP(A5,'2014-15 PPFSM'!E:L,8,0)</f>
        <v>#N/A</v>
      </c>
    </row>
    <row r="6" spans="1:256">
      <c r="A6" s="74">
        <v>1002</v>
      </c>
      <c r="B6" s="75">
        <v>10132</v>
      </c>
      <c r="C6" s="606" t="s">
        <v>30</v>
      </c>
      <c r="D6" s="595">
        <f>VLOOKUP(A6,[4]CFR20152016_BenchMarkDataReport!$B$3:$BO$99,18,0)</f>
        <v>459199</v>
      </c>
      <c r="E6" s="595">
        <f>VLOOKUP(A6,[4]CFR20152016_BenchMarkDataReport!$B$3:$BO$99,19,0)</f>
        <v>0</v>
      </c>
      <c r="F6" s="595">
        <f>VLOOKUP(A6,[4]CFR20152016_BenchMarkDataReport!$B$3:$BO$99,20,0)</f>
        <v>3492</v>
      </c>
      <c r="G6" s="595">
        <f>VLOOKUP(A6,[4]CFR20152016_BenchMarkDataReport!$B$3:$BO$99,21,0)</f>
        <v>0</v>
      </c>
      <c r="H6" s="595">
        <f>VLOOKUP(A6,[4]CFR20152016_BenchMarkDataReport!$B$3:$BO$99,22,0)</f>
        <v>0</v>
      </c>
      <c r="I6" s="595">
        <f>VLOOKUP(A6,[4]CFR20152016_BenchMarkDataReport!$B$3:$BO$99,23,0)</f>
        <v>2135</v>
      </c>
      <c r="J6" s="595">
        <f>VLOOKUP(A6,[4]CFR20152016_BenchMarkDataReport!$B$3:$BO$99,24,0)</f>
        <v>0</v>
      </c>
      <c r="K6" s="595">
        <f>VLOOKUP(A6,[4]CFR20152016_BenchMarkDataReport!$B$3:$BO$99,25,0)</f>
        <v>234325.95</v>
      </c>
      <c r="L6" s="595">
        <f>VLOOKUP(A6,[4]CFR20152016_BenchMarkDataReport!$B$3:$BO$99,26,0)</f>
        <v>15745.87</v>
      </c>
      <c r="M6" s="595">
        <f>VLOOKUP(A6,[4]CFR20152016_BenchMarkDataReport!$B$3:$BO$99,27,0)</f>
        <v>14192.8</v>
      </c>
      <c r="N6" s="595">
        <f>VLOOKUP(A6,[4]CFR20152016_BenchMarkDataReport!$B$3:$BO$99,28,0)</f>
        <v>0</v>
      </c>
      <c r="O6" s="595">
        <f>VLOOKUP(A6,[4]CFR20152016_BenchMarkDataReport!$B$3:$BO$99,29,0)</f>
        <v>0</v>
      </c>
      <c r="P6" s="595">
        <f>VLOOKUP(A6,[4]CFR20152016_BenchMarkDataReport!$B$3:$BO$99,30,0)</f>
        <v>3522.92</v>
      </c>
      <c r="Q6" s="595">
        <f>VLOOKUP(A6,[4]CFR20152016_BenchMarkDataReport!$B$3:$BO$99,31,0)</f>
        <v>0</v>
      </c>
      <c r="R6" s="595">
        <f>VLOOKUP(A6,[4]CFR20152016_BenchMarkDataReport!$B$3:$BO$99,32,0)</f>
        <v>0</v>
      </c>
      <c r="S6" s="595">
        <f>VLOOKUP(A6,[4]CFR20152016_BenchMarkDataReport!$B$3:$BO$99,33,0)</f>
        <v>0</v>
      </c>
      <c r="T6" s="595">
        <f>VLOOKUP(A6,[4]CFR20152016_BenchMarkDataReport!$B$3:$BO$99,34,0)</f>
        <v>0</v>
      </c>
      <c r="U6" s="595">
        <f>VLOOKUP(A6,[4]CFR20152016_BenchMarkDataReport!$B$3:$BO$99,35,0)</f>
        <v>229247.08</v>
      </c>
      <c r="V6" s="595">
        <f>VLOOKUP(A6,[4]CFR20152016_BenchMarkDataReport!$B$3:$BO$99,36,0)</f>
        <v>4609.8</v>
      </c>
      <c r="W6" s="595">
        <f>VLOOKUP(A6,[4]CFR20152016_BenchMarkDataReport!$B$3:$BO$99,37,0)</f>
        <v>271956.12</v>
      </c>
      <c r="X6" s="595">
        <f>VLOOKUP(A6,[4]CFR20152016_BenchMarkDataReport!$B$3:$BO$99,38,0)</f>
        <v>25572.26</v>
      </c>
      <c r="Y6" s="595">
        <f>VLOOKUP(A6,[4]CFR20152016_BenchMarkDataReport!$B$3:$BO$99,39,0)</f>
        <v>32185.200000000001</v>
      </c>
      <c r="Z6" s="595">
        <f>VLOOKUP(A6,[4]CFR20152016_BenchMarkDataReport!$B$3:$BO$99,40,0)</f>
        <v>0</v>
      </c>
      <c r="AA6" s="595">
        <f>VLOOKUP(A6,[4]CFR20152016_BenchMarkDataReport!$B$3:$BO$99,41,0)</f>
        <v>32267.24</v>
      </c>
      <c r="AB6" s="595">
        <f>VLOOKUP(A6,[4]CFR20152016_BenchMarkDataReport!$B$3:$BO$99,42,0)</f>
        <v>3053.27</v>
      </c>
      <c r="AC6" s="595">
        <f>VLOOKUP(A6,[4]CFR20152016_BenchMarkDataReport!$B$3:$BO$99,43,0)</f>
        <v>1377.95</v>
      </c>
      <c r="AD6" s="595">
        <f>VLOOKUP(A6,[4]CFR20152016_BenchMarkDataReport!$B$3:$BO$99,44,0)</f>
        <v>3190.73</v>
      </c>
      <c r="AE6" s="595">
        <f>VLOOKUP(A6,[4]CFR20152016_BenchMarkDataReport!$B$3:$BO$99,45,0)</f>
        <v>4406.75</v>
      </c>
      <c r="AF6" s="595">
        <f>VLOOKUP(A6,[4]CFR20152016_BenchMarkDataReport!$B$3:$BO$99,46,0)</f>
        <v>5065.41</v>
      </c>
      <c r="AG6" s="595">
        <f>VLOOKUP(A6,[4]CFR20152016_BenchMarkDataReport!$B$3:$BO$99,47,0)</f>
        <v>4296.25</v>
      </c>
      <c r="AH6" s="595">
        <f>VLOOKUP(A6,[4]CFR20152016_BenchMarkDataReport!$B$3:$BO$99,48,0)</f>
        <v>711.98</v>
      </c>
      <c r="AI6" s="595">
        <f>VLOOKUP(A6,[4]CFR20152016_BenchMarkDataReport!$B$3:$BO$99,49,0)</f>
        <v>971.46</v>
      </c>
      <c r="AJ6" s="595">
        <f>VLOOKUP(A6,[4]CFR20152016_BenchMarkDataReport!$B$3:$BO$99,50,0)</f>
        <v>5504.78</v>
      </c>
      <c r="AK6" s="595">
        <f>VLOOKUP(A6,[4]CFR20152016_BenchMarkDataReport!$B$3:$BO$99,51,0)</f>
        <v>5166.5</v>
      </c>
      <c r="AL6" s="595">
        <f>VLOOKUP(A6,[4]CFR20152016_BenchMarkDataReport!$B$3:$BO$99,52,0)</f>
        <v>2704.2</v>
      </c>
      <c r="AM6" s="595">
        <f>VLOOKUP(A6,[4]CFR20152016_BenchMarkDataReport!$B$3:$BO$99,53,0)</f>
        <v>10753.95</v>
      </c>
      <c r="AN6" s="595">
        <f>VLOOKUP(A6,[4]CFR20152016_BenchMarkDataReport!$B$3:$BO$99,54,0)</f>
        <v>6235.72</v>
      </c>
      <c r="AO6" s="595">
        <f>VLOOKUP(A6,[4]CFR20152016_BenchMarkDataReport!$B$3:$BO$99,55,0)</f>
        <v>0</v>
      </c>
      <c r="AP6" s="595">
        <f>VLOOKUP(A6,[4]CFR20152016_BenchMarkDataReport!$B$3:$BO$99,56,0)</f>
        <v>4352.08</v>
      </c>
      <c r="AQ6" s="595">
        <f>VLOOKUP(A6,[4]CFR20152016_BenchMarkDataReport!$B$3:$BO$99,57,0)</f>
        <v>1151.54</v>
      </c>
      <c r="AR6" s="595">
        <f>VLOOKUP(A6,[4]CFR20152016_BenchMarkDataReport!$B$3:$BO$99,58,0)</f>
        <v>2376.7600000000002</v>
      </c>
      <c r="AS6" s="595">
        <f>VLOOKUP(A6,[4]CFR20152016_BenchMarkDataReport!$B$3:$BO$99,59,0)</f>
        <v>15335.08</v>
      </c>
      <c r="AT6" s="595">
        <f>VLOOKUP(A6,[4]CFR20152016_BenchMarkDataReport!$B$3:$BO$99,60,0)</f>
        <v>12030</v>
      </c>
      <c r="AU6" s="595">
        <f>VLOOKUP(A6,[4]CFR20152016_BenchMarkDataReport!$B$3:$BO$99,61,0)</f>
        <v>2391.69</v>
      </c>
      <c r="AV6" s="595">
        <f>VLOOKUP(A6,[4]CFR20152016_BenchMarkDataReport!$B$3:$BO$99,62,0)</f>
        <v>16731.740000000002</v>
      </c>
      <c r="AW6" s="595">
        <f>VLOOKUP(A6,[4]CFR20152016_BenchMarkDataReport!$B$3:$BO$99,63,0)</f>
        <v>0</v>
      </c>
      <c r="AX6" s="595">
        <f>VLOOKUP(A6,[4]CFR20152016_BenchMarkDataReport!$B$3:$BO$99,64,0)</f>
        <v>0</v>
      </c>
      <c r="AY6" s="595">
        <f>VLOOKUP(A6,[4]CFR20152016_BenchMarkDataReport!$B$3:$BO$99,65,0)</f>
        <v>0</v>
      </c>
      <c r="AZ6" s="595">
        <f>VLOOKUP(A6,[4]CFR20152016_BenchMarkDataReport!$B$3:$BO$99,66,0)</f>
        <v>0</v>
      </c>
      <c r="BA6" s="596">
        <f t="shared" si="0"/>
        <v>732613.54</v>
      </c>
      <c r="BB6" s="595">
        <f>SUM(U6:AX6)</f>
        <v>703645.53999999969</v>
      </c>
      <c r="BC6" s="596">
        <f>BA6-BB6</f>
        <v>28968.000000000349</v>
      </c>
      <c r="BD6" s="595">
        <f>VLOOKUP(A6,[4]CFR20152016_BenchMarkDataReport!$B$3:$BO$99,15,0)</f>
        <v>246609</v>
      </c>
      <c r="BE6" s="596">
        <f t="shared" si="1"/>
        <v>275577.00000000035</v>
      </c>
      <c r="BF6" s="76">
        <f>VLOOKUP(A6,'OCT 15 CENSUS'!$B$9:$U$132,20,0)</f>
        <v>123</v>
      </c>
      <c r="BG6" s="73">
        <f>VLOOKUP(A6,'[2]BUDGET SHARE inc ADJUSTMENTS'!$D$4:$M$139,10,0)</f>
        <v>464954.37660690182</v>
      </c>
      <c r="BH6" s="76">
        <f>VLOOKUP(A6,'12-13 Pupil Data'!A:CI,81,0)</f>
        <v>672</v>
      </c>
      <c r="BI6" t="s">
        <v>208</v>
      </c>
      <c r="BJ6" s="44">
        <f>D6/BA6</f>
        <v>0.62679567729528995</v>
      </c>
      <c r="BK6" s="45">
        <f>D6/BF6</f>
        <v>3733.3252032520327</v>
      </c>
      <c r="BL6" s="44">
        <f>E6/BA6</f>
        <v>0</v>
      </c>
      <c r="BM6" s="45">
        <f>E6/BF6</f>
        <v>0</v>
      </c>
      <c r="BN6" s="44">
        <f>F6/BA6</f>
        <v>4.7664966716285369E-3</v>
      </c>
      <c r="BO6" s="45">
        <f>F6/BF6</f>
        <v>28.390243902439025</v>
      </c>
      <c r="BP6" s="44">
        <f>G6/BA6</f>
        <v>0</v>
      </c>
      <c r="BQ6" s="45">
        <f>G6/BF6</f>
        <v>0</v>
      </c>
      <c r="BR6" s="44">
        <f>H6/BA6</f>
        <v>0</v>
      </c>
      <c r="BS6" s="45">
        <f>H6/BF6</f>
        <v>0</v>
      </c>
      <c r="BT6" s="44">
        <f>I6/BA6</f>
        <v>2.9142240532436785E-3</v>
      </c>
      <c r="BU6" s="45">
        <f>I6/BF6</f>
        <v>17.357723577235774</v>
      </c>
      <c r="BV6" s="44">
        <f>J6/BA6</f>
        <v>0</v>
      </c>
      <c r="BW6" s="45">
        <f>J6/BF6</f>
        <v>0</v>
      </c>
      <c r="BX6" s="44">
        <f>K6/BA6</f>
        <v>0.31984933011202604</v>
      </c>
      <c r="BY6" s="45">
        <f>K6/BF6</f>
        <v>1905.089024390244</v>
      </c>
      <c r="BZ6" s="46">
        <f>O6/BA6</f>
        <v>0</v>
      </c>
      <c r="CA6" s="47">
        <f>O6/BF6</f>
        <v>0</v>
      </c>
      <c r="CB6" s="44">
        <f>P6/BA6</f>
        <v>4.8087017337954197E-3</v>
      </c>
      <c r="CC6" s="48">
        <f>P6/BF6</f>
        <v>28.641626016260162</v>
      </c>
      <c r="CD6" s="46">
        <f>(U6+V6+AT6)/BG6</f>
        <v>0.52884087637675115</v>
      </c>
      <c r="CE6" s="49">
        <f>(U6+V6+AT6)/BA6</f>
        <v>0.33562972368760746</v>
      </c>
      <c r="CF6" s="49">
        <f>(U6+V6+AT6)/BB6</f>
        <v>0.34944708098341687</v>
      </c>
      <c r="CG6" s="47">
        <f>(U6+V6+AT6)/BF6</f>
        <v>1999.0803252032517</v>
      </c>
      <c r="CH6" s="44">
        <f t="shared" si="2"/>
        <v>0.58490925923669013</v>
      </c>
      <c r="CI6" s="50">
        <f t="shared" si="3"/>
        <v>0.37121361420647503</v>
      </c>
      <c r="CJ6" s="50">
        <f t="shared" si="4"/>
        <v>0.38649590531050637</v>
      </c>
      <c r="CK6" s="45">
        <f t="shared" si="5"/>
        <v>2211.0253658536585</v>
      </c>
      <c r="CL6" s="46">
        <f t="shared" si="6"/>
        <v>5.4999503793509194E-2</v>
      </c>
      <c r="CM6" s="49">
        <f>X6/BA6</f>
        <v>3.490552467812702E-2</v>
      </c>
      <c r="CN6" s="49">
        <f>X6/BB6</f>
        <v>3.6342531212519319E-2</v>
      </c>
      <c r="CO6" s="47">
        <f>X6/BF6</f>
        <v>207.90455284552843</v>
      </c>
      <c r="CP6" s="44">
        <f t="shared" si="7"/>
        <v>6.9222275602346145E-2</v>
      </c>
      <c r="CQ6" s="50">
        <f t="shared" si="8"/>
        <v>4.3932029975858759E-2</v>
      </c>
      <c r="CR6" s="50">
        <f>Y6/BB6</f>
        <v>4.5740643790622211E-2</v>
      </c>
      <c r="CS6" s="45">
        <f t="shared" si="9"/>
        <v>261.66829268292685</v>
      </c>
      <c r="CT6" s="46">
        <f t="shared" si="10"/>
        <v>1.2814971317148267</v>
      </c>
      <c r="CU6" s="49">
        <f t="shared" si="11"/>
        <v>0.81330424223390674</v>
      </c>
      <c r="CV6" s="49">
        <f t="shared" si="12"/>
        <v>0.84678672162123025</v>
      </c>
      <c r="CW6" s="47">
        <f t="shared" si="13"/>
        <v>4844.2089430894302</v>
      </c>
      <c r="CX6" s="44">
        <f t="shared" si="14"/>
        <v>1.0894423743176371E-2</v>
      </c>
      <c r="CY6" s="50">
        <f t="shared" si="15"/>
        <v>7.1988092186301674E-3</v>
      </c>
      <c r="CZ6" s="48">
        <f t="shared" si="16"/>
        <v>7.5378124999999994</v>
      </c>
      <c r="DA6" s="45">
        <f t="shared" si="17"/>
        <v>41.182195121951217</v>
      </c>
      <c r="DB6" s="51">
        <f t="shared" si="18"/>
        <v>1.3806099019685401E-3</v>
      </c>
      <c r="DC6" s="52">
        <f t="shared" si="19"/>
        <v>7.8980487804878052</v>
      </c>
      <c r="DD6" s="44">
        <f t="shared" si="20"/>
        <v>1.1839398179606869E-2</v>
      </c>
      <c r="DE6" s="50">
        <f t="shared" si="21"/>
        <v>7.8232287239396164E-3</v>
      </c>
      <c r="DF6" s="48">
        <f t="shared" si="22"/>
        <v>8.1916369047619035</v>
      </c>
      <c r="DG6" s="45">
        <f t="shared" si="23"/>
        <v>44.754308943089427</v>
      </c>
      <c r="DH6" s="46">
        <f t="shared" si="24"/>
        <v>5.8160545121318007E-3</v>
      </c>
      <c r="DI6" s="49">
        <f t="shared" si="25"/>
        <v>3.8431281750183495E-3</v>
      </c>
      <c r="DJ6" s="47">
        <f t="shared" si="26"/>
        <v>4.0241071428571429</v>
      </c>
      <c r="DK6" s="44">
        <f t="shared" si="27"/>
        <v>2.3129043495577171E-2</v>
      </c>
      <c r="DL6" s="50">
        <f t="shared" si="28"/>
        <v>1.467888513226223E-2</v>
      </c>
      <c r="DM6" s="50">
        <f t="shared" si="29"/>
        <v>1.5283192159506909E-2</v>
      </c>
      <c r="DN6" s="45">
        <f t="shared" si="30"/>
        <v>87.430487804878055</v>
      </c>
      <c r="DO6" s="46">
        <f t="shared" si="31"/>
        <v>9.3602302052949362E-3</v>
      </c>
      <c r="DP6" s="49">
        <f t="shared" si="32"/>
        <v>6.1850459536771912E-3</v>
      </c>
      <c r="DQ6" s="47">
        <f t="shared" si="33"/>
        <v>35.382764227642276</v>
      </c>
      <c r="DR6" s="53">
        <f t="shared" si="34"/>
        <v>2.1793757123792765E-2</v>
      </c>
      <c r="DS6" s="45">
        <f t="shared" si="35"/>
        <v>124.67544715447154</v>
      </c>
      <c r="DT6" s="46" t="e">
        <f>DY6/BG6</f>
        <v>#N/A</v>
      </c>
      <c r="DU6" s="49" t="e">
        <f>DY6/BA6</f>
        <v>#N/A</v>
      </c>
      <c r="DV6" s="49" t="e">
        <f>DY6/BB6</f>
        <v>#N/A</v>
      </c>
      <c r="DW6" s="47" t="e">
        <f>DY6/BF6</f>
        <v>#N/A</v>
      </c>
      <c r="DY6" s="54" t="e">
        <f>VLOOKUP(A6,'2014-15 PPFSM'!E:L,8,0)</f>
        <v>#N/A</v>
      </c>
    </row>
    <row r="7" spans="1:256" s="14" customFormat="1">
      <c r="A7" s="577">
        <v>1003</v>
      </c>
      <c r="B7" s="578">
        <v>10133</v>
      </c>
      <c r="C7" s="606" t="s">
        <v>31</v>
      </c>
      <c r="D7" s="595">
        <f>VLOOKUP(A7,[4]CFR20152016_BenchMarkDataReport!$B$3:$BO$99,18,0)</f>
        <v>473027</v>
      </c>
      <c r="E7" s="595">
        <f>VLOOKUP(A7,[4]CFR20152016_BenchMarkDataReport!$B$3:$BO$99,19,0)</f>
        <v>0</v>
      </c>
      <c r="F7" s="595">
        <f>VLOOKUP(A7,[4]CFR20152016_BenchMarkDataReport!$B$3:$BO$99,20,0)</f>
        <v>0</v>
      </c>
      <c r="G7" s="595">
        <f>VLOOKUP(A7,[4]CFR20152016_BenchMarkDataReport!$B$3:$BO$99,21,0)</f>
        <v>0</v>
      </c>
      <c r="H7" s="595">
        <f>VLOOKUP(A7,[4]CFR20152016_BenchMarkDataReport!$B$3:$BO$99,22,0)</f>
        <v>0</v>
      </c>
      <c r="I7" s="595">
        <f>VLOOKUP(A7,[4]CFR20152016_BenchMarkDataReport!$B$3:$BO$99,23,0)</f>
        <v>25715.3</v>
      </c>
      <c r="J7" s="595">
        <f>VLOOKUP(A7,[4]CFR20152016_BenchMarkDataReport!$B$3:$BO$99,24,0)</f>
        <v>349</v>
      </c>
      <c r="K7" s="595">
        <f>VLOOKUP(A7,[4]CFR20152016_BenchMarkDataReport!$B$3:$BO$99,25,0)</f>
        <v>180990.35</v>
      </c>
      <c r="L7" s="595">
        <f>VLOOKUP(A7,[4]CFR20152016_BenchMarkDataReport!$B$3:$BO$99,26,0)</f>
        <v>5767.3</v>
      </c>
      <c r="M7" s="595">
        <f>VLOOKUP(A7,[4]CFR20152016_BenchMarkDataReport!$B$3:$BO$99,27,0)</f>
        <v>9063</v>
      </c>
      <c r="N7" s="595">
        <f>VLOOKUP(A7,[4]CFR20152016_BenchMarkDataReport!$B$3:$BO$99,28,0)</f>
        <v>10184.280000000001</v>
      </c>
      <c r="O7" s="595">
        <f>VLOOKUP(A7,[4]CFR20152016_BenchMarkDataReport!$B$3:$BO$99,29,0)</f>
        <v>0</v>
      </c>
      <c r="P7" s="595">
        <f>VLOOKUP(A7,[4]CFR20152016_BenchMarkDataReport!$B$3:$BO$99,30,0)</f>
        <v>4146.1899999999996</v>
      </c>
      <c r="Q7" s="595">
        <f>VLOOKUP(A7,[4]CFR20152016_BenchMarkDataReport!$B$3:$BO$99,31,0)</f>
        <v>0</v>
      </c>
      <c r="R7" s="595">
        <f>VLOOKUP(A7,[4]CFR20152016_BenchMarkDataReport!$B$3:$BO$99,32,0)</f>
        <v>80018</v>
      </c>
      <c r="S7" s="595">
        <f>VLOOKUP(A7,[4]CFR20152016_BenchMarkDataReport!$B$3:$BO$99,33,0)</f>
        <v>784.46</v>
      </c>
      <c r="T7" s="595">
        <f>VLOOKUP(A7,[4]CFR20152016_BenchMarkDataReport!$B$3:$BO$99,34,0)</f>
        <v>0</v>
      </c>
      <c r="U7" s="595">
        <f>VLOOKUP(A7,[4]CFR20152016_BenchMarkDataReport!$B$3:$BO$99,35,0)</f>
        <v>201220.05</v>
      </c>
      <c r="V7" s="595">
        <f>VLOOKUP(A7,[4]CFR20152016_BenchMarkDataReport!$B$3:$BO$99,36,0)</f>
        <v>2820.06</v>
      </c>
      <c r="W7" s="595">
        <f>VLOOKUP(A7,[4]CFR20152016_BenchMarkDataReport!$B$3:$BO$99,37,0)</f>
        <v>360180.39</v>
      </c>
      <c r="X7" s="595">
        <f>VLOOKUP(A7,[4]CFR20152016_BenchMarkDataReport!$B$3:$BO$99,38,0)</f>
        <v>24113.759999999998</v>
      </c>
      <c r="Y7" s="595">
        <f>VLOOKUP(A7,[4]CFR20152016_BenchMarkDataReport!$B$3:$BO$99,39,0)</f>
        <v>43390.47</v>
      </c>
      <c r="Z7" s="595">
        <f>VLOOKUP(A7,[4]CFR20152016_BenchMarkDataReport!$B$3:$BO$99,40,0)</f>
        <v>0</v>
      </c>
      <c r="AA7" s="595">
        <f>VLOOKUP(A7,[4]CFR20152016_BenchMarkDataReport!$B$3:$BO$99,41,0)</f>
        <v>29803.97</v>
      </c>
      <c r="AB7" s="595">
        <f>VLOOKUP(A7,[4]CFR20152016_BenchMarkDataReport!$B$3:$BO$99,42,0)</f>
        <v>2655.1</v>
      </c>
      <c r="AC7" s="595">
        <f>VLOOKUP(A7,[4]CFR20152016_BenchMarkDataReport!$B$3:$BO$99,43,0)</f>
        <v>744</v>
      </c>
      <c r="AD7" s="595">
        <f>VLOOKUP(A7,[4]CFR20152016_BenchMarkDataReport!$B$3:$BO$99,44,0)</f>
        <v>7286.01</v>
      </c>
      <c r="AE7" s="595">
        <f>VLOOKUP(A7,[4]CFR20152016_BenchMarkDataReport!$B$3:$BO$99,45,0)</f>
        <v>462</v>
      </c>
      <c r="AF7" s="595">
        <f>VLOOKUP(A7,[4]CFR20152016_BenchMarkDataReport!$B$3:$BO$99,46,0)</f>
        <v>6943.97</v>
      </c>
      <c r="AG7" s="595">
        <f>VLOOKUP(A7,[4]CFR20152016_BenchMarkDataReport!$B$3:$BO$99,47,0)</f>
        <v>880.51</v>
      </c>
      <c r="AH7" s="595">
        <f>VLOOKUP(A7,[4]CFR20152016_BenchMarkDataReport!$B$3:$BO$99,48,0)</f>
        <v>1892.99</v>
      </c>
      <c r="AI7" s="595">
        <f>VLOOKUP(A7,[4]CFR20152016_BenchMarkDataReport!$B$3:$BO$99,49,0)</f>
        <v>1270.43</v>
      </c>
      <c r="AJ7" s="595">
        <f>VLOOKUP(A7,[4]CFR20152016_BenchMarkDataReport!$B$3:$BO$99,50,0)</f>
        <v>5951.07</v>
      </c>
      <c r="AK7" s="595">
        <f>VLOOKUP(A7,[4]CFR20152016_BenchMarkDataReport!$B$3:$BO$99,51,0)</f>
        <v>7438.5</v>
      </c>
      <c r="AL7" s="595">
        <f>VLOOKUP(A7,[4]CFR20152016_BenchMarkDataReport!$B$3:$BO$99,52,0)</f>
        <v>3468.32</v>
      </c>
      <c r="AM7" s="595">
        <f>VLOOKUP(A7,[4]CFR20152016_BenchMarkDataReport!$B$3:$BO$99,53,0)</f>
        <v>16093.67</v>
      </c>
      <c r="AN7" s="595">
        <f>VLOOKUP(A7,[4]CFR20152016_BenchMarkDataReport!$B$3:$BO$99,54,0)</f>
        <v>7155.28</v>
      </c>
      <c r="AO7" s="595">
        <f>VLOOKUP(A7,[4]CFR20152016_BenchMarkDataReport!$B$3:$BO$99,55,0)</f>
        <v>0</v>
      </c>
      <c r="AP7" s="595">
        <f>VLOOKUP(A7,[4]CFR20152016_BenchMarkDataReport!$B$3:$BO$99,56,0)</f>
        <v>10325.89</v>
      </c>
      <c r="AQ7" s="595">
        <f>VLOOKUP(A7,[4]CFR20152016_BenchMarkDataReport!$B$3:$BO$99,57,0)</f>
        <v>1786.12</v>
      </c>
      <c r="AR7" s="595">
        <f>VLOOKUP(A7,[4]CFR20152016_BenchMarkDataReport!$B$3:$BO$99,58,0)</f>
        <v>1031.0999999999999</v>
      </c>
      <c r="AS7" s="595">
        <f>VLOOKUP(A7,[4]CFR20152016_BenchMarkDataReport!$B$3:$BO$99,59,0)</f>
        <v>13865.56</v>
      </c>
      <c r="AT7" s="595">
        <f>VLOOKUP(A7,[4]CFR20152016_BenchMarkDataReport!$B$3:$BO$99,60,0)</f>
        <v>0</v>
      </c>
      <c r="AU7" s="595">
        <f>VLOOKUP(A7,[4]CFR20152016_BenchMarkDataReport!$B$3:$BO$99,61,0)</f>
        <v>2479</v>
      </c>
      <c r="AV7" s="595">
        <f>VLOOKUP(A7,[4]CFR20152016_BenchMarkDataReport!$B$3:$BO$99,62,0)</f>
        <v>20647.77</v>
      </c>
      <c r="AW7" s="595">
        <f>VLOOKUP(A7,[4]CFR20152016_BenchMarkDataReport!$B$3:$BO$99,63,0)</f>
        <v>0</v>
      </c>
      <c r="AX7" s="595">
        <f>VLOOKUP(A7,[4]CFR20152016_BenchMarkDataReport!$B$3:$BO$99,64,0)</f>
        <v>0</v>
      </c>
      <c r="AY7" s="595">
        <f>VLOOKUP(A7,[4]CFR20152016_BenchMarkDataReport!$B$3:$BO$99,65,0)</f>
        <v>54253.5</v>
      </c>
      <c r="AZ7" s="595">
        <f>VLOOKUP(A7,[4]CFR20152016_BenchMarkDataReport!$B$3:$BO$99,66,0)</f>
        <v>19876.39</v>
      </c>
      <c r="BA7" s="598">
        <f t="shared" si="0"/>
        <v>709242.42</v>
      </c>
      <c r="BB7" s="597">
        <f>SUM(U7:AX7)</f>
        <v>773905.99</v>
      </c>
      <c r="BC7" s="598">
        <f>BA7-BB7</f>
        <v>-64663.569999999949</v>
      </c>
      <c r="BD7" s="595">
        <f>VLOOKUP(A7,[4]CFR20152016_BenchMarkDataReport!$B$3:$BO$99,15,0)</f>
        <v>173715</v>
      </c>
      <c r="BE7" s="598">
        <f t="shared" si="1"/>
        <v>109051.43000000005</v>
      </c>
      <c r="BF7" s="76">
        <f>VLOOKUP(A7,'OCT 15 CENSUS'!$B$9:$U$132,20,0)</f>
        <v>120</v>
      </c>
      <c r="BG7" s="579">
        <f>VLOOKUP(A7,'[2]BUDGET SHARE inc ADJUSTMENTS'!$D$4:$M$139,10,0)</f>
        <v>455133.56436920521</v>
      </c>
      <c r="BH7" s="580">
        <f>VLOOKUP(A7,'12-13 Pupil Data'!A:CI,81,0)</f>
        <v>832.64</v>
      </c>
      <c r="BI7" s="14" t="s">
        <v>208</v>
      </c>
      <c r="BJ7" s="53">
        <f>D7/BA7</f>
        <v>0.66694685295332445</v>
      </c>
      <c r="BK7" s="581">
        <f>D7/BF7</f>
        <v>3941.8916666666669</v>
      </c>
      <c r="BL7" s="53">
        <f>E7/BA7</f>
        <v>0</v>
      </c>
      <c r="BM7" s="581">
        <f>E7/BF7</f>
        <v>0</v>
      </c>
      <c r="BN7" s="53">
        <f>F7/BA7</f>
        <v>0</v>
      </c>
      <c r="BO7" s="581">
        <f>F7/BF7</f>
        <v>0</v>
      </c>
      <c r="BP7" s="53">
        <f>G7/BA7</f>
        <v>0</v>
      </c>
      <c r="BQ7" s="581">
        <f>G7/BF7</f>
        <v>0</v>
      </c>
      <c r="BR7" s="53">
        <f>H7/BA7</f>
        <v>0</v>
      </c>
      <c r="BS7" s="581">
        <f>H7/BF7</f>
        <v>0</v>
      </c>
      <c r="BT7" s="53">
        <f>I7/BA7</f>
        <v>3.6257419571717096E-2</v>
      </c>
      <c r="BU7" s="581">
        <f>I7/BF7</f>
        <v>214.29416666666665</v>
      </c>
      <c r="BV7" s="53">
        <f>J7/BA7</f>
        <v>4.9207434603248913E-4</v>
      </c>
      <c r="BW7" s="581">
        <f>J7/BF7</f>
        <v>2.9083333333333332</v>
      </c>
      <c r="BX7" s="53">
        <f>K7/BA7</f>
        <v>0.25518827539954531</v>
      </c>
      <c r="BY7" s="581">
        <f>K7/BF7</f>
        <v>1508.2529166666668</v>
      </c>
      <c r="BZ7" s="582">
        <f>O7/BA7</f>
        <v>0</v>
      </c>
      <c r="CA7" s="583">
        <f>O7/BF7</f>
        <v>0</v>
      </c>
      <c r="CB7" s="53">
        <f>P7/BA7</f>
        <v>5.8459419277262061E-3</v>
      </c>
      <c r="CC7" s="584">
        <f>P7/BF7</f>
        <v>34.551583333333333</v>
      </c>
      <c r="CD7" s="582">
        <f>(U7+V7+AT7)/BG7</f>
        <v>0.44830820219288919</v>
      </c>
      <c r="CE7" s="585">
        <f>(U7+V7+AT7)/BA7</f>
        <v>0.28768740313079411</v>
      </c>
      <c r="CF7" s="585">
        <f>(U7+V7+AT7)/BB7</f>
        <v>0.2636497360616113</v>
      </c>
      <c r="CG7" s="583">
        <f>(U7+V7+AT7)/BF7</f>
        <v>1700.3342499999999</v>
      </c>
      <c r="CH7" s="53">
        <f t="shared" si="2"/>
        <v>0.79137294675068393</v>
      </c>
      <c r="CI7" s="65">
        <f t="shared" si="3"/>
        <v>0.5078381944497905</v>
      </c>
      <c r="CJ7" s="65">
        <f t="shared" si="4"/>
        <v>0.46540586925809946</v>
      </c>
      <c r="CK7" s="581">
        <f t="shared" si="5"/>
        <v>3001.5032500000002</v>
      </c>
      <c r="CL7" s="582">
        <f t="shared" si="6"/>
        <v>5.298172204333159E-2</v>
      </c>
      <c r="CM7" s="585">
        <f>X7/BA7</f>
        <v>3.3999320006832076E-2</v>
      </c>
      <c r="CN7" s="585">
        <f>X7/BB7</f>
        <v>3.1158513193572775E-2</v>
      </c>
      <c r="CO7" s="583">
        <f>X7/BF7</f>
        <v>200.94799999999998</v>
      </c>
      <c r="CP7" s="53">
        <f t="shared" si="7"/>
        <v>9.5335684723971637E-2</v>
      </c>
      <c r="CQ7" s="65">
        <f t="shared" si="8"/>
        <v>6.1178616473617019E-2</v>
      </c>
      <c r="CR7" s="65">
        <f>Y7/BB7</f>
        <v>5.6066848636227767E-2</v>
      </c>
      <c r="CS7" s="581">
        <f t="shared" si="9"/>
        <v>361.58724999999998</v>
      </c>
      <c r="CT7" s="582">
        <f t="shared" si="10"/>
        <v>1.4534825637763042</v>
      </c>
      <c r="CU7" s="585">
        <f t="shared" si="11"/>
        <v>0.93272579494046604</v>
      </c>
      <c r="CV7" s="585">
        <f t="shared" si="12"/>
        <v>0.85479206589420498</v>
      </c>
      <c r="CW7" s="583">
        <f t="shared" si="13"/>
        <v>5512.7391666666663</v>
      </c>
      <c r="CX7" s="53">
        <f t="shared" si="14"/>
        <v>1.5256993866457713E-2</v>
      </c>
      <c r="CY7" s="65">
        <f t="shared" si="15"/>
        <v>8.9726272825462958E-3</v>
      </c>
      <c r="CZ7" s="584">
        <f t="shared" si="16"/>
        <v>8.3397026325903152</v>
      </c>
      <c r="DA7" s="581">
        <f t="shared" si="17"/>
        <v>57.866416666666666</v>
      </c>
      <c r="DB7" s="586">
        <f t="shared" si="18"/>
        <v>1.6415818153830287E-3</v>
      </c>
      <c r="DC7" s="587">
        <f t="shared" si="19"/>
        <v>10.586916666666667</v>
      </c>
      <c r="DD7" s="53">
        <f t="shared" si="20"/>
        <v>1.3075436456214598E-2</v>
      </c>
      <c r="DE7" s="65">
        <f t="shared" si="21"/>
        <v>7.6896549153211745E-3</v>
      </c>
      <c r="DF7" s="584">
        <f t="shared" si="22"/>
        <v>7.1472304957724822</v>
      </c>
      <c r="DG7" s="581">
        <f t="shared" si="23"/>
        <v>49.59225</v>
      </c>
      <c r="DH7" s="582">
        <f t="shared" si="24"/>
        <v>7.6204443519935442E-3</v>
      </c>
      <c r="DI7" s="585">
        <f t="shared" si="25"/>
        <v>4.4815779239543042E-3</v>
      </c>
      <c r="DJ7" s="583">
        <f t="shared" si="26"/>
        <v>4.1654496541122219</v>
      </c>
      <c r="DK7" s="53">
        <f t="shared" si="27"/>
        <v>3.5360323342237147E-2</v>
      </c>
      <c r="DL7" s="65">
        <f t="shared" si="28"/>
        <v>2.2691352838145242E-2</v>
      </c>
      <c r="DM7" s="65">
        <f t="shared" si="29"/>
        <v>2.0795381103071706E-2</v>
      </c>
      <c r="DN7" s="581">
        <f t="shared" si="30"/>
        <v>134.11391666666665</v>
      </c>
      <c r="DO7" s="582">
        <f t="shared" si="31"/>
        <v>2.2687603834077193E-2</v>
      </c>
      <c r="DP7" s="585">
        <f t="shared" si="32"/>
        <v>1.3342563739557048E-2</v>
      </c>
      <c r="DQ7" s="583">
        <f t="shared" si="33"/>
        <v>86.049083333333328</v>
      </c>
      <c r="DR7" s="53">
        <f t="shared" si="34"/>
        <v>1.7916336324002351E-2</v>
      </c>
      <c r="DS7" s="581">
        <f t="shared" si="35"/>
        <v>115.54633333333332</v>
      </c>
      <c r="DT7" s="582" t="e">
        <f>DY7/BG7</f>
        <v>#N/A</v>
      </c>
      <c r="DU7" s="585" t="e">
        <f>DY7/BA7</f>
        <v>#N/A</v>
      </c>
      <c r="DV7" s="585" t="e">
        <f>DY7/BB7</f>
        <v>#N/A</v>
      </c>
      <c r="DW7" s="583" t="e">
        <f>DY7/BF7</f>
        <v>#N/A</v>
      </c>
      <c r="DY7" s="588" t="e">
        <f>VLOOKUP(A7,'2014-15 PPFSM'!E:L,8,0)</f>
        <v>#N/A</v>
      </c>
    </row>
    <row r="8" spans="1:256" s="244" customFormat="1" ht="16.5" thickBot="1">
      <c r="A8" s="239">
        <v>1999</v>
      </c>
      <c r="B8" s="240"/>
      <c r="C8" s="241" t="s">
        <v>209</v>
      </c>
      <c r="D8" s="599">
        <f>AVERAGE(D4:D7)</f>
        <v>411223</v>
      </c>
      <c r="E8" s="599">
        <f>AVERAGE(E4:E7)</f>
        <v>0</v>
      </c>
      <c r="F8" s="599">
        <f t="shared" ref="F8:AZ8" si="36">AVERAGE(F4:F7)</f>
        <v>873</v>
      </c>
      <c r="G8" s="599">
        <f t="shared" si="36"/>
        <v>0</v>
      </c>
      <c r="H8" s="599">
        <f t="shared" si="36"/>
        <v>500</v>
      </c>
      <c r="I8" s="599">
        <f t="shared" si="36"/>
        <v>38107.949999999997</v>
      </c>
      <c r="J8" s="599">
        <f t="shared" si="36"/>
        <v>4355.8125</v>
      </c>
      <c r="K8" s="599">
        <f t="shared" si="36"/>
        <v>177303.83749999999</v>
      </c>
      <c r="L8" s="599">
        <f t="shared" si="36"/>
        <v>7280.13</v>
      </c>
      <c r="M8" s="599">
        <f t="shared" si="36"/>
        <v>6394.8449999999993</v>
      </c>
      <c r="N8" s="599">
        <f t="shared" si="36"/>
        <v>2546.0700000000002</v>
      </c>
      <c r="O8" s="599">
        <f t="shared" si="36"/>
        <v>315.82249999999999</v>
      </c>
      <c r="P8" s="599">
        <f t="shared" si="36"/>
        <v>4274.8900000000003</v>
      </c>
      <c r="Q8" s="599">
        <f t="shared" si="36"/>
        <v>0</v>
      </c>
      <c r="R8" s="599">
        <f t="shared" si="36"/>
        <v>69710.25</v>
      </c>
      <c r="S8" s="599">
        <f t="shared" si="36"/>
        <v>657.38249999999994</v>
      </c>
      <c r="T8" s="599">
        <f t="shared" si="36"/>
        <v>0</v>
      </c>
      <c r="U8" s="599">
        <f t="shared" si="36"/>
        <v>198691.88500000001</v>
      </c>
      <c r="V8" s="599">
        <f t="shared" si="36"/>
        <v>1857.4650000000001</v>
      </c>
      <c r="W8" s="599">
        <f t="shared" si="36"/>
        <v>297066.49</v>
      </c>
      <c r="X8" s="599">
        <f t="shared" si="36"/>
        <v>25057.914999999997</v>
      </c>
      <c r="Y8" s="599">
        <f t="shared" si="36"/>
        <v>37137.662500000006</v>
      </c>
      <c r="Z8" s="599">
        <f t="shared" si="36"/>
        <v>0</v>
      </c>
      <c r="AA8" s="599">
        <f t="shared" si="36"/>
        <v>21461.9</v>
      </c>
      <c r="AB8" s="599">
        <f t="shared" si="36"/>
        <v>3023.27</v>
      </c>
      <c r="AC8" s="599">
        <f t="shared" si="36"/>
        <v>3536.7850000000003</v>
      </c>
      <c r="AD8" s="599">
        <f t="shared" si="36"/>
        <v>5286.5025000000005</v>
      </c>
      <c r="AE8" s="599">
        <f t="shared" si="36"/>
        <v>1627.7975000000001</v>
      </c>
      <c r="AF8" s="599">
        <f t="shared" si="36"/>
        <v>6109.9875000000002</v>
      </c>
      <c r="AG8" s="599">
        <f t="shared" si="36"/>
        <v>1971.0450000000001</v>
      </c>
      <c r="AH8" s="599">
        <f t="shared" si="36"/>
        <v>1121.7474999999999</v>
      </c>
      <c r="AI8" s="599">
        <f t="shared" si="36"/>
        <v>1097.71</v>
      </c>
      <c r="AJ8" s="599">
        <f t="shared" si="36"/>
        <v>4341.5524999999998</v>
      </c>
      <c r="AK8" s="599">
        <f t="shared" si="36"/>
        <v>6792.125</v>
      </c>
      <c r="AL8" s="599">
        <f t="shared" si="36"/>
        <v>3807.5174999999999</v>
      </c>
      <c r="AM8" s="599">
        <f t="shared" si="36"/>
        <v>14931.487499999999</v>
      </c>
      <c r="AN8" s="599">
        <f t="shared" si="36"/>
        <v>6911.3924999999999</v>
      </c>
      <c r="AO8" s="599">
        <f t="shared" si="36"/>
        <v>0</v>
      </c>
      <c r="AP8" s="599">
        <f t="shared" si="36"/>
        <v>7326.1949999999997</v>
      </c>
      <c r="AQ8" s="599">
        <f t="shared" si="36"/>
        <v>1104.3274999999999</v>
      </c>
      <c r="AR8" s="599">
        <f t="shared" si="36"/>
        <v>3159.9225000000001</v>
      </c>
      <c r="AS8" s="599">
        <f t="shared" si="36"/>
        <v>10417.965</v>
      </c>
      <c r="AT8" s="599">
        <f t="shared" si="36"/>
        <v>3147.605</v>
      </c>
      <c r="AU8" s="599">
        <f t="shared" si="36"/>
        <v>5715.7374999999993</v>
      </c>
      <c r="AV8" s="599">
        <f t="shared" si="36"/>
        <v>17648.760000000002</v>
      </c>
      <c r="AW8" s="599">
        <f t="shared" si="36"/>
        <v>0</v>
      </c>
      <c r="AX8" s="599">
        <f t="shared" si="36"/>
        <v>12274.75</v>
      </c>
      <c r="AY8" s="599">
        <f t="shared" si="36"/>
        <v>55225.177499999998</v>
      </c>
      <c r="AZ8" s="599">
        <f t="shared" si="36"/>
        <v>11014.022499999999</v>
      </c>
      <c r="BA8" s="599">
        <f t="shared" ref="BA8:BH8" si="37">AVERAGE(BA4:BA7)</f>
        <v>653175.35750000004</v>
      </c>
      <c r="BB8" s="599">
        <f t="shared" si="37"/>
        <v>702627.5</v>
      </c>
      <c r="BC8" s="599">
        <f t="shared" si="37"/>
        <v>-49452.142499999929</v>
      </c>
      <c r="BD8" s="599">
        <f t="shared" si="37"/>
        <v>223697.75</v>
      </c>
      <c r="BE8" s="599">
        <f t="shared" si="37"/>
        <v>174245.60750000007</v>
      </c>
      <c r="BF8" s="243">
        <f t="shared" si="37"/>
        <v>101.75</v>
      </c>
      <c r="BG8" s="243">
        <f t="shared" si="37"/>
        <v>410528.47629997542</v>
      </c>
      <c r="BH8" s="243">
        <f t="shared" si="37"/>
        <v>518.66</v>
      </c>
      <c r="BI8" s="244" t="s">
        <v>208</v>
      </c>
      <c r="BJ8" s="245">
        <f t="shared" ref="BJ8:BW8" si="38">AVERAGE(BJ4:BJ7)</f>
        <v>0.62777685029894781</v>
      </c>
      <c r="BK8" s="246">
        <f t="shared" si="38"/>
        <v>4091.5664126016259</v>
      </c>
      <c r="BL8" s="245">
        <f t="shared" si="38"/>
        <v>0</v>
      </c>
      <c r="BM8" s="246">
        <f t="shared" si="38"/>
        <v>0</v>
      </c>
      <c r="BN8" s="245">
        <f t="shared" si="38"/>
        <v>1.1916241679071342E-3</v>
      </c>
      <c r="BO8" s="246">
        <f t="shared" si="38"/>
        <v>7.0975609756097562</v>
      </c>
      <c r="BP8" s="245">
        <f t="shared" si="38"/>
        <v>0</v>
      </c>
      <c r="BQ8" s="246">
        <f t="shared" si="38"/>
        <v>0</v>
      </c>
      <c r="BR8" s="245">
        <f t="shared" si="38"/>
        <v>8.0338088384108617E-4</v>
      </c>
      <c r="BS8" s="246">
        <f t="shared" si="38"/>
        <v>6.0975609756097562</v>
      </c>
      <c r="BT8" s="245">
        <f t="shared" si="38"/>
        <v>6.3889785140785263E-2</v>
      </c>
      <c r="BU8" s="246">
        <f t="shared" si="38"/>
        <v>437.73461890243897</v>
      </c>
      <c r="BV8" s="245">
        <f t="shared" si="38"/>
        <v>7.6577030671390843E-3</v>
      </c>
      <c r="BW8" s="246">
        <f t="shared" si="38"/>
        <v>52.782723577235771</v>
      </c>
      <c r="BX8" s="245">
        <f t="shared" ref="BX8:CK8" si="39">AVERAGE(BX4:BX7)</f>
        <v>0.26842698624144706</v>
      </c>
      <c r="BY8" s="246">
        <f t="shared" si="39"/>
        <v>1749.3691742886181</v>
      </c>
      <c r="BZ8" s="247">
        <f t="shared" si="39"/>
        <v>5.0745151837380288E-4</v>
      </c>
      <c r="CA8" s="248">
        <f t="shared" si="39"/>
        <v>3.8514939024390245</v>
      </c>
      <c r="CB8" s="249">
        <f t="shared" si="39"/>
        <v>6.7233075372590901E-3</v>
      </c>
      <c r="CC8" s="250">
        <f t="shared" si="39"/>
        <v>44.549674288617879</v>
      </c>
      <c r="CD8" s="247">
        <f t="shared" si="39"/>
        <v>0.49624946060736175</v>
      </c>
      <c r="CE8" s="251">
        <f t="shared" si="39"/>
        <v>0.3112093462044031</v>
      </c>
      <c r="CF8" s="251">
        <f t="shared" si="39"/>
        <v>0.29189884383901987</v>
      </c>
      <c r="CG8" s="248">
        <f t="shared" si="39"/>
        <v>2037.2342230691058</v>
      </c>
      <c r="CH8" s="249">
        <f t="shared" si="39"/>
        <v>0.72556951040202711</v>
      </c>
      <c r="CI8" s="249">
        <f t="shared" si="39"/>
        <v>0.45500453162437104</v>
      </c>
      <c r="CJ8" s="249">
        <f t="shared" si="39"/>
        <v>0.42023254461896276</v>
      </c>
      <c r="CK8" s="252">
        <f t="shared" si="39"/>
        <v>2998.6487698170731</v>
      </c>
      <c r="CL8" s="247">
        <f t="shared" ref="CL8:CR8" si="40">AVERAGE(CL4:CL7)</f>
        <v>6.1865010463981567E-2</v>
      </c>
      <c r="CM8" s="251">
        <f t="shared" si="40"/>
        <v>3.8729366163563608E-2</v>
      </c>
      <c r="CN8" s="251">
        <f t="shared" si="40"/>
        <v>3.6023017012864485E-2</v>
      </c>
      <c r="CO8" s="248">
        <f t="shared" si="40"/>
        <v>256.31569918699188</v>
      </c>
      <c r="CP8" s="249">
        <f t="shared" si="40"/>
        <v>9.1944558161031018E-2</v>
      </c>
      <c r="CQ8" s="249">
        <f t="shared" si="40"/>
        <v>5.7611557301534264E-2</v>
      </c>
      <c r="CR8" s="249">
        <f t="shared" si="40"/>
        <v>5.3828756139901478E-2</v>
      </c>
      <c r="CS8" s="252">
        <f t="shared" ref="CS8:DW8" si="41">AVERAGE(CS4:CS7)</f>
        <v>378.29858079268297</v>
      </c>
      <c r="CT8" s="247">
        <f t="shared" si="41"/>
        <v>1.4192938122427152</v>
      </c>
      <c r="CU8" s="251">
        <f t="shared" si="41"/>
        <v>0.89009092567565262</v>
      </c>
      <c r="CV8" s="251">
        <f t="shared" si="41"/>
        <v>0.82822507308675342</v>
      </c>
      <c r="CW8" s="248">
        <f t="shared" si="41"/>
        <v>5844.5018749999999</v>
      </c>
      <c r="CX8" s="249">
        <f t="shared" si="41"/>
        <v>1.5121147127581598E-2</v>
      </c>
      <c r="CY8" s="249">
        <f t="shared" si="41"/>
        <v>8.7642924231686563E-3</v>
      </c>
      <c r="CZ8" s="250">
        <f t="shared" si="41"/>
        <v>15.55103655341785</v>
      </c>
      <c r="DA8" s="252">
        <f t="shared" si="41"/>
        <v>62.660232215447152</v>
      </c>
      <c r="DB8" s="247">
        <f t="shared" si="41"/>
        <v>1.5348270341859426E-3</v>
      </c>
      <c r="DC8" s="248">
        <f t="shared" si="41"/>
        <v>11.172918191056912</v>
      </c>
      <c r="DD8" s="249">
        <f t="shared" si="41"/>
        <v>1.0164059746095761E-2</v>
      </c>
      <c r="DE8" s="249">
        <f t="shared" si="41"/>
        <v>5.8921324351089979E-3</v>
      </c>
      <c r="DF8" s="250">
        <f t="shared" si="41"/>
        <v>8.374736106890353</v>
      </c>
      <c r="DG8" s="252">
        <f t="shared" si="41"/>
        <v>41.606029979674794</v>
      </c>
      <c r="DH8" s="247">
        <f t="shared" si="41"/>
        <v>9.5131066772831535E-3</v>
      </c>
      <c r="DI8" s="251">
        <f t="shared" si="41"/>
        <v>5.3625794898640791E-3</v>
      </c>
      <c r="DJ8" s="248">
        <f t="shared" si="41"/>
        <v>9.821466901945044</v>
      </c>
      <c r="DK8" s="249">
        <f t="shared" si="41"/>
        <v>3.7081425683757704E-2</v>
      </c>
      <c r="DL8" s="253">
        <f t="shared" si="41"/>
        <v>2.3190581647979561E-2</v>
      </c>
      <c r="DM8" s="253">
        <f t="shared" si="41"/>
        <v>2.1121937885792797E-2</v>
      </c>
      <c r="DN8" s="252">
        <f t="shared" si="41"/>
        <v>155.62491209349591</v>
      </c>
      <c r="DO8" s="247">
        <f t="shared" si="41"/>
        <v>1.8167272302645376E-2</v>
      </c>
      <c r="DP8" s="251">
        <f t="shared" si="41"/>
        <v>1.0525513538087975E-2</v>
      </c>
      <c r="DQ8" s="248">
        <f t="shared" si="41"/>
        <v>74.951894817073168</v>
      </c>
      <c r="DR8" s="254">
        <f t="shared" si="41"/>
        <v>1.4005916719890021E-2</v>
      </c>
      <c r="DS8" s="255">
        <f t="shared" si="41"/>
        <v>98.077457317073168</v>
      </c>
      <c r="DT8" s="55" t="e">
        <f t="shared" si="41"/>
        <v>#N/A</v>
      </c>
      <c r="DU8" s="55" t="e">
        <f t="shared" si="41"/>
        <v>#N/A</v>
      </c>
      <c r="DV8" s="55" t="e">
        <f t="shared" si="41"/>
        <v>#N/A</v>
      </c>
      <c r="DW8" s="56" t="e">
        <f t="shared" si="41"/>
        <v>#N/A</v>
      </c>
      <c r="DY8" s="57" t="e">
        <f>AVERAGE(DY4:DY7)</f>
        <v>#N/A</v>
      </c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.75" thickTop="1">
      <c r="A9" s="77">
        <v>3520</v>
      </c>
      <c r="B9" s="78">
        <v>11094</v>
      </c>
      <c r="C9" s="607" t="s">
        <v>32</v>
      </c>
      <c r="D9" s="595">
        <f>VLOOKUP(A9,[4]CFR20152016_BenchMarkDataReport!$B$3:$BO$99,18,0)</f>
        <v>1506197</v>
      </c>
      <c r="E9" s="595">
        <f>VLOOKUP(A9,[4]CFR20152016_BenchMarkDataReport!$B$3:$BO$99,19,0)</f>
        <v>0</v>
      </c>
      <c r="F9" s="595">
        <f>VLOOKUP(A9,[4]CFR20152016_BenchMarkDataReport!$B$3:$BO$99,20,0)</f>
        <v>53572</v>
      </c>
      <c r="G9" s="595">
        <f>VLOOKUP(A9,[4]CFR20152016_BenchMarkDataReport!$B$3:$BO$99,21,0)</f>
        <v>0</v>
      </c>
      <c r="H9" s="595">
        <f>VLOOKUP(A9,[4]CFR20152016_BenchMarkDataReport!$B$3:$BO$99,22,0)</f>
        <v>3928.99</v>
      </c>
      <c r="I9" s="595">
        <f>VLOOKUP(A9,[4]CFR20152016_BenchMarkDataReport!$B$3:$BO$99,23,0)</f>
        <v>4960</v>
      </c>
      <c r="J9" s="595">
        <f>VLOOKUP(A9,[4]CFR20152016_BenchMarkDataReport!$B$3:$BO$99,24,0)</f>
        <v>15050</v>
      </c>
      <c r="K9" s="595">
        <f>VLOOKUP(A9,[4]CFR20152016_BenchMarkDataReport!$B$3:$BO$99,25,0)</f>
        <v>14685.84</v>
      </c>
      <c r="L9" s="595">
        <f>VLOOKUP(A9,[4]CFR20152016_BenchMarkDataReport!$B$3:$BO$99,26,0)</f>
        <v>86102.52</v>
      </c>
      <c r="M9" s="595">
        <f>VLOOKUP(A9,[4]CFR20152016_BenchMarkDataReport!$B$3:$BO$99,27,0)</f>
        <v>14261.4</v>
      </c>
      <c r="N9" s="595">
        <f>VLOOKUP(A9,[4]CFR20152016_BenchMarkDataReport!$B$3:$BO$99,28,0)</f>
        <v>0</v>
      </c>
      <c r="O9" s="595">
        <f>VLOOKUP(A9,[4]CFR20152016_BenchMarkDataReport!$B$3:$BO$99,29,0)</f>
        <v>22001.51</v>
      </c>
      <c r="P9" s="595">
        <f>VLOOKUP(A9,[4]CFR20152016_BenchMarkDataReport!$B$3:$BO$99,30,0)</f>
        <v>506807.41</v>
      </c>
      <c r="Q9" s="595">
        <f>VLOOKUP(A9,[4]CFR20152016_BenchMarkDataReport!$B$3:$BO$99,31,0)</f>
        <v>0</v>
      </c>
      <c r="R9" s="595">
        <f>VLOOKUP(A9,[4]CFR20152016_BenchMarkDataReport!$B$3:$BO$99,32,0)</f>
        <v>0</v>
      </c>
      <c r="S9" s="595">
        <f>VLOOKUP(A9,[4]CFR20152016_BenchMarkDataReport!$B$3:$BO$99,33,0)</f>
        <v>0</v>
      </c>
      <c r="T9" s="595">
        <f>VLOOKUP(A9,[4]CFR20152016_BenchMarkDataReport!$B$3:$BO$99,34,0)</f>
        <v>88471.58</v>
      </c>
      <c r="U9" s="595">
        <f>VLOOKUP(A9,[4]CFR20152016_BenchMarkDataReport!$B$3:$BO$99,35,0)</f>
        <v>1015080.7</v>
      </c>
      <c r="V9" s="595">
        <f>VLOOKUP(A9,[4]CFR20152016_BenchMarkDataReport!$B$3:$BO$99,36,0)</f>
        <v>14193.68</v>
      </c>
      <c r="W9" s="595">
        <f>VLOOKUP(A9,[4]CFR20152016_BenchMarkDataReport!$B$3:$BO$99,37,0)</f>
        <v>369291.51</v>
      </c>
      <c r="X9" s="595">
        <f>VLOOKUP(A9,[4]CFR20152016_BenchMarkDataReport!$B$3:$BO$99,38,0)</f>
        <v>36294.699999999997</v>
      </c>
      <c r="Y9" s="595">
        <f>VLOOKUP(A9,[4]CFR20152016_BenchMarkDataReport!$B$3:$BO$99,39,0)</f>
        <v>125110.29</v>
      </c>
      <c r="Z9" s="595">
        <f>VLOOKUP(A9,[4]CFR20152016_BenchMarkDataReport!$B$3:$BO$99,40,0)</f>
        <v>0</v>
      </c>
      <c r="AA9" s="595">
        <f>VLOOKUP(A9,[4]CFR20152016_BenchMarkDataReport!$B$3:$BO$99,41,0)</f>
        <v>17396.099999999999</v>
      </c>
      <c r="AB9" s="595">
        <f>VLOOKUP(A9,[4]CFR20152016_BenchMarkDataReport!$B$3:$BO$99,42,0)</f>
        <v>33505.15</v>
      </c>
      <c r="AC9" s="595">
        <f>VLOOKUP(A9,[4]CFR20152016_BenchMarkDataReport!$B$3:$BO$99,43,0)</f>
        <v>11295.59</v>
      </c>
      <c r="AD9" s="595">
        <f>VLOOKUP(A9,[4]CFR20152016_BenchMarkDataReport!$B$3:$BO$99,44,0)</f>
        <v>18290.57</v>
      </c>
      <c r="AE9" s="595">
        <f>VLOOKUP(A9,[4]CFR20152016_BenchMarkDataReport!$B$3:$BO$99,45,0)</f>
        <v>0</v>
      </c>
      <c r="AF9" s="595">
        <f>VLOOKUP(A9,[4]CFR20152016_BenchMarkDataReport!$B$3:$BO$99,46,0)</f>
        <v>36328.5</v>
      </c>
      <c r="AG9" s="595">
        <f>VLOOKUP(A9,[4]CFR20152016_BenchMarkDataReport!$B$3:$BO$99,47,0)</f>
        <v>12354.76</v>
      </c>
      <c r="AH9" s="595">
        <f>VLOOKUP(A9,[4]CFR20152016_BenchMarkDataReport!$B$3:$BO$99,48,0)</f>
        <v>32035.32</v>
      </c>
      <c r="AI9" s="595">
        <f>VLOOKUP(A9,[4]CFR20152016_BenchMarkDataReport!$B$3:$BO$99,49,0)</f>
        <v>5456.39</v>
      </c>
      <c r="AJ9" s="595">
        <f>VLOOKUP(A9,[4]CFR20152016_BenchMarkDataReport!$B$3:$BO$99,50,0)</f>
        <v>29079.35</v>
      </c>
      <c r="AK9" s="595">
        <f>VLOOKUP(A9,[4]CFR20152016_BenchMarkDataReport!$B$3:$BO$99,51,0)</f>
        <v>0</v>
      </c>
      <c r="AL9" s="595">
        <f>VLOOKUP(A9,[4]CFR20152016_BenchMarkDataReport!$B$3:$BO$99,52,0)</f>
        <v>152587.64000000001</v>
      </c>
      <c r="AM9" s="595">
        <f>VLOOKUP(A9,[4]CFR20152016_BenchMarkDataReport!$B$3:$BO$99,53,0)</f>
        <v>93532.28</v>
      </c>
      <c r="AN9" s="595">
        <f>VLOOKUP(A9,[4]CFR20152016_BenchMarkDataReport!$B$3:$BO$99,54,0)</f>
        <v>21486.55</v>
      </c>
      <c r="AO9" s="595">
        <f>VLOOKUP(A9,[4]CFR20152016_BenchMarkDataReport!$B$3:$BO$99,55,0)</f>
        <v>0</v>
      </c>
      <c r="AP9" s="595">
        <f>VLOOKUP(A9,[4]CFR20152016_BenchMarkDataReport!$B$3:$BO$99,56,0)</f>
        <v>13135.62</v>
      </c>
      <c r="AQ9" s="595">
        <f>VLOOKUP(A9,[4]CFR20152016_BenchMarkDataReport!$B$3:$BO$99,57,0)</f>
        <v>27772.720000000001</v>
      </c>
      <c r="AR9" s="595">
        <f>VLOOKUP(A9,[4]CFR20152016_BenchMarkDataReport!$B$3:$BO$99,58,0)</f>
        <v>2298.12</v>
      </c>
      <c r="AS9" s="595">
        <f>VLOOKUP(A9,[4]CFR20152016_BenchMarkDataReport!$B$3:$BO$99,59,0)</f>
        <v>162116.76</v>
      </c>
      <c r="AT9" s="595">
        <f>VLOOKUP(A9,[4]CFR20152016_BenchMarkDataReport!$B$3:$BO$99,60,0)</f>
        <v>32000</v>
      </c>
      <c r="AU9" s="595">
        <f>VLOOKUP(A9,[4]CFR20152016_BenchMarkDataReport!$B$3:$BO$99,61,0)</f>
        <v>57080.07</v>
      </c>
      <c r="AV9" s="595">
        <f>VLOOKUP(A9,[4]CFR20152016_BenchMarkDataReport!$B$3:$BO$99,62,0)</f>
        <v>41850.879999999997</v>
      </c>
      <c r="AW9" s="595">
        <f>VLOOKUP(A9,[4]CFR20152016_BenchMarkDataReport!$B$3:$BO$99,63,0)</f>
        <v>0</v>
      </c>
      <c r="AX9" s="595">
        <f>VLOOKUP(A9,[4]CFR20152016_BenchMarkDataReport!$B$3:$BO$99,64,0)</f>
        <v>0</v>
      </c>
      <c r="AY9" s="595">
        <f>VLOOKUP(A9,[4]CFR20152016_BenchMarkDataReport!$B$3:$BO$99,65,0)</f>
        <v>0</v>
      </c>
      <c r="AZ9" s="595">
        <f>VLOOKUP(A9,[4]CFR20152016_BenchMarkDataReport!$B$3:$BO$99,66,0)</f>
        <v>0</v>
      </c>
      <c r="BA9" s="596">
        <f t="shared" si="0"/>
        <v>2316038.25</v>
      </c>
      <c r="BB9" s="595">
        <f t="shared" ref="BB9:BB66" si="42">SUM(U9:AX9)</f>
        <v>2359573.2500000005</v>
      </c>
      <c r="BC9" s="600">
        <f t="shared" ref="BC9:BC61" si="43">BA9-BB9</f>
        <v>-43535.000000000466</v>
      </c>
      <c r="BD9" s="595">
        <f>VLOOKUP(A9,[4]CFR20152016_BenchMarkDataReport!$B$3:$BO$99,15,0)</f>
        <v>39457</v>
      </c>
      <c r="BE9" s="600">
        <f t="shared" si="1"/>
        <v>-4078.0000000004657</v>
      </c>
      <c r="BF9" s="76">
        <f>VLOOKUP(A9,'OCT 15 CENSUS'!$B$9:$U$132,20,0)</f>
        <v>421</v>
      </c>
      <c r="BG9" s="73">
        <f>VLOOKUP(A9,'[2]BUDGET SHARE inc ADJUSTMENTS'!$D$4:$M$139,10,0)</f>
        <v>1671300.6719506721</v>
      </c>
      <c r="BH9" s="76">
        <f>VLOOKUP(A9,'12-13 Pupil Data'!A:CI,81,0)</f>
        <v>2368</v>
      </c>
      <c r="BI9" t="s">
        <v>210</v>
      </c>
      <c r="BJ9" s="44">
        <f t="shared" ref="BJ9:BJ37" si="44">D9/BA9</f>
        <v>0.65033338719686518</v>
      </c>
      <c r="BK9" s="45">
        <f t="shared" ref="BK9:BK37" si="45">D9/BF9</f>
        <v>3577.6650831353918</v>
      </c>
      <c r="BL9" s="44">
        <f t="shared" ref="BL9:BL37" si="46">E9/BA9</f>
        <v>0</v>
      </c>
      <c r="BM9" s="45">
        <f t="shared" ref="BM9:BM37" si="47">E9/BF9</f>
        <v>0</v>
      </c>
      <c r="BN9" s="44">
        <f t="shared" ref="BN9:BN37" si="48">F9/BA9</f>
        <v>2.3130878775426095E-2</v>
      </c>
      <c r="BO9" s="45">
        <f t="shared" ref="BO9:BO37" si="49">F9/BF9</f>
        <v>127.24940617577197</v>
      </c>
      <c r="BP9" s="44">
        <f t="shared" ref="BP9:BP37" si="50">G9/BA9</f>
        <v>0</v>
      </c>
      <c r="BQ9" s="45">
        <f t="shared" ref="BQ9:BQ37" si="51">G9/BF9</f>
        <v>0</v>
      </c>
      <c r="BR9" s="44">
        <f t="shared" ref="BR9:BR37" si="52">H9/BA9</f>
        <v>1.6964270775752515E-3</v>
      </c>
      <c r="BS9" s="45">
        <f t="shared" ref="BS9:BS37" si="53">H9/BF9</f>
        <v>9.3325178147268399</v>
      </c>
      <c r="BT9" s="44">
        <f t="shared" ref="BT9:BT37" si="54">I9/BA9</f>
        <v>2.141588119280845E-3</v>
      </c>
      <c r="BU9" s="45">
        <f t="shared" ref="BU9:BU37" si="55">I9/BF9</f>
        <v>11.781472684085511</v>
      </c>
      <c r="BV9" s="44">
        <f t="shared" ref="BV9:BV37" si="56">J9/BA9</f>
        <v>6.4981655635436937E-3</v>
      </c>
      <c r="BW9" s="45">
        <f t="shared" ref="BW9:BW37" si="57">J9/BF9</f>
        <v>35.748218527315913</v>
      </c>
      <c r="BX9" s="44">
        <f t="shared" ref="BX9:BX37" si="58">K9/BA9</f>
        <v>6.3409315454958483E-3</v>
      </c>
      <c r="BY9" s="45">
        <f t="shared" ref="BY9:BY37" si="59">K9/BF9</f>
        <v>34.883230403800475</v>
      </c>
      <c r="BZ9" s="46">
        <f t="shared" ref="BZ9:BZ37" si="60">O9/BA9</f>
        <v>9.4996315367416751E-3</v>
      </c>
      <c r="CA9" s="47">
        <f t="shared" ref="CA9:CA37" si="61">O9/BF9</f>
        <v>52.2601187648456</v>
      </c>
      <c r="CB9" s="44">
        <f t="shared" ref="CB9:CB37" si="62">P9/BA9</f>
        <v>0.21882514677812423</v>
      </c>
      <c r="CC9" s="48">
        <f t="shared" ref="CC9:CC37" si="63">P9/BF9</f>
        <v>1203.8180760095011</v>
      </c>
      <c r="CD9" s="46">
        <f t="shared" ref="CD9:CD65" si="64">(U9+V9+AT9)/BG9</f>
        <v>0.63499907455989046</v>
      </c>
      <c r="CE9" s="49">
        <f t="shared" ref="CE9:CE65" si="65">(U9+V9+AT9)/BA9</f>
        <v>0.45822834748087599</v>
      </c>
      <c r="CF9" s="49">
        <f t="shared" ref="CF9:CF65" si="66">(U9+V9+AT9)/BB9</f>
        <v>0.4497738648291591</v>
      </c>
      <c r="CG9" s="47">
        <f t="shared" ref="CG9:CG65" si="67">(U9+V9+AT9)/BF9</f>
        <v>2520.8417577197147</v>
      </c>
      <c r="CH9" s="44">
        <f t="shared" si="2"/>
        <v>0.22096054659571127</v>
      </c>
      <c r="CI9" s="50">
        <f t="shared" si="3"/>
        <v>0.15944965934824262</v>
      </c>
      <c r="CJ9" s="50">
        <f t="shared" si="4"/>
        <v>0.15650775410341677</v>
      </c>
      <c r="CK9" s="45">
        <f t="shared" si="5"/>
        <v>877.17698337292165</v>
      </c>
      <c r="CL9" s="46">
        <f t="shared" si="6"/>
        <v>2.1716439542645755E-2</v>
      </c>
      <c r="CM9" s="49">
        <f t="shared" ref="CM9:CM66" si="68">X9/BA9</f>
        <v>1.567102788565776E-2</v>
      </c>
      <c r="CN9" s="49">
        <f t="shared" ref="CN9:CN66" si="69">X9/BB9</f>
        <v>1.5381891619596888E-2</v>
      </c>
      <c r="CO9" s="47">
        <f t="shared" ref="CO9:CO66" si="70">X9/BF9</f>
        <v>86.210688836104509</v>
      </c>
      <c r="CP9" s="44">
        <f t="shared" si="7"/>
        <v>7.4858038472500887E-2</v>
      </c>
      <c r="CQ9" s="50">
        <f t="shared" si="8"/>
        <v>5.4019094891891356E-2</v>
      </c>
      <c r="CR9" s="50">
        <f t="shared" ref="CR9:CR66" si="71">Y9/BB9</f>
        <v>5.3022422592729414E-2</v>
      </c>
      <c r="CS9" s="45">
        <f t="shared" si="9"/>
        <v>297.17408551068883</v>
      </c>
      <c r="CT9" s="46">
        <f t="shared" si="10"/>
        <v>0.9437960544579711</v>
      </c>
      <c r="CU9" s="49">
        <f t="shared" si="11"/>
        <v>0.68106257744232002</v>
      </c>
      <c r="CV9" s="49">
        <f t="shared" si="12"/>
        <v>0.66849672075236477</v>
      </c>
      <c r="CW9" s="47">
        <f t="shared" si="13"/>
        <v>3746.7149168646088</v>
      </c>
      <c r="CX9" s="44">
        <f t="shared" si="14"/>
        <v>2.1736663312412183E-2</v>
      </c>
      <c r="CY9" s="50">
        <f t="shared" si="15"/>
        <v>1.5396216243763567E-2</v>
      </c>
      <c r="CZ9" s="48">
        <f t="shared" si="16"/>
        <v>15.341427364864865</v>
      </c>
      <c r="DA9" s="45">
        <f t="shared" si="17"/>
        <v>86.290973871733968</v>
      </c>
      <c r="DB9" s="51">
        <f t="shared" si="18"/>
        <v>2.312447812332166E-3</v>
      </c>
      <c r="DC9" s="52">
        <f t="shared" si="19"/>
        <v>12.960546318289786</v>
      </c>
      <c r="DD9" s="44">
        <f t="shared" si="20"/>
        <v>1.7399233117078687E-2</v>
      </c>
      <c r="DE9" s="50">
        <f t="shared" si="21"/>
        <v>1.2323986975187141E-2</v>
      </c>
      <c r="DF9" s="48">
        <f t="shared" si="22"/>
        <v>12.280130912162161</v>
      </c>
      <c r="DG9" s="45">
        <f t="shared" si="23"/>
        <v>69.072090261282654</v>
      </c>
      <c r="DH9" s="46">
        <f t="shared" si="24"/>
        <v>9.1298736703017136E-2</v>
      </c>
      <c r="DI9" s="49">
        <f t="shared" si="25"/>
        <v>6.4667473239069809E-2</v>
      </c>
      <c r="DJ9" s="47">
        <f t="shared" si="26"/>
        <v>64.437347972972972</v>
      </c>
      <c r="DK9" s="44">
        <f t="shared" si="27"/>
        <v>5.5963766167121232E-2</v>
      </c>
      <c r="DL9" s="50">
        <f t="shared" si="28"/>
        <v>4.0384600729284154E-2</v>
      </c>
      <c r="DM9" s="50">
        <f t="shared" si="29"/>
        <v>3.9639489895047751E-2</v>
      </c>
      <c r="DN9" s="45">
        <f t="shared" si="30"/>
        <v>222.16693586698338</v>
      </c>
      <c r="DO9" s="46">
        <f t="shared" si="31"/>
        <v>7.859519367432944E-3</v>
      </c>
      <c r="DP9" s="49">
        <f t="shared" si="32"/>
        <v>5.5669473282933674E-3</v>
      </c>
      <c r="DQ9" s="47">
        <f t="shared" si="33"/>
        <v>31.200997624703088</v>
      </c>
      <c r="DR9" s="53">
        <f t="shared" si="34"/>
        <v>6.8705966216560554E-2</v>
      </c>
      <c r="DS9" s="45">
        <f t="shared" si="35"/>
        <v>385.07543942992874</v>
      </c>
      <c r="DT9" s="46" t="e">
        <f t="shared" ref="DT9:DT37" si="72">DY9/BG9</f>
        <v>#VALUE!</v>
      </c>
      <c r="DU9" s="49" t="e">
        <f t="shared" ref="DU9:DU37" si="73">DY9/BA9</f>
        <v>#VALUE!</v>
      </c>
      <c r="DV9" s="49" t="e">
        <f t="shared" ref="DV9:DV37" si="74">DY9/BB9</f>
        <v>#VALUE!</v>
      </c>
      <c r="DW9" s="47" t="e">
        <f t="shared" ref="DW9:DW37" si="75">DY9/BF9</f>
        <v>#VALUE!</v>
      </c>
      <c r="DY9" s="54" t="str">
        <f>VLOOKUP(A9,'[3]Barnet Schools'!$E$8:$V$130,17,0)</f>
        <v>x</v>
      </c>
    </row>
    <row r="10" spans="1:256">
      <c r="A10" s="77">
        <v>3317</v>
      </c>
      <c r="B10" s="78">
        <v>10042</v>
      </c>
      <c r="C10" s="589" t="s">
        <v>33</v>
      </c>
      <c r="D10" s="595">
        <f>VLOOKUP(A10,[4]CFR20152016_BenchMarkDataReport!$B$3:$BO$99,18,0)</f>
        <v>1102224</v>
      </c>
      <c r="E10" s="595">
        <f>VLOOKUP(A10,[4]CFR20152016_BenchMarkDataReport!$B$3:$BO$99,19,0)</f>
        <v>0</v>
      </c>
      <c r="F10" s="595">
        <f>VLOOKUP(A10,[4]CFR20152016_BenchMarkDataReport!$B$3:$BO$99,20,0)</f>
        <v>35025</v>
      </c>
      <c r="G10" s="595">
        <f>VLOOKUP(A10,[4]CFR20152016_BenchMarkDataReport!$B$3:$BO$99,21,0)</f>
        <v>0</v>
      </c>
      <c r="H10" s="595">
        <f>VLOOKUP(A10,[4]CFR20152016_BenchMarkDataReport!$B$3:$BO$99,22,0)</f>
        <v>89745.24</v>
      </c>
      <c r="I10" s="595">
        <f>VLOOKUP(A10,[4]CFR20152016_BenchMarkDataReport!$B$3:$BO$99,23,0)</f>
        <v>3103.85</v>
      </c>
      <c r="J10" s="595">
        <f>VLOOKUP(A10,[4]CFR20152016_BenchMarkDataReport!$B$3:$BO$99,24,0)</f>
        <v>5336.5</v>
      </c>
      <c r="K10" s="595">
        <f>VLOOKUP(A10,[4]CFR20152016_BenchMarkDataReport!$B$3:$BO$99,25,0)</f>
        <v>26856</v>
      </c>
      <c r="L10" s="595">
        <f>VLOOKUP(A10,[4]CFR20152016_BenchMarkDataReport!$B$3:$BO$99,26,0)</f>
        <v>26034.61</v>
      </c>
      <c r="M10" s="595">
        <f>VLOOKUP(A10,[4]CFR20152016_BenchMarkDataReport!$B$3:$BO$99,27,0)</f>
        <v>0</v>
      </c>
      <c r="N10" s="595">
        <f>VLOOKUP(A10,[4]CFR20152016_BenchMarkDataReport!$B$3:$BO$99,28,0)</f>
        <v>5513.7</v>
      </c>
      <c r="O10" s="595">
        <f>VLOOKUP(A10,[4]CFR20152016_BenchMarkDataReport!$B$3:$BO$99,29,0)</f>
        <v>22211.75</v>
      </c>
      <c r="P10" s="595">
        <f>VLOOKUP(A10,[4]CFR20152016_BenchMarkDataReport!$B$3:$BO$99,30,0)</f>
        <v>62165.18</v>
      </c>
      <c r="Q10" s="595">
        <f>VLOOKUP(A10,[4]CFR20152016_BenchMarkDataReport!$B$3:$BO$99,31,0)</f>
        <v>0</v>
      </c>
      <c r="R10" s="595">
        <f>VLOOKUP(A10,[4]CFR20152016_BenchMarkDataReport!$B$3:$BO$99,32,0)</f>
        <v>0</v>
      </c>
      <c r="S10" s="595">
        <f>VLOOKUP(A10,[4]CFR20152016_BenchMarkDataReport!$B$3:$BO$99,33,0)</f>
        <v>0</v>
      </c>
      <c r="T10" s="595">
        <f>VLOOKUP(A10,[4]CFR20152016_BenchMarkDataReport!$B$3:$BO$99,34,0)</f>
        <v>34696.76</v>
      </c>
      <c r="U10" s="595">
        <f>VLOOKUP(A10,[4]CFR20152016_BenchMarkDataReport!$B$3:$BO$99,35,0)</f>
        <v>563434.34</v>
      </c>
      <c r="V10" s="595">
        <f>VLOOKUP(A10,[4]CFR20152016_BenchMarkDataReport!$B$3:$BO$99,36,0)</f>
        <v>0</v>
      </c>
      <c r="W10" s="595">
        <f>VLOOKUP(A10,[4]CFR20152016_BenchMarkDataReport!$B$3:$BO$99,37,0)</f>
        <v>254024.39</v>
      </c>
      <c r="X10" s="595">
        <f>VLOOKUP(A10,[4]CFR20152016_BenchMarkDataReport!$B$3:$BO$99,38,0)</f>
        <v>25284.18</v>
      </c>
      <c r="Y10" s="595">
        <f>VLOOKUP(A10,[4]CFR20152016_BenchMarkDataReport!$B$3:$BO$99,39,0)</f>
        <v>51250.7</v>
      </c>
      <c r="Z10" s="595">
        <f>VLOOKUP(A10,[4]CFR20152016_BenchMarkDataReport!$B$3:$BO$99,40,0)</f>
        <v>0</v>
      </c>
      <c r="AA10" s="595">
        <f>VLOOKUP(A10,[4]CFR20152016_BenchMarkDataReport!$B$3:$BO$99,41,0)</f>
        <v>23338.87</v>
      </c>
      <c r="AB10" s="595">
        <f>VLOOKUP(A10,[4]CFR20152016_BenchMarkDataReport!$B$3:$BO$99,42,0)</f>
        <v>4418.59</v>
      </c>
      <c r="AC10" s="595">
        <f>VLOOKUP(A10,[4]CFR20152016_BenchMarkDataReport!$B$3:$BO$99,43,0)</f>
        <v>4494.79</v>
      </c>
      <c r="AD10" s="595">
        <f>VLOOKUP(A10,[4]CFR20152016_BenchMarkDataReport!$B$3:$BO$99,44,0)</f>
        <v>11075.44</v>
      </c>
      <c r="AE10" s="595">
        <f>VLOOKUP(A10,[4]CFR20152016_BenchMarkDataReport!$B$3:$BO$99,45,0)</f>
        <v>1514.93</v>
      </c>
      <c r="AF10" s="595">
        <f>VLOOKUP(A10,[4]CFR20152016_BenchMarkDataReport!$B$3:$BO$99,46,0)</f>
        <v>78676.639999999999</v>
      </c>
      <c r="AG10" s="595">
        <f>VLOOKUP(A10,[4]CFR20152016_BenchMarkDataReport!$B$3:$BO$99,47,0)</f>
        <v>11846.59</v>
      </c>
      <c r="AH10" s="595">
        <f>VLOOKUP(A10,[4]CFR20152016_BenchMarkDataReport!$B$3:$BO$99,48,0)</f>
        <v>30366.18</v>
      </c>
      <c r="AI10" s="595">
        <f>VLOOKUP(A10,[4]CFR20152016_BenchMarkDataReport!$B$3:$BO$99,49,0)</f>
        <v>3420.95</v>
      </c>
      <c r="AJ10" s="595">
        <f>VLOOKUP(A10,[4]CFR20152016_BenchMarkDataReport!$B$3:$BO$99,50,0)</f>
        <v>16246.59</v>
      </c>
      <c r="AK10" s="595">
        <f>VLOOKUP(A10,[4]CFR20152016_BenchMarkDataReport!$B$3:$BO$99,51,0)</f>
        <v>0</v>
      </c>
      <c r="AL10" s="595">
        <f>VLOOKUP(A10,[4]CFR20152016_BenchMarkDataReport!$B$3:$BO$99,52,0)</f>
        <v>5975.01</v>
      </c>
      <c r="AM10" s="595">
        <f>VLOOKUP(A10,[4]CFR20152016_BenchMarkDataReport!$B$3:$BO$99,53,0)</f>
        <v>62296.92</v>
      </c>
      <c r="AN10" s="595">
        <f>VLOOKUP(A10,[4]CFR20152016_BenchMarkDataReport!$B$3:$BO$99,54,0)</f>
        <v>22536.639999999999</v>
      </c>
      <c r="AO10" s="595">
        <f>VLOOKUP(A10,[4]CFR20152016_BenchMarkDataReport!$B$3:$BO$99,55,0)</f>
        <v>0</v>
      </c>
      <c r="AP10" s="595">
        <f>VLOOKUP(A10,[4]CFR20152016_BenchMarkDataReport!$B$3:$BO$99,56,0)</f>
        <v>5951.1</v>
      </c>
      <c r="AQ10" s="595">
        <f>VLOOKUP(A10,[4]CFR20152016_BenchMarkDataReport!$B$3:$BO$99,57,0)</f>
        <v>4147.4399999999996</v>
      </c>
      <c r="AR10" s="595">
        <f>VLOOKUP(A10,[4]CFR20152016_BenchMarkDataReport!$B$3:$BO$99,58,0)</f>
        <v>6278.41</v>
      </c>
      <c r="AS10" s="595">
        <f>VLOOKUP(A10,[4]CFR20152016_BenchMarkDataReport!$B$3:$BO$99,59,0)</f>
        <v>78881.350000000006</v>
      </c>
      <c r="AT10" s="595">
        <f>VLOOKUP(A10,[4]CFR20152016_BenchMarkDataReport!$B$3:$BO$99,60,0)</f>
        <v>49973.8</v>
      </c>
      <c r="AU10" s="595">
        <f>VLOOKUP(A10,[4]CFR20152016_BenchMarkDataReport!$B$3:$BO$99,61,0)</f>
        <v>43893.15</v>
      </c>
      <c r="AV10" s="595">
        <f>VLOOKUP(A10,[4]CFR20152016_BenchMarkDataReport!$B$3:$BO$99,62,0)</f>
        <v>23408.59</v>
      </c>
      <c r="AW10" s="595">
        <f>VLOOKUP(A10,[4]CFR20152016_BenchMarkDataReport!$B$3:$BO$99,63,0)</f>
        <v>0</v>
      </c>
      <c r="AX10" s="595">
        <f>VLOOKUP(A10,[4]CFR20152016_BenchMarkDataReport!$B$3:$BO$99,64,0)</f>
        <v>0</v>
      </c>
      <c r="AY10" s="595">
        <f>VLOOKUP(A10,[4]CFR20152016_BenchMarkDataReport!$B$3:$BO$99,65,0)</f>
        <v>0</v>
      </c>
      <c r="AZ10" s="595">
        <f>VLOOKUP(A10,[4]CFR20152016_BenchMarkDataReport!$B$3:$BO$99,66,0)</f>
        <v>0</v>
      </c>
      <c r="BA10" s="596">
        <f t="shared" si="0"/>
        <v>1412912.59</v>
      </c>
      <c r="BB10" s="595">
        <f t="shared" si="42"/>
        <v>1382735.5899999999</v>
      </c>
      <c r="BC10" s="600">
        <f t="shared" si="43"/>
        <v>30177.000000000233</v>
      </c>
      <c r="BD10" s="595">
        <f>VLOOKUP(A10,[4]CFR20152016_BenchMarkDataReport!$B$3:$BO$99,15,0)</f>
        <v>105204</v>
      </c>
      <c r="BE10" s="600">
        <f t="shared" si="1"/>
        <v>135381.00000000023</v>
      </c>
      <c r="BF10" s="76">
        <f>VLOOKUP(A10,'OCT 15 CENSUS'!$B$9:$U$132,20,0)</f>
        <v>269</v>
      </c>
      <c r="BG10" s="73">
        <f>VLOOKUP(A10,'[2]BUDGET SHARE inc ADJUSTMENTS'!$D$4:$M$139,10,0)</f>
        <v>1260083.3332341218</v>
      </c>
      <c r="BH10" s="76">
        <f>VLOOKUP(A10,'12-13 Pupil Data'!A:CI,81,0)</f>
        <v>1504</v>
      </c>
      <c r="BI10" t="s">
        <v>210</v>
      </c>
      <c r="BJ10" s="44">
        <f t="shared" si="44"/>
        <v>0.7801077064505455</v>
      </c>
      <c r="BK10" s="45">
        <f t="shared" si="45"/>
        <v>4097.4869888475832</v>
      </c>
      <c r="BL10" s="44">
        <f t="shared" si="46"/>
        <v>0</v>
      </c>
      <c r="BM10" s="45">
        <f t="shared" si="47"/>
        <v>0</v>
      </c>
      <c r="BN10" s="44">
        <f t="shared" si="48"/>
        <v>2.4789219267980334E-2</v>
      </c>
      <c r="BO10" s="45">
        <f t="shared" si="49"/>
        <v>130.20446096654274</v>
      </c>
      <c r="BP10" s="44">
        <f t="shared" si="50"/>
        <v>0</v>
      </c>
      <c r="BQ10" s="45">
        <f t="shared" si="51"/>
        <v>0</v>
      </c>
      <c r="BR10" s="44">
        <f t="shared" si="52"/>
        <v>6.3517899575089784E-2</v>
      </c>
      <c r="BS10" s="45">
        <f t="shared" si="53"/>
        <v>333.62542750929367</v>
      </c>
      <c r="BT10" s="44">
        <f t="shared" si="54"/>
        <v>2.1967742533881732E-3</v>
      </c>
      <c r="BU10" s="45">
        <f t="shared" si="55"/>
        <v>11.538475836431227</v>
      </c>
      <c r="BV10" s="44">
        <f t="shared" si="56"/>
        <v>3.776949853635319E-3</v>
      </c>
      <c r="BW10" s="45">
        <f t="shared" si="57"/>
        <v>19.838289962825279</v>
      </c>
      <c r="BX10" s="44">
        <f t="shared" si="58"/>
        <v>1.9007545257983722E-2</v>
      </c>
      <c r="BY10" s="45">
        <f t="shared" si="59"/>
        <v>99.836431226765797</v>
      </c>
      <c r="BZ10" s="46">
        <f t="shared" si="60"/>
        <v>1.572054078731084E-2</v>
      </c>
      <c r="CA10" s="47">
        <f t="shared" si="61"/>
        <v>82.571561338289968</v>
      </c>
      <c r="CB10" s="44">
        <f t="shared" si="62"/>
        <v>4.3997895156415869E-2</v>
      </c>
      <c r="CC10" s="48">
        <f t="shared" si="63"/>
        <v>231.09732342007436</v>
      </c>
      <c r="CD10" s="46">
        <f t="shared" si="64"/>
        <v>0.48679966143638342</v>
      </c>
      <c r="CE10" s="49">
        <f t="shared" si="65"/>
        <v>0.43414443635186234</v>
      </c>
      <c r="CF10" s="49">
        <f t="shared" si="66"/>
        <v>0.44361926057027296</v>
      </c>
      <c r="CG10" s="47">
        <f t="shared" si="67"/>
        <v>2280.327657992565</v>
      </c>
      <c r="CH10" s="44">
        <f t="shared" si="2"/>
        <v>0.20159332585411049</v>
      </c>
      <c r="CI10" s="50">
        <f t="shared" si="3"/>
        <v>0.17978776026052681</v>
      </c>
      <c r="CJ10" s="50">
        <f t="shared" si="4"/>
        <v>0.18371147154749959</v>
      </c>
      <c r="CK10" s="45">
        <f t="shared" si="5"/>
        <v>944.32858736059484</v>
      </c>
      <c r="CL10" s="46">
        <f t="shared" si="6"/>
        <v>2.0065482443217295E-2</v>
      </c>
      <c r="CM10" s="49">
        <f t="shared" si="68"/>
        <v>1.7895077288539129E-2</v>
      </c>
      <c r="CN10" s="49">
        <f t="shared" si="69"/>
        <v>1.828562176518506E-2</v>
      </c>
      <c r="CO10" s="47">
        <f t="shared" si="70"/>
        <v>93.993234200743501</v>
      </c>
      <c r="CP10" s="44">
        <f t="shared" si="7"/>
        <v>4.0672468755268969E-2</v>
      </c>
      <c r="CQ10" s="50">
        <f t="shared" si="8"/>
        <v>3.6273086079585432E-2</v>
      </c>
      <c r="CR10" s="50">
        <f t="shared" si="71"/>
        <v>3.7064714592324917E-2</v>
      </c>
      <c r="CS10" s="45">
        <f t="shared" si="9"/>
        <v>190.52304832713753</v>
      </c>
      <c r="CT10" s="46">
        <f t="shared" si="10"/>
        <v>0.72799350313251132</v>
      </c>
      <c r="CU10" s="49">
        <f t="shared" si="11"/>
        <v>0.64924927875403804</v>
      </c>
      <c r="CV10" s="49">
        <f t="shared" si="12"/>
        <v>0.66341857881881816</v>
      </c>
      <c r="CW10" s="47">
        <f t="shared" si="13"/>
        <v>3410.1579182156133</v>
      </c>
      <c r="CX10" s="44">
        <f t="shared" si="14"/>
        <v>6.2437648308599589E-2</v>
      </c>
      <c r="CY10" s="50">
        <f t="shared" si="15"/>
        <v>5.6899265896526184E-2</v>
      </c>
      <c r="CZ10" s="48">
        <f t="shared" si="16"/>
        <v>52.311595744680851</v>
      </c>
      <c r="DA10" s="45">
        <f t="shared" si="17"/>
        <v>292.47821561338287</v>
      </c>
      <c r="DB10" s="51">
        <f t="shared" si="18"/>
        <v>2.4740449473785514E-3</v>
      </c>
      <c r="DC10" s="52">
        <f t="shared" si="19"/>
        <v>12.71728624535316</v>
      </c>
      <c r="DD10" s="44">
        <f t="shared" si="20"/>
        <v>1.2893266319380328E-2</v>
      </c>
      <c r="DE10" s="50">
        <f t="shared" si="21"/>
        <v>1.1749599936167117E-2</v>
      </c>
      <c r="DF10" s="48">
        <f t="shared" si="22"/>
        <v>10.802253989361702</v>
      </c>
      <c r="DG10" s="45">
        <f t="shared" si="23"/>
        <v>60.396245353159848</v>
      </c>
      <c r="DH10" s="46">
        <f t="shared" si="24"/>
        <v>4.741757820623322E-3</v>
      </c>
      <c r="DI10" s="49">
        <f t="shared" si="25"/>
        <v>4.3211515225409078E-3</v>
      </c>
      <c r="DJ10" s="47">
        <f t="shared" si="26"/>
        <v>3.9727460106382981</v>
      </c>
      <c r="DK10" s="44">
        <f t="shared" si="27"/>
        <v>4.943873024660133E-2</v>
      </c>
      <c r="DL10" s="50">
        <f t="shared" si="28"/>
        <v>4.4091135177725324E-2</v>
      </c>
      <c r="DM10" s="50">
        <f t="shared" si="29"/>
        <v>4.5053385803138259E-2</v>
      </c>
      <c r="DN10" s="45">
        <f t="shared" si="30"/>
        <v>231.58706319702603</v>
      </c>
      <c r="DO10" s="46">
        <f t="shared" si="31"/>
        <v>4.7227828851016907E-3</v>
      </c>
      <c r="DP10" s="49">
        <f t="shared" si="32"/>
        <v>4.3038597133382532E-3</v>
      </c>
      <c r="DQ10" s="47">
        <f t="shared" si="33"/>
        <v>22.123048327137546</v>
      </c>
      <c r="DR10" s="53">
        <f t="shared" si="34"/>
        <v>5.7047313000745149E-2</v>
      </c>
      <c r="DS10" s="45">
        <f t="shared" si="35"/>
        <v>293.23921933085506</v>
      </c>
      <c r="DT10" s="46">
        <f t="shared" si="72"/>
        <v>4.2854308580849133E-5</v>
      </c>
      <c r="DU10" s="49">
        <f t="shared" si="73"/>
        <v>3.8218924781468613E-5</v>
      </c>
      <c r="DV10" s="49">
        <f t="shared" si="74"/>
        <v>3.9053019529207319E-5</v>
      </c>
      <c r="DW10" s="47">
        <f t="shared" si="75"/>
        <v>0.20074349442379183</v>
      </c>
      <c r="DY10" s="54">
        <f>VLOOKUP(A10,'[3]Barnet Schools'!$E$8:$V$130,17,0)</f>
        <v>54</v>
      </c>
    </row>
    <row r="11" spans="1:256">
      <c r="A11" s="77">
        <v>3300</v>
      </c>
      <c r="B11" s="78">
        <v>10040</v>
      </c>
      <c r="C11" s="608" t="s">
        <v>34</v>
      </c>
      <c r="D11" s="595">
        <f>VLOOKUP(A11,[4]CFR20152016_BenchMarkDataReport!$B$3:$BO$99,18,0)</f>
        <v>987606</v>
      </c>
      <c r="E11" s="595">
        <f>VLOOKUP(A11,[4]CFR20152016_BenchMarkDataReport!$B$3:$BO$99,19,0)</f>
        <v>0</v>
      </c>
      <c r="F11" s="595">
        <f>VLOOKUP(A11,[4]CFR20152016_BenchMarkDataReport!$B$3:$BO$99,20,0)</f>
        <v>47170.17</v>
      </c>
      <c r="G11" s="595">
        <f>VLOOKUP(A11,[4]CFR20152016_BenchMarkDataReport!$B$3:$BO$99,21,0)</f>
        <v>0</v>
      </c>
      <c r="H11" s="595">
        <f>VLOOKUP(A11,[4]CFR20152016_BenchMarkDataReport!$B$3:$BO$99,22,0)</f>
        <v>121426.99</v>
      </c>
      <c r="I11" s="595">
        <f>VLOOKUP(A11,[4]CFR20152016_BenchMarkDataReport!$B$3:$BO$99,23,0)</f>
        <v>1000</v>
      </c>
      <c r="J11" s="595">
        <f>VLOOKUP(A11,[4]CFR20152016_BenchMarkDataReport!$B$3:$BO$99,24,0)</f>
        <v>915</v>
      </c>
      <c r="K11" s="595">
        <f>VLOOKUP(A11,[4]CFR20152016_BenchMarkDataReport!$B$3:$BO$99,25,0)</f>
        <v>656.06</v>
      </c>
      <c r="L11" s="595">
        <f>VLOOKUP(A11,[4]CFR20152016_BenchMarkDataReport!$B$3:$BO$99,26,0)</f>
        <v>14907.34</v>
      </c>
      <c r="M11" s="595">
        <f>VLOOKUP(A11,[4]CFR20152016_BenchMarkDataReport!$B$3:$BO$99,27,0)</f>
        <v>12955.6</v>
      </c>
      <c r="N11" s="595">
        <f>VLOOKUP(A11,[4]CFR20152016_BenchMarkDataReport!$B$3:$BO$99,28,0)</f>
        <v>0</v>
      </c>
      <c r="O11" s="595">
        <f>VLOOKUP(A11,[4]CFR20152016_BenchMarkDataReport!$B$3:$BO$99,29,0)</f>
        <v>10957.68</v>
      </c>
      <c r="P11" s="595">
        <f>VLOOKUP(A11,[4]CFR20152016_BenchMarkDataReport!$B$3:$BO$99,30,0)</f>
        <v>10115.11</v>
      </c>
      <c r="Q11" s="595">
        <f>VLOOKUP(A11,[4]CFR20152016_BenchMarkDataReport!$B$3:$BO$99,31,0)</f>
        <v>0</v>
      </c>
      <c r="R11" s="595">
        <f>VLOOKUP(A11,[4]CFR20152016_BenchMarkDataReport!$B$3:$BO$99,32,0)</f>
        <v>0</v>
      </c>
      <c r="S11" s="595">
        <f>VLOOKUP(A11,[4]CFR20152016_BenchMarkDataReport!$B$3:$BO$99,33,0)</f>
        <v>0</v>
      </c>
      <c r="T11" s="595">
        <f>VLOOKUP(A11,[4]CFR20152016_BenchMarkDataReport!$B$3:$BO$99,34,0)</f>
        <v>31704.68</v>
      </c>
      <c r="U11" s="595">
        <f>VLOOKUP(A11,[4]CFR20152016_BenchMarkDataReport!$B$3:$BO$99,35,0)</f>
        <v>516869.86</v>
      </c>
      <c r="V11" s="595">
        <f>VLOOKUP(A11,[4]CFR20152016_BenchMarkDataReport!$B$3:$BO$99,36,0)</f>
        <v>8219.7000000000007</v>
      </c>
      <c r="W11" s="595">
        <f>VLOOKUP(A11,[4]CFR20152016_BenchMarkDataReport!$B$3:$BO$99,37,0)</f>
        <v>242707.5</v>
      </c>
      <c r="X11" s="595">
        <f>VLOOKUP(A11,[4]CFR20152016_BenchMarkDataReport!$B$3:$BO$99,38,0)</f>
        <v>28677.06</v>
      </c>
      <c r="Y11" s="595">
        <f>VLOOKUP(A11,[4]CFR20152016_BenchMarkDataReport!$B$3:$BO$99,39,0)</f>
        <v>31641.45</v>
      </c>
      <c r="Z11" s="595">
        <f>VLOOKUP(A11,[4]CFR20152016_BenchMarkDataReport!$B$3:$BO$99,40,0)</f>
        <v>0</v>
      </c>
      <c r="AA11" s="595">
        <f>VLOOKUP(A11,[4]CFR20152016_BenchMarkDataReport!$B$3:$BO$99,41,0)</f>
        <v>10554.43</v>
      </c>
      <c r="AB11" s="595">
        <f>VLOOKUP(A11,[4]CFR20152016_BenchMarkDataReport!$B$3:$BO$99,42,0)</f>
        <v>8686.18</v>
      </c>
      <c r="AC11" s="595">
        <f>VLOOKUP(A11,[4]CFR20152016_BenchMarkDataReport!$B$3:$BO$99,43,0)</f>
        <v>7468.95</v>
      </c>
      <c r="AD11" s="595">
        <f>VLOOKUP(A11,[4]CFR20152016_BenchMarkDataReport!$B$3:$BO$99,44,0)</f>
        <v>10403.530000000001</v>
      </c>
      <c r="AE11" s="595">
        <f>VLOOKUP(A11,[4]CFR20152016_BenchMarkDataReport!$B$3:$BO$99,45,0)</f>
        <v>0</v>
      </c>
      <c r="AF11" s="595">
        <f>VLOOKUP(A11,[4]CFR20152016_BenchMarkDataReport!$B$3:$BO$99,46,0)</f>
        <v>8581.41</v>
      </c>
      <c r="AG11" s="595">
        <f>VLOOKUP(A11,[4]CFR20152016_BenchMarkDataReport!$B$3:$BO$99,47,0)</f>
        <v>1032.57</v>
      </c>
      <c r="AH11" s="595">
        <f>VLOOKUP(A11,[4]CFR20152016_BenchMarkDataReport!$B$3:$BO$99,48,0)</f>
        <v>15784.74</v>
      </c>
      <c r="AI11" s="595">
        <f>VLOOKUP(A11,[4]CFR20152016_BenchMarkDataReport!$B$3:$BO$99,49,0)</f>
        <v>6843.36</v>
      </c>
      <c r="AJ11" s="595">
        <f>VLOOKUP(A11,[4]CFR20152016_BenchMarkDataReport!$B$3:$BO$99,50,0)</f>
        <v>11689.02</v>
      </c>
      <c r="AK11" s="595">
        <f>VLOOKUP(A11,[4]CFR20152016_BenchMarkDataReport!$B$3:$BO$99,51,0)</f>
        <v>0</v>
      </c>
      <c r="AL11" s="595">
        <f>VLOOKUP(A11,[4]CFR20152016_BenchMarkDataReport!$B$3:$BO$99,52,0)</f>
        <v>5071.22</v>
      </c>
      <c r="AM11" s="595">
        <f>VLOOKUP(A11,[4]CFR20152016_BenchMarkDataReport!$B$3:$BO$99,53,0)</f>
        <v>37085.760000000002</v>
      </c>
      <c r="AN11" s="595">
        <f>VLOOKUP(A11,[4]CFR20152016_BenchMarkDataReport!$B$3:$BO$99,54,0)</f>
        <v>14766.29</v>
      </c>
      <c r="AO11" s="595">
        <f>VLOOKUP(A11,[4]CFR20152016_BenchMarkDataReport!$B$3:$BO$99,55,0)</f>
        <v>0</v>
      </c>
      <c r="AP11" s="595">
        <f>VLOOKUP(A11,[4]CFR20152016_BenchMarkDataReport!$B$3:$BO$99,56,0)</f>
        <v>10969.11</v>
      </c>
      <c r="AQ11" s="595">
        <f>VLOOKUP(A11,[4]CFR20152016_BenchMarkDataReport!$B$3:$BO$99,57,0)</f>
        <v>4976.91</v>
      </c>
      <c r="AR11" s="595">
        <f>VLOOKUP(A11,[4]CFR20152016_BenchMarkDataReport!$B$3:$BO$99,58,0)</f>
        <v>2619.67</v>
      </c>
      <c r="AS11" s="595">
        <f>VLOOKUP(A11,[4]CFR20152016_BenchMarkDataReport!$B$3:$BO$99,59,0)</f>
        <v>53723.57</v>
      </c>
      <c r="AT11" s="595">
        <f>VLOOKUP(A11,[4]CFR20152016_BenchMarkDataReport!$B$3:$BO$99,60,0)</f>
        <v>42346</v>
      </c>
      <c r="AU11" s="595">
        <f>VLOOKUP(A11,[4]CFR20152016_BenchMarkDataReport!$B$3:$BO$99,61,0)</f>
        <v>41978.45</v>
      </c>
      <c r="AV11" s="595">
        <f>VLOOKUP(A11,[4]CFR20152016_BenchMarkDataReport!$B$3:$BO$99,62,0)</f>
        <v>30418.89</v>
      </c>
      <c r="AW11" s="595">
        <f>VLOOKUP(A11,[4]CFR20152016_BenchMarkDataReport!$B$3:$BO$99,63,0)</f>
        <v>0</v>
      </c>
      <c r="AX11" s="595">
        <f>VLOOKUP(A11,[4]CFR20152016_BenchMarkDataReport!$B$3:$BO$99,64,0)</f>
        <v>0</v>
      </c>
      <c r="AY11" s="595">
        <f>VLOOKUP(A11,[4]CFR20152016_BenchMarkDataReport!$B$3:$BO$99,65,0)</f>
        <v>0</v>
      </c>
      <c r="AZ11" s="595">
        <f>VLOOKUP(A11,[4]CFR20152016_BenchMarkDataReport!$B$3:$BO$99,66,0)</f>
        <v>0</v>
      </c>
      <c r="BA11" s="596">
        <f t="shared" si="0"/>
        <v>1239414.6300000004</v>
      </c>
      <c r="BB11" s="595">
        <f t="shared" si="42"/>
        <v>1153115.6299999999</v>
      </c>
      <c r="BC11" s="600">
        <f t="shared" si="43"/>
        <v>86299.000000000466</v>
      </c>
      <c r="BD11" s="595">
        <f>VLOOKUP(A11,[4]CFR20152016_BenchMarkDataReport!$B$3:$BO$99,15,0)</f>
        <v>66479</v>
      </c>
      <c r="BE11" s="600">
        <f t="shared" si="1"/>
        <v>152778.00000000047</v>
      </c>
      <c r="BF11" s="76">
        <f>VLOOKUP(A11,'OCT 15 CENSUS'!$B$9:$U$132,20,0)</f>
        <v>211</v>
      </c>
      <c r="BG11" s="73">
        <f>VLOOKUP(A11,'[2]BUDGET SHARE inc ADJUSTMENTS'!$D$4:$M$139,10,0)</f>
        <v>1176465.4910000416</v>
      </c>
      <c r="BH11" s="76">
        <f>VLOOKUP(A11,'12-13 Pupil Data'!A:CI,81,0)</f>
        <v>1105</v>
      </c>
      <c r="BI11" t="s">
        <v>210</v>
      </c>
      <c r="BJ11" s="44">
        <f t="shared" si="44"/>
        <v>0.79683261444154463</v>
      </c>
      <c r="BK11" s="45">
        <f t="shared" si="45"/>
        <v>4680.5971563981038</v>
      </c>
      <c r="BL11" s="44">
        <f t="shared" si="46"/>
        <v>0</v>
      </c>
      <c r="BM11" s="45">
        <f t="shared" si="47"/>
        <v>0</v>
      </c>
      <c r="BN11" s="44">
        <f t="shared" si="48"/>
        <v>3.8058426016804391E-2</v>
      </c>
      <c r="BO11" s="45">
        <f t="shared" si="49"/>
        <v>223.55530805687204</v>
      </c>
      <c r="BP11" s="44">
        <f t="shared" si="50"/>
        <v>0</v>
      </c>
      <c r="BQ11" s="45">
        <f t="shared" si="51"/>
        <v>0</v>
      </c>
      <c r="BR11" s="44">
        <f t="shared" si="52"/>
        <v>9.7971241472274678E-2</v>
      </c>
      <c r="BS11" s="45">
        <f t="shared" si="53"/>
        <v>575.48336492890996</v>
      </c>
      <c r="BT11" s="44">
        <f t="shared" si="54"/>
        <v>8.0683249640195042E-4</v>
      </c>
      <c r="BU11" s="45">
        <f t="shared" si="55"/>
        <v>4.7393364928909953</v>
      </c>
      <c r="BV11" s="44">
        <f t="shared" si="56"/>
        <v>7.3825173420778462E-4</v>
      </c>
      <c r="BW11" s="45">
        <f t="shared" si="57"/>
        <v>4.3364928909952605</v>
      </c>
      <c r="BX11" s="44">
        <f t="shared" si="58"/>
        <v>5.293305275894636E-4</v>
      </c>
      <c r="BY11" s="45">
        <f t="shared" si="59"/>
        <v>3.109289099526066</v>
      </c>
      <c r="BZ11" s="46">
        <f t="shared" si="60"/>
        <v>8.8410123091737236E-3</v>
      </c>
      <c r="CA11" s="47">
        <f t="shared" si="61"/>
        <v>51.9321327014218</v>
      </c>
      <c r="CB11" s="44">
        <f t="shared" si="62"/>
        <v>8.1611994526803334E-3</v>
      </c>
      <c r="CC11" s="48">
        <f t="shared" si="63"/>
        <v>47.938909952606636</v>
      </c>
      <c r="CD11" s="46">
        <f t="shared" si="64"/>
        <v>0.48232231573376416</v>
      </c>
      <c r="CE11" s="49">
        <f t="shared" si="65"/>
        <v>0.45782544942203868</v>
      </c>
      <c r="CF11" s="49">
        <f t="shared" si="66"/>
        <v>0.49208903707254403</v>
      </c>
      <c r="CG11" s="47">
        <f t="shared" si="67"/>
        <v>2689.2680568720375</v>
      </c>
      <c r="CH11" s="44">
        <f t="shared" si="2"/>
        <v>0.20630226883551778</v>
      </c>
      <c r="CI11" s="50">
        <f t="shared" si="3"/>
        <v>0.19582429812047639</v>
      </c>
      <c r="CJ11" s="50">
        <f t="shared" si="4"/>
        <v>0.21047975908539202</v>
      </c>
      <c r="CK11" s="45">
        <f t="shared" si="5"/>
        <v>1150.2725118483413</v>
      </c>
      <c r="CL11" s="46">
        <f t="shared" si="6"/>
        <v>2.4375606610971122E-2</v>
      </c>
      <c r="CM11" s="49">
        <f t="shared" si="68"/>
        <v>2.3137583909268518E-2</v>
      </c>
      <c r="CN11" s="49">
        <f t="shared" si="69"/>
        <v>2.486919720271245E-2</v>
      </c>
      <c r="CO11" s="47">
        <f t="shared" si="70"/>
        <v>135.91023696682464</v>
      </c>
      <c r="CP11" s="44">
        <f t="shared" si="7"/>
        <v>2.6895349028133016E-2</v>
      </c>
      <c r="CQ11" s="50">
        <f t="shared" si="8"/>
        <v>2.5529350093277496E-2</v>
      </c>
      <c r="CR11" s="50">
        <f t="shared" si="71"/>
        <v>2.7439962807546025E-2</v>
      </c>
      <c r="CS11" s="45">
        <f t="shared" si="9"/>
        <v>149.9594786729858</v>
      </c>
      <c r="CT11" s="46">
        <f t="shared" si="10"/>
        <v>0.71287258862739589</v>
      </c>
      <c r="CU11" s="49">
        <f t="shared" si="11"/>
        <v>0.67666620975742375</v>
      </c>
      <c r="CV11" s="49">
        <f t="shared" si="12"/>
        <v>0.7273078069369332</v>
      </c>
      <c r="CW11" s="47">
        <f t="shared" si="13"/>
        <v>3974.7393364928912</v>
      </c>
      <c r="CX11" s="44">
        <f t="shared" si="14"/>
        <v>7.2942301033457994E-3</v>
      </c>
      <c r="CY11" s="50">
        <f t="shared" si="15"/>
        <v>7.4419336419887057E-3</v>
      </c>
      <c r="CZ11" s="48">
        <f t="shared" si="16"/>
        <v>7.7659819004524886</v>
      </c>
      <c r="DA11" s="45">
        <f t="shared" si="17"/>
        <v>40.670189573459716</v>
      </c>
      <c r="DB11" s="51">
        <f t="shared" si="18"/>
        <v>5.9346693618228035E-3</v>
      </c>
      <c r="DC11" s="52">
        <f t="shared" si="19"/>
        <v>32.432985781990517</v>
      </c>
      <c r="DD11" s="44">
        <f t="shared" si="20"/>
        <v>9.9357100479537889E-3</v>
      </c>
      <c r="DE11" s="50">
        <f t="shared" si="21"/>
        <v>1.0136901882077517E-2</v>
      </c>
      <c r="DF11" s="48">
        <f t="shared" si="22"/>
        <v>10.578298642533937</v>
      </c>
      <c r="DG11" s="45">
        <f t="shared" si="23"/>
        <v>55.398199052132703</v>
      </c>
      <c r="DH11" s="46">
        <f t="shared" si="24"/>
        <v>4.3105556761288983E-3</v>
      </c>
      <c r="DI11" s="49">
        <f t="shared" si="25"/>
        <v>4.3978416978009399E-3</v>
      </c>
      <c r="DJ11" s="47">
        <f t="shared" si="26"/>
        <v>4.5893393665158371</v>
      </c>
      <c r="DK11" s="44">
        <f t="shared" si="27"/>
        <v>3.152303257826599E-2</v>
      </c>
      <c r="DL11" s="50">
        <f t="shared" si="28"/>
        <v>2.9921996321763598E-2</v>
      </c>
      <c r="DM11" s="50">
        <f t="shared" si="29"/>
        <v>3.2161354017896715E-2</v>
      </c>
      <c r="DN11" s="45">
        <f t="shared" si="30"/>
        <v>175.76189573459718</v>
      </c>
      <c r="DO11" s="46">
        <f t="shared" si="31"/>
        <v>9.3237838966919711E-3</v>
      </c>
      <c r="DP11" s="49">
        <f t="shared" si="32"/>
        <v>9.5125846139124844E-3</v>
      </c>
      <c r="DQ11" s="47">
        <f t="shared" si="33"/>
        <v>51.986303317535551</v>
      </c>
      <c r="DR11" s="53">
        <f t="shared" si="34"/>
        <v>4.6589924377315052E-2</v>
      </c>
      <c r="DS11" s="45">
        <f t="shared" si="35"/>
        <v>254.61407582938389</v>
      </c>
      <c r="DT11" s="46">
        <f t="shared" si="72"/>
        <v>7.5650327766389926E-5</v>
      </c>
      <c r="DU11" s="49">
        <f t="shared" si="73"/>
        <v>7.1808092179773594E-5</v>
      </c>
      <c r="DV11" s="49">
        <f t="shared" si="74"/>
        <v>7.7182198978605478E-5</v>
      </c>
      <c r="DW11" s="47">
        <f t="shared" si="75"/>
        <v>0.4218009478672986</v>
      </c>
      <c r="DY11" s="54">
        <f>VLOOKUP(A11,'[3]Barnet Schools'!$E$8:$V$130,17,0)</f>
        <v>89</v>
      </c>
    </row>
    <row r="12" spans="1:256">
      <c r="A12" s="77">
        <v>3500</v>
      </c>
      <c r="B12" s="78">
        <v>10043</v>
      </c>
      <c r="C12" s="589" t="s">
        <v>35</v>
      </c>
      <c r="D12" s="595">
        <f>VLOOKUP(A12,[4]CFR20152016_BenchMarkDataReport!$B$3:$BO$99,18,0)</f>
        <v>890219</v>
      </c>
      <c r="E12" s="595">
        <f>VLOOKUP(A12,[4]CFR20152016_BenchMarkDataReport!$B$3:$BO$99,19,0)</f>
        <v>0</v>
      </c>
      <c r="F12" s="595">
        <f>VLOOKUP(A12,[4]CFR20152016_BenchMarkDataReport!$B$3:$BO$99,20,0)</f>
        <v>12024</v>
      </c>
      <c r="G12" s="595">
        <f>VLOOKUP(A12,[4]CFR20152016_BenchMarkDataReport!$B$3:$BO$99,21,0)</f>
        <v>0</v>
      </c>
      <c r="H12" s="595">
        <f>VLOOKUP(A12,[4]CFR20152016_BenchMarkDataReport!$B$3:$BO$99,22,0)</f>
        <v>22440.02</v>
      </c>
      <c r="I12" s="595">
        <f>VLOOKUP(A12,[4]CFR20152016_BenchMarkDataReport!$B$3:$BO$99,23,0)</f>
        <v>750</v>
      </c>
      <c r="J12" s="595">
        <f>VLOOKUP(A12,[4]CFR20152016_BenchMarkDataReport!$B$3:$BO$99,24,0)</f>
        <v>900</v>
      </c>
      <c r="K12" s="595">
        <f>VLOOKUP(A12,[4]CFR20152016_BenchMarkDataReport!$B$3:$BO$99,25,0)</f>
        <v>4065.19</v>
      </c>
      <c r="L12" s="595">
        <f>VLOOKUP(A12,[4]CFR20152016_BenchMarkDataReport!$B$3:$BO$99,26,0)</f>
        <v>0</v>
      </c>
      <c r="M12" s="595">
        <f>VLOOKUP(A12,[4]CFR20152016_BenchMarkDataReport!$B$3:$BO$99,27,0)</f>
        <v>8000</v>
      </c>
      <c r="N12" s="595">
        <f>VLOOKUP(A12,[4]CFR20152016_BenchMarkDataReport!$B$3:$BO$99,28,0)</f>
        <v>11518.4</v>
      </c>
      <c r="O12" s="595">
        <f>VLOOKUP(A12,[4]CFR20152016_BenchMarkDataReport!$B$3:$BO$99,29,0)</f>
        <v>0</v>
      </c>
      <c r="P12" s="595">
        <f>VLOOKUP(A12,[4]CFR20152016_BenchMarkDataReport!$B$3:$BO$99,30,0)</f>
        <v>0</v>
      </c>
      <c r="Q12" s="595">
        <f>VLOOKUP(A12,[4]CFR20152016_BenchMarkDataReport!$B$3:$BO$99,31,0)</f>
        <v>0</v>
      </c>
      <c r="R12" s="595">
        <f>VLOOKUP(A12,[4]CFR20152016_BenchMarkDataReport!$B$3:$BO$99,32,0)</f>
        <v>0</v>
      </c>
      <c r="S12" s="595">
        <f>VLOOKUP(A12,[4]CFR20152016_BenchMarkDataReport!$B$3:$BO$99,33,0)</f>
        <v>0</v>
      </c>
      <c r="T12" s="595">
        <f>VLOOKUP(A12,[4]CFR20152016_BenchMarkDataReport!$B$3:$BO$99,34,0)</f>
        <v>75787.75</v>
      </c>
      <c r="U12" s="595">
        <f>VLOOKUP(A12,[4]CFR20152016_BenchMarkDataReport!$B$3:$BO$99,35,0)</f>
        <v>604626.48</v>
      </c>
      <c r="V12" s="595">
        <f>VLOOKUP(A12,[4]CFR20152016_BenchMarkDataReport!$B$3:$BO$99,36,0)</f>
        <v>0</v>
      </c>
      <c r="W12" s="595">
        <f>VLOOKUP(A12,[4]CFR20152016_BenchMarkDataReport!$B$3:$BO$99,37,0)</f>
        <v>156949.81</v>
      </c>
      <c r="X12" s="595">
        <f>VLOOKUP(A12,[4]CFR20152016_BenchMarkDataReport!$B$3:$BO$99,38,0)</f>
        <v>10573.23</v>
      </c>
      <c r="Y12" s="595">
        <f>VLOOKUP(A12,[4]CFR20152016_BenchMarkDataReport!$B$3:$BO$99,39,0)</f>
        <v>35432.86</v>
      </c>
      <c r="Z12" s="595">
        <f>VLOOKUP(A12,[4]CFR20152016_BenchMarkDataReport!$B$3:$BO$99,40,0)</f>
        <v>0</v>
      </c>
      <c r="AA12" s="595">
        <f>VLOOKUP(A12,[4]CFR20152016_BenchMarkDataReport!$B$3:$BO$99,41,0)</f>
        <v>404.61</v>
      </c>
      <c r="AB12" s="595">
        <f>VLOOKUP(A12,[4]CFR20152016_BenchMarkDataReport!$B$3:$BO$99,42,0)</f>
        <v>2655.67</v>
      </c>
      <c r="AC12" s="595">
        <f>VLOOKUP(A12,[4]CFR20152016_BenchMarkDataReport!$B$3:$BO$99,43,0)</f>
        <v>3134.21</v>
      </c>
      <c r="AD12" s="595">
        <f>VLOOKUP(A12,[4]CFR20152016_BenchMarkDataReport!$B$3:$BO$99,44,0)</f>
        <v>9059.39</v>
      </c>
      <c r="AE12" s="595">
        <f>VLOOKUP(A12,[4]CFR20152016_BenchMarkDataReport!$B$3:$BO$99,45,0)</f>
        <v>3090.37</v>
      </c>
      <c r="AF12" s="595">
        <f>VLOOKUP(A12,[4]CFR20152016_BenchMarkDataReport!$B$3:$BO$99,46,0)</f>
        <v>17273.3</v>
      </c>
      <c r="AG12" s="595">
        <f>VLOOKUP(A12,[4]CFR20152016_BenchMarkDataReport!$B$3:$BO$99,47,0)</f>
        <v>160.27000000000001</v>
      </c>
      <c r="AH12" s="595">
        <f>VLOOKUP(A12,[4]CFR20152016_BenchMarkDataReport!$B$3:$BO$99,48,0)</f>
        <v>10461.44</v>
      </c>
      <c r="AI12" s="595">
        <f>VLOOKUP(A12,[4]CFR20152016_BenchMarkDataReport!$B$3:$BO$99,49,0)</f>
        <v>1439.98</v>
      </c>
      <c r="AJ12" s="595">
        <f>VLOOKUP(A12,[4]CFR20152016_BenchMarkDataReport!$B$3:$BO$99,50,0)</f>
        <v>9024.0499999999993</v>
      </c>
      <c r="AK12" s="595">
        <f>VLOOKUP(A12,[4]CFR20152016_BenchMarkDataReport!$B$3:$BO$99,51,0)</f>
        <v>0</v>
      </c>
      <c r="AL12" s="595">
        <f>VLOOKUP(A12,[4]CFR20152016_BenchMarkDataReport!$B$3:$BO$99,52,0)</f>
        <v>4480.84</v>
      </c>
      <c r="AM12" s="595">
        <f>VLOOKUP(A12,[4]CFR20152016_BenchMarkDataReport!$B$3:$BO$99,53,0)</f>
        <v>13624.4</v>
      </c>
      <c r="AN12" s="595">
        <f>VLOOKUP(A12,[4]CFR20152016_BenchMarkDataReport!$B$3:$BO$99,54,0)</f>
        <v>15907.75</v>
      </c>
      <c r="AO12" s="595">
        <f>VLOOKUP(A12,[4]CFR20152016_BenchMarkDataReport!$B$3:$BO$99,55,0)</f>
        <v>0</v>
      </c>
      <c r="AP12" s="595">
        <f>VLOOKUP(A12,[4]CFR20152016_BenchMarkDataReport!$B$3:$BO$99,56,0)</f>
        <v>5083.42</v>
      </c>
      <c r="AQ12" s="595">
        <f>VLOOKUP(A12,[4]CFR20152016_BenchMarkDataReport!$B$3:$BO$99,57,0)</f>
        <v>3375.92</v>
      </c>
      <c r="AR12" s="595">
        <f>VLOOKUP(A12,[4]CFR20152016_BenchMarkDataReport!$B$3:$BO$99,58,0)</f>
        <v>3798.86</v>
      </c>
      <c r="AS12" s="595">
        <f>VLOOKUP(A12,[4]CFR20152016_BenchMarkDataReport!$B$3:$BO$99,59,0)</f>
        <v>67383.05</v>
      </c>
      <c r="AT12" s="595">
        <f>VLOOKUP(A12,[4]CFR20152016_BenchMarkDataReport!$B$3:$BO$99,60,0)</f>
        <v>0</v>
      </c>
      <c r="AU12" s="595">
        <f>VLOOKUP(A12,[4]CFR20152016_BenchMarkDataReport!$B$3:$BO$99,61,0)</f>
        <v>11972.65</v>
      </c>
      <c r="AV12" s="595">
        <f>VLOOKUP(A12,[4]CFR20152016_BenchMarkDataReport!$B$3:$BO$99,62,0)</f>
        <v>23710.799999999999</v>
      </c>
      <c r="AW12" s="595">
        <f>VLOOKUP(A12,[4]CFR20152016_BenchMarkDataReport!$B$3:$BO$99,63,0)</f>
        <v>0</v>
      </c>
      <c r="AX12" s="595">
        <f>VLOOKUP(A12,[4]CFR20152016_BenchMarkDataReport!$B$3:$BO$99,64,0)</f>
        <v>0</v>
      </c>
      <c r="AY12" s="595">
        <f>VLOOKUP(A12,[4]CFR20152016_BenchMarkDataReport!$B$3:$BO$99,65,0)</f>
        <v>0</v>
      </c>
      <c r="AZ12" s="595">
        <f>VLOOKUP(A12,[4]CFR20152016_BenchMarkDataReport!$B$3:$BO$99,66,0)</f>
        <v>0</v>
      </c>
      <c r="BA12" s="596">
        <f t="shared" si="0"/>
        <v>1025704.36</v>
      </c>
      <c r="BB12" s="595">
        <f t="shared" si="42"/>
        <v>1013623.3600000002</v>
      </c>
      <c r="BC12" s="600">
        <f t="shared" si="43"/>
        <v>12080.999999999767</v>
      </c>
      <c r="BD12" s="595">
        <f>VLOOKUP(A12,[4]CFR20152016_BenchMarkDataReport!$B$3:$BO$99,15,0)</f>
        <v>113933</v>
      </c>
      <c r="BE12" s="600">
        <f t="shared" si="1"/>
        <v>126013.99999999977</v>
      </c>
      <c r="BF12" s="76">
        <f>VLOOKUP(A12,'OCT 15 CENSUS'!$B$9:$U$132,20,0)</f>
        <v>215</v>
      </c>
      <c r="BG12" s="73">
        <f>VLOOKUP(A12,'[2]BUDGET SHARE inc ADJUSTMENTS'!$D$4:$M$139,10,0)</f>
        <v>999443.9373600079</v>
      </c>
      <c r="BH12" s="76">
        <f>VLOOKUP(A12,'12-13 Pupil Data'!A:CI,81,0)</f>
        <v>1132</v>
      </c>
      <c r="BI12" t="s">
        <v>210</v>
      </c>
      <c r="BJ12" s="44">
        <f t="shared" si="44"/>
        <v>0.86790993069386968</v>
      </c>
      <c r="BK12" s="45">
        <f t="shared" si="45"/>
        <v>4140.5534883720929</v>
      </c>
      <c r="BL12" s="44">
        <f t="shared" si="46"/>
        <v>0</v>
      </c>
      <c r="BM12" s="45">
        <f t="shared" si="47"/>
        <v>0</v>
      </c>
      <c r="BN12" s="44">
        <f t="shared" si="48"/>
        <v>1.1722676113027344E-2</v>
      </c>
      <c r="BO12" s="45">
        <f t="shared" si="49"/>
        <v>55.925581395348836</v>
      </c>
      <c r="BP12" s="44">
        <f t="shared" si="50"/>
        <v>0</v>
      </c>
      <c r="BQ12" s="45">
        <f t="shared" si="51"/>
        <v>0</v>
      </c>
      <c r="BR12" s="44">
        <f t="shared" si="52"/>
        <v>2.1877668532090475E-2</v>
      </c>
      <c r="BS12" s="45">
        <f t="shared" si="53"/>
        <v>104.37218604651163</v>
      </c>
      <c r="BT12" s="44">
        <f t="shared" si="54"/>
        <v>7.3120484736947011E-4</v>
      </c>
      <c r="BU12" s="45">
        <f t="shared" si="55"/>
        <v>3.4883720930232558</v>
      </c>
      <c r="BV12" s="44">
        <f t="shared" si="56"/>
        <v>8.7744581684336413E-4</v>
      </c>
      <c r="BW12" s="45">
        <f t="shared" si="57"/>
        <v>4.1860465116279073</v>
      </c>
      <c r="BX12" s="44">
        <f t="shared" si="58"/>
        <v>3.9633155113038615E-3</v>
      </c>
      <c r="BY12" s="45">
        <f t="shared" si="59"/>
        <v>18.907860465116279</v>
      </c>
      <c r="BZ12" s="46">
        <f t="shared" si="60"/>
        <v>0</v>
      </c>
      <c r="CA12" s="47">
        <f t="shared" si="61"/>
        <v>0</v>
      </c>
      <c r="CB12" s="44">
        <f t="shared" si="62"/>
        <v>0</v>
      </c>
      <c r="CC12" s="48">
        <f t="shared" si="63"/>
        <v>0</v>
      </c>
      <c r="CD12" s="46">
        <f t="shared" si="64"/>
        <v>0.60496287725462339</v>
      </c>
      <c r="CE12" s="49">
        <f t="shared" si="65"/>
        <v>0.5894744173652533</v>
      </c>
      <c r="CF12" s="49">
        <f t="shared" si="66"/>
        <v>0.59650014380094774</v>
      </c>
      <c r="CG12" s="47">
        <f t="shared" si="67"/>
        <v>2812.2161860465117</v>
      </c>
      <c r="CH12" s="44">
        <f t="shared" si="2"/>
        <v>0.15703713248246498</v>
      </c>
      <c r="CI12" s="50">
        <f t="shared" si="3"/>
        <v>0.15301661582095644</v>
      </c>
      <c r="CJ12" s="50">
        <f t="shared" si="4"/>
        <v>0.15484036397898324</v>
      </c>
      <c r="CK12" s="45">
        <f t="shared" si="5"/>
        <v>729.99911627906977</v>
      </c>
      <c r="CL12" s="46">
        <f t="shared" si="6"/>
        <v>1.0579112649308548E-2</v>
      </c>
      <c r="CM12" s="49">
        <f t="shared" si="68"/>
        <v>1.0308262704469736E-2</v>
      </c>
      <c r="CN12" s="49">
        <f t="shared" si="69"/>
        <v>1.0431123055411821E-2</v>
      </c>
      <c r="CO12" s="47">
        <f t="shared" si="70"/>
        <v>49.177813953488368</v>
      </c>
      <c r="CP12" s="44">
        <f t="shared" si="7"/>
        <v>3.5452573851810554E-2</v>
      </c>
      <c r="CQ12" s="50">
        <f t="shared" si="8"/>
        <v>3.4544905317551736E-2</v>
      </c>
      <c r="CR12" s="50">
        <f t="shared" si="71"/>
        <v>3.4956633201507901E-2</v>
      </c>
      <c r="CS12" s="45">
        <f t="shared" si="9"/>
        <v>164.804</v>
      </c>
      <c r="CT12" s="46">
        <f t="shared" si="10"/>
        <v>0.80843653135188953</v>
      </c>
      <c r="CU12" s="49">
        <f t="shared" si="11"/>
        <v>0.78773867159929012</v>
      </c>
      <c r="CV12" s="49">
        <f t="shared" si="12"/>
        <v>0.79712743597385105</v>
      </c>
      <c r="CW12" s="47">
        <f t="shared" si="13"/>
        <v>3758.0790232558138</v>
      </c>
      <c r="CX12" s="44">
        <f t="shared" si="14"/>
        <v>1.7282910380773078E-2</v>
      </c>
      <c r="CY12" s="50">
        <f t="shared" si="15"/>
        <v>1.7041142382511781E-2</v>
      </c>
      <c r="CZ12" s="48">
        <f t="shared" si="16"/>
        <v>15.259098939929329</v>
      </c>
      <c r="DA12" s="45">
        <f t="shared" si="17"/>
        <v>80.340930232558136</v>
      </c>
      <c r="DB12" s="51">
        <f t="shared" si="18"/>
        <v>1.420626296536812E-3</v>
      </c>
      <c r="DC12" s="52">
        <f t="shared" si="19"/>
        <v>6.6975813953488377</v>
      </c>
      <c r="DD12" s="44">
        <f t="shared" si="20"/>
        <v>9.0290707289061908E-3</v>
      </c>
      <c r="DE12" s="50">
        <f t="shared" si="21"/>
        <v>8.9027644351053602E-3</v>
      </c>
      <c r="DF12" s="48">
        <f t="shared" si="22"/>
        <v>7.9717756183745578</v>
      </c>
      <c r="DG12" s="45">
        <f t="shared" si="23"/>
        <v>41.972325581395346</v>
      </c>
      <c r="DH12" s="46">
        <f t="shared" si="24"/>
        <v>4.4833330139917244E-3</v>
      </c>
      <c r="DI12" s="49">
        <f t="shared" si="25"/>
        <v>4.4206163520146176E-3</v>
      </c>
      <c r="DJ12" s="47">
        <f t="shared" si="26"/>
        <v>3.9583392226148413</v>
      </c>
      <c r="DK12" s="44">
        <f t="shared" si="27"/>
        <v>1.3631980234917749E-2</v>
      </c>
      <c r="DL12" s="50">
        <f t="shared" si="28"/>
        <v>1.3282969763334145E-2</v>
      </c>
      <c r="DM12" s="50">
        <f t="shared" si="29"/>
        <v>1.344128454182429E-2</v>
      </c>
      <c r="DN12" s="45">
        <f t="shared" si="30"/>
        <v>63.369302325581394</v>
      </c>
      <c r="DO12" s="46">
        <f t="shared" si="31"/>
        <v>5.0862482726421404E-3</v>
      </c>
      <c r="DP12" s="49">
        <f t="shared" si="32"/>
        <v>5.01509752103582E-3</v>
      </c>
      <c r="DQ12" s="47">
        <f t="shared" si="33"/>
        <v>23.643813953488372</v>
      </c>
      <c r="DR12" s="53">
        <f t="shared" si="34"/>
        <v>6.6477404388154582E-2</v>
      </c>
      <c r="DS12" s="45">
        <f t="shared" si="35"/>
        <v>313.40953488372094</v>
      </c>
      <c r="DT12" s="46">
        <f t="shared" si="72"/>
        <v>1.7009458324300647E-5</v>
      </c>
      <c r="DU12" s="49">
        <f t="shared" si="73"/>
        <v>1.6573976540374655E-5</v>
      </c>
      <c r="DV12" s="49">
        <f t="shared" si="74"/>
        <v>1.6771515605165211E-5</v>
      </c>
      <c r="DW12" s="47">
        <f t="shared" si="75"/>
        <v>7.9069767441860464E-2</v>
      </c>
      <c r="DY12" s="54">
        <f>VLOOKUP(A12,'[3]Barnet Schools'!$E$8:$V$130,17,0)</f>
        <v>17</v>
      </c>
    </row>
    <row r="13" spans="1:256">
      <c r="A13" s="77">
        <v>3514</v>
      </c>
      <c r="B13" s="78">
        <v>10117</v>
      </c>
      <c r="C13" s="589" t="s">
        <v>36</v>
      </c>
      <c r="D13" s="595">
        <f>VLOOKUP(A13,[4]CFR20152016_BenchMarkDataReport!$B$3:$BO$99,18,0)</f>
        <v>965820</v>
      </c>
      <c r="E13" s="595">
        <f>VLOOKUP(A13,[4]CFR20152016_BenchMarkDataReport!$B$3:$BO$99,19,0)</f>
        <v>0</v>
      </c>
      <c r="F13" s="595">
        <f>VLOOKUP(A13,[4]CFR20152016_BenchMarkDataReport!$B$3:$BO$99,20,0)</f>
        <v>43056</v>
      </c>
      <c r="G13" s="595">
        <f>VLOOKUP(A13,[4]CFR20152016_BenchMarkDataReport!$B$3:$BO$99,21,0)</f>
        <v>0</v>
      </c>
      <c r="H13" s="595">
        <f>VLOOKUP(A13,[4]CFR20152016_BenchMarkDataReport!$B$3:$BO$99,22,0)</f>
        <v>72476.009999999995</v>
      </c>
      <c r="I13" s="595">
        <f>VLOOKUP(A13,[4]CFR20152016_BenchMarkDataReport!$B$3:$BO$99,23,0)</f>
        <v>11391.91</v>
      </c>
      <c r="J13" s="595">
        <f>VLOOKUP(A13,[4]CFR20152016_BenchMarkDataReport!$B$3:$BO$99,24,0)</f>
        <v>722.15</v>
      </c>
      <c r="K13" s="595">
        <f>VLOOKUP(A13,[4]CFR20152016_BenchMarkDataReport!$B$3:$BO$99,25,0)</f>
        <v>6628.12</v>
      </c>
      <c r="L13" s="595">
        <f>VLOOKUP(A13,[4]CFR20152016_BenchMarkDataReport!$B$3:$BO$99,26,0)</f>
        <v>43186.64</v>
      </c>
      <c r="M13" s="595">
        <f>VLOOKUP(A13,[4]CFR20152016_BenchMarkDataReport!$B$3:$BO$99,27,0)</f>
        <v>8037</v>
      </c>
      <c r="N13" s="595">
        <f>VLOOKUP(A13,[4]CFR20152016_BenchMarkDataReport!$B$3:$BO$99,28,0)</f>
        <v>0</v>
      </c>
      <c r="O13" s="595">
        <f>VLOOKUP(A13,[4]CFR20152016_BenchMarkDataReport!$B$3:$BO$99,29,0)</f>
        <v>15859.42</v>
      </c>
      <c r="P13" s="595">
        <f>VLOOKUP(A13,[4]CFR20152016_BenchMarkDataReport!$B$3:$BO$99,30,0)</f>
        <v>790.15</v>
      </c>
      <c r="Q13" s="595">
        <f>VLOOKUP(A13,[4]CFR20152016_BenchMarkDataReport!$B$3:$BO$99,31,0)</f>
        <v>0</v>
      </c>
      <c r="R13" s="595">
        <f>VLOOKUP(A13,[4]CFR20152016_BenchMarkDataReport!$B$3:$BO$99,32,0)</f>
        <v>0</v>
      </c>
      <c r="S13" s="595">
        <f>VLOOKUP(A13,[4]CFR20152016_BenchMarkDataReport!$B$3:$BO$99,33,0)</f>
        <v>0</v>
      </c>
      <c r="T13" s="595">
        <f>VLOOKUP(A13,[4]CFR20152016_BenchMarkDataReport!$B$3:$BO$99,34,0)</f>
        <v>9124.75</v>
      </c>
      <c r="U13" s="595">
        <f>VLOOKUP(A13,[4]CFR20152016_BenchMarkDataReport!$B$3:$BO$99,35,0)</f>
        <v>533498.93999999994</v>
      </c>
      <c r="V13" s="595">
        <f>VLOOKUP(A13,[4]CFR20152016_BenchMarkDataReport!$B$3:$BO$99,36,0)</f>
        <v>40703.25</v>
      </c>
      <c r="W13" s="595">
        <f>VLOOKUP(A13,[4]CFR20152016_BenchMarkDataReport!$B$3:$BO$99,37,0)</f>
        <v>133074.14000000001</v>
      </c>
      <c r="X13" s="595">
        <f>VLOOKUP(A13,[4]CFR20152016_BenchMarkDataReport!$B$3:$BO$99,38,0)</f>
        <v>40853.31</v>
      </c>
      <c r="Y13" s="595">
        <f>VLOOKUP(A13,[4]CFR20152016_BenchMarkDataReport!$B$3:$BO$99,39,0)</f>
        <v>23689.32</v>
      </c>
      <c r="Z13" s="595">
        <f>VLOOKUP(A13,[4]CFR20152016_BenchMarkDataReport!$B$3:$BO$99,40,0)</f>
        <v>0</v>
      </c>
      <c r="AA13" s="595">
        <f>VLOOKUP(A13,[4]CFR20152016_BenchMarkDataReport!$B$3:$BO$99,41,0)</f>
        <v>2705.04</v>
      </c>
      <c r="AB13" s="595">
        <f>VLOOKUP(A13,[4]CFR20152016_BenchMarkDataReport!$B$3:$BO$99,42,0)</f>
        <v>9500.07</v>
      </c>
      <c r="AC13" s="595">
        <f>VLOOKUP(A13,[4]CFR20152016_BenchMarkDataReport!$B$3:$BO$99,43,0)</f>
        <v>19376.990000000002</v>
      </c>
      <c r="AD13" s="595">
        <f>VLOOKUP(A13,[4]CFR20152016_BenchMarkDataReport!$B$3:$BO$99,44,0)</f>
        <v>9275.5499999999993</v>
      </c>
      <c r="AE13" s="595">
        <f>VLOOKUP(A13,[4]CFR20152016_BenchMarkDataReport!$B$3:$BO$99,45,0)</f>
        <v>0</v>
      </c>
      <c r="AF13" s="595">
        <f>VLOOKUP(A13,[4]CFR20152016_BenchMarkDataReport!$B$3:$BO$99,46,0)</f>
        <v>10716.47</v>
      </c>
      <c r="AG13" s="595">
        <f>VLOOKUP(A13,[4]CFR20152016_BenchMarkDataReport!$B$3:$BO$99,47,0)</f>
        <v>2653.83</v>
      </c>
      <c r="AH13" s="595">
        <f>VLOOKUP(A13,[4]CFR20152016_BenchMarkDataReport!$B$3:$BO$99,48,0)</f>
        <v>1334.75</v>
      </c>
      <c r="AI13" s="595">
        <f>VLOOKUP(A13,[4]CFR20152016_BenchMarkDataReport!$B$3:$BO$99,49,0)</f>
        <v>2494.9899999999998</v>
      </c>
      <c r="AJ13" s="595">
        <f>VLOOKUP(A13,[4]CFR20152016_BenchMarkDataReport!$B$3:$BO$99,50,0)</f>
        <v>9891.15</v>
      </c>
      <c r="AK13" s="595">
        <f>VLOOKUP(A13,[4]CFR20152016_BenchMarkDataReport!$B$3:$BO$99,51,0)</f>
        <v>0</v>
      </c>
      <c r="AL13" s="595">
        <f>VLOOKUP(A13,[4]CFR20152016_BenchMarkDataReport!$B$3:$BO$99,52,0)</f>
        <v>5732.07</v>
      </c>
      <c r="AM13" s="595">
        <f>VLOOKUP(A13,[4]CFR20152016_BenchMarkDataReport!$B$3:$BO$99,53,0)</f>
        <v>40870.36</v>
      </c>
      <c r="AN13" s="595">
        <f>VLOOKUP(A13,[4]CFR20152016_BenchMarkDataReport!$B$3:$BO$99,54,0)</f>
        <v>30399.64</v>
      </c>
      <c r="AO13" s="595">
        <f>VLOOKUP(A13,[4]CFR20152016_BenchMarkDataReport!$B$3:$BO$99,55,0)</f>
        <v>0</v>
      </c>
      <c r="AP13" s="595">
        <f>VLOOKUP(A13,[4]CFR20152016_BenchMarkDataReport!$B$3:$BO$99,56,0)</f>
        <v>5232.49</v>
      </c>
      <c r="AQ13" s="595">
        <f>VLOOKUP(A13,[4]CFR20152016_BenchMarkDataReport!$B$3:$BO$99,57,0)</f>
        <v>6805.27</v>
      </c>
      <c r="AR13" s="595">
        <f>VLOOKUP(A13,[4]CFR20152016_BenchMarkDataReport!$B$3:$BO$99,58,0)</f>
        <v>15518.03</v>
      </c>
      <c r="AS13" s="595">
        <f>VLOOKUP(A13,[4]CFR20152016_BenchMarkDataReport!$B$3:$BO$99,59,0)</f>
        <v>48291.7</v>
      </c>
      <c r="AT13" s="595">
        <f>VLOOKUP(A13,[4]CFR20152016_BenchMarkDataReport!$B$3:$BO$99,60,0)</f>
        <v>124057.1</v>
      </c>
      <c r="AU13" s="595">
        <f>VLOOKUP(A13,[4]CFR20152016_BenchMarkDataReport!$B$3:$BO$99,61,0)</f>
        <v>60605.5</v>
      </c>
      <c r="AV13" s="595">
        <f>VLOOKUP(A13,[4]CFR20152016_BenchMarkDataReport!$B$3:$BO$99,62,0)</f>
        <v>35861.19</v>
      </c>
      <c r="AW13" s="595">
        <f>VLOOKUP(A13,[4]CFR20152016_BenchMarkDataReport!$B$3:$BO$99,63,0)</f>
        <v>0</v>
      </c>
      <c r="AX13" s="595">
        <f>VLOOKUP(A13,[4]CFR20152016_BenchMarkDataReport!$B$3:$BO$99,64,0)</f>
        <v>10000</v>
      </c>
      <c r="AY13" s="595">
        <f>VLOOKUP(A13,[4]CFR20152016_BenchMarkDataReport!$B$3:$BO$99,65,0)</f>
        <v>0</v>
      </c>
      <c r="AZ13" s="595">
        <f>VLOOKUP(A13,[4]CFR20152016_BenchMarkDataReport!$B$3:$BO$99,66,0)</f>
        <v>0</v>
      </c>
      <c r="BA13" s="596">
        <f t="shared" si="0"/>
        <v>1177092.1499999997</v>
      </c>
      <c r="BB13" s="595">
        <f t="shared" si="42"/>
        <v>1223141.1499999997</v>
      </c>
      <c r="BC13" s="600">
        <f t="shared" si="43"/>
        <v>-46049</v>
      </c>
      <c r="BD13" s="595">
        <f>VLOOKUP(A13,[4]CFR20152016_BenchMarkDataReport!$B$3:$BO$99,15,0)</f>
        <v>76029</v>
      </c>
      <c r="BE13" s="600">
        <f t="shared" si="1"/>
        <v>29980</v>
      </c>
      <c r="BF13" s="76">
        <f>VLOOKUP(A13,'OCT 15 CENSUS'!$B$9:$U$132,20,0)</f>
        <v>229</v>
      </c>
      <c r="BG13" s="73">
        <f>VLOOKUP(A13,'[2]BUDGET SHARE inc ADJUSTMENTS'!$D$4:$M$139,10,0)</f>
        <v>1087714.3051567995</v>
      </c>
      <c r="BH13" s="76">
        <f>VLOOKUP(A13,'12-13 Pupil Data'!A:CI,81,0)</f>
        <v>1482</v>
      </c>
      <c r="BI13" t="s">
        <v>210</v>
      </c>
      <c r="BJ13" s="44">
        <f t="shared" si="44"/>
        <v>0.8205135001537478</v>
      </c>
      <c r="BK13" s="45">
        <f t="shared" si="45"/>
        <v>4217.5545851528386</v>
      </c>
      <c r="BL13" s="44">
        <f t="shared" si="46"/>
        <v>0</v>
      </c>
      <c r="BM13" s="45">
        <f t="shared" si="47"/>
        <v>0</v>
      </c>
      <c r="BN13" s="44">
        <f t="shared" si="48"/>
        <v>3.6578274691577893E-2</v>
      </c>
      <c r="BO13" s="45">
        <f t="shared" si="49"/>
        <v>188.0174672489083</v>
      </c>
      <c r="BP13" s="44">
        <f t="shared" si="50"/>
        <v>0</v>
      </c>
      <c r="BQ13" s="45">
        <f t="shared" si="51"/>
        <v>0</v>
      </c>
      <c r="BR13" s="44">
        <f t="shared" si="52"/>
        <v>6.1572078277813691E-2</v>
      </c>
      <c r="BS13" s="45">
        <f t="shared" si="53"/>
        <v>316.48912663755453</v>
      </c>
      <c r="BT13" s="44">
        <f t="shared" si="54"/>
        <v>9.6780103409915726E-3</v>
      </c>
      <c r="BU13" s="45">
        <f t="shared" si="55"/>
        <v>49.746331877729254</v>
      </c>
      <c r="BV13" s="44">
        <f t="shared" si="56"/>
        <v>6.1350336929865703E-4</v>
      </c>
      <c r="BW13" s="45">
        <f t="shared" si="57"/>
        <v>3.1534934497816591</v>
      </c>
      <c r="BX13" s="44">
        <f t="shared" si="58"/>
        <v>5.63092702640146E-3</v>
      </c>
      <c r="BY13" s="45">
        <f t="shared" si="59"/>
        <v>28.943755458515284</v>
      </c>
      <c r="BZ13" s="46">
        <f t="shared" si="60"/>
        <v>1.3473388638264222E-2</v>
      </c>
      <c r="CA13" s="47">
        <f t="shared" si="61"/>
        <v>69.255109170305673</v>
      </c>
      <c r="CB13" s="44">
        <f t="shared" si="62"/>
        <v>6.7127284809434865E-4</v>
      </c>
      <c r="CC13" s="48">
        <f t="shared" si="63"/>
        <v>3.4504366812227074</v>
      </c>
      <c r="CD13" s="46">
        <f t="shared" si="64"/>
        <v>0.64195100376044267</v>
      </c>
      <c r="CE13" s="49">
        <f t="shared" si="65"/>
        <v>0.59320698893455381</v>
      </c>
      <c r="CF13" s="49">
        <f t="shared" si="66"/>
        <v>0.57087384395496799</v>
      </c>
      <c r="CG13" s="47">
        <f t="shared" si="67"/>
        <v>3049.1672052401746</v>
      </c>
      <c r="CH13" s="44">
        <f t="shared" si="2"/>
        <v>0.12234291612154233</v>
      </c>
      <c r="CI13" s="50">
        <f t="shared" si="3"/>
        <v>0.11305328983801315</v>
      </c>
      <c r="CJ13" s="50">
        <f t="shared" si="4"/>
        <v>0.10879704276158156</v>
      </c>
      <c r="CK13" s="45">
        <f t="shared" si="5"/>
        <v>581.10978165938866</v>
      </c>
      <c r="CL13" s="46">
        <f t="shared" si="6"/>
        <v>3.7558860636765078E-2</v>
      </c>
      <c r="CM13" s="49">
        <f t="shared" si="68"/>
        <v>3.4706976849688452E-2</v>
      </c>
      <c r="CN13" s="49">
        <f t="shared" si="69"/>
        <v>3.3400323421381099E-2</v>
      </c>
      <c r="CO13" s="47">
        <f t="shared" si="70"/>
        <v>178.39873362445414</v>
      </c>
      <c r="CP13" s="44">
        <f t="shared" si="7"/>
        <v>2.1778990942465416E-2</v>
      </c>
      <c r="CQ13" s="50">
        <f t="shared" si="8"/>
        <v>2.0125289256240478E-2</v>
      </c>
      <c r="CR13" s="50">
        <f t="shared" si="71"/>
        <v>1.9367609371984586E-2</v>
      </c>
      <c r="CS13" s="45">
        <f t="shared" si="9"/>
        <v>103.44681222707423</v>
      </c>
      <c r="CT13" s="46">
        <f t="shared" si="10"/>
        <v>0.71206565577745928</v>
      </c>
      <c r="CU13" s="49">
        <f t="shared" si="11"/>
        <v>0.65799776168756208</v>
      </c>
      <c r="CV13" s="49">
        <f t="shared" si="12"/>
        <v>0.63322536405548946</v>
      </c>
      <c r="CW13" s="47">
        <f t="shared" si="13"/>
        <v>3382.2008733624448</v>
      </c>
      <c r="CX13" s="44">
        <f t="shared" si="14"/>
        <v>9.8522837745111443E-3</v>
      </c>
      <c r="CY13" s="50">
        <f t="shared" si="15"/>
        <v>8.7614336252197899E-3</v>
      </c>
      <c r="CZ13" s="48">
        <f t="shared" si="16"/>
        <v>7.2310863697705798</v>
      </c>
      <c r="DA13" s="45">
        <f t="shared" si="17"/>
        <v>46.796812227074234</v>
      </c>
      <c r="DB13" s="51">
        <f t="shared" si="18"/>
        <v>2.0398218145142124E-3</v>
      </c>
      <c r="DC13" s="52">
        <f t="shared" si="19"/>
        <v>10.895152838427947</v>
      </c>
      <c r="DD13" s="44">
        <f t="shared" si="20"/>
        <v>9.0935183559750464E-3</v>
      </c>
      <c r="DE13" s="50">
        <f t="shared" si="21"/>
        <v>8.0866791212118091E-3</v>
      </c>
      <c r="DF13" s="48">
        <f t="shared" si="22"/>
        <v>6.6741902834008098</v>
      </c>
      <c r="DG13" s="45">
        <f t="shared" si="23"/>
        <v>43.192794759825325</v>
      </c>
      <c r="DH13" s="46">
        <f t="shared" si="24"/>
        <v>5.2698304810597238E-3</v>
      </c>
      <c r="DI13" s="49">
        <f t="shared" si="25"/>
        <v>4.6863520207786336E-3</v>
      </c>
      <c r="DJ13" s="47">
        <f t="shared" si="26"/>
        <v>3.8677935222672062</v>
      </c>
      <c r="DK13" s="44">
        <f t="shared" si="27"/>
        <v>3.7574535708720255E-2</v>
      </c>
      <c r="DL13" s="50">
        <f t="shared" si="28"/>
        <v>3.4721461696945316E-2</v>
      </c>
      <c r="DM13" s="50">
        <f t="shared" si="29"/>
        <v>3.3414262940953308E-2</v>
      </c>
      <c r="DN13" s="45">
        <f t="shared" si="30"/>
        <v>178.47318777292577</v>
      </c>
      <c r="DO13" s="46">
        <f t="shared" si="31"/>
        <v>4.810537082387374E-3</v>
      </c>
      <c r="DP13" s="49">
        <f t="shared" si="32"/>
        <v>4.2779118338059354E-3</v>
      </c>
      <c r="DQ13" s="47">
        <f t="shared" si="33"/>
        <v>22.849301310043668</v>
      </c>
      <c r="DR13" s="53">
        <f t="shared" si="34"/>
        <v>3.9481706587992736E-2</v>
      </c>
      <c r="DS13" s="45">
        <f t="shared" si="35"/>
        <v>210.88078602620087</v>
      </c>
      <c r="DT13" s="46">
        <f t="shared" si="72"/>
        <v>4.9645389183527957E-5</v>
      </c>
      <c r="DU13" s="49">
        <f t="shared" si="73"/>
        <v>4.5875762573049198E-5</v>
      </c>
      <c r="DV13" s="49">
        <f t="shared" si="74"/>
        <v>4.4148625038083314E-5</v>
      </c>
      <c r="DW13" s="47">
        <f t="shared" si="75"/>
        <v>0.23580786026200873</v>
      </c>
      <c r="DY13" s="54">
        <f>VLOOKUP(A13,'[3]Barnet Schools'!$E$8:$V$130,17,0)</f>
        <v>54</v>
      </c>
    </row>
    <row r="14" spans="1:256" s="58" customFormat="1">
      <c r="A14" s="77">
        <v>2002</v>
      </c>
      <c r="B14" s="78">
        <v>10044</v>
      </c>
      <c r="C14" s="589" t="s">
        <v>37</v>
      </c>
      <c r="D14" s="595">
        <f>VLOOKUP(A14,[4]CFR20152016_BenchMarkDataReport!$B$3:$BO$99,18,0)</f>
        <v>2399180</v>
      </c>
      <c r="E14" s="595">
        <f>VLOOKUP(A14,[4]CFR20152016_BenchMarkDataReport!$B$3:$BO$99,19,0)</f>
        <v>0</v>
      </c>
      <c r="F14" s="595">
        <f>VLOOKUP(A14,[4]CFR20152016_BenchMarkDataReport!$B$3:$BO$99,20,0)</f>
        <v>117083</v>
      </c>
      <c r="G14" s="595">
        <f>VLOOKUP(A14,[4]CFR20152016_BenchMarkDataReport!$B$3:$BO$99,21,0)</f>
        <v>0</v>
      </c>
      <c r="H14" s="595">
        <f>VLOOKUP(A14,[4]CFR20152016_BenchMarkDataReport!$B$3:$BO$99,22,0)</f>
        <v>412661</v>
      </c>
      <c r="I14" s="595">
        <f>VLOOKUP(A14,[4]CFR20152016_BenchMarkDataReport!$B$3:$BO$99,23,0)</f>
        <v>6715</v>
      </c>
      <c r="J14" s="595">
        <f>VLOOKUP(A14,[4]CFR20152016_BenchMarkDataReport!$B$3:$BO$99,24,0)</f>
        <v>185</v>
      </c>
      <c r="K14" s="595">
        <f>VLOOKUP(A14,[4]CFR20152016_BenchMarkDataReport!$B$3:$BO$99,25,0)</f>
        <v>52077.06</v>
      </c>
      <c r="L14" s="595">
        <f>VLOOKUP(A14,[4]CFR20152016_BenchMarkDataReport!$B$3:$BO$99,26,0)</f>
        <v>38170.910000000003</v>
      </c>
      <c r="M14" s="595">
        <f>VLOOKUP(A14,[4]CFR20152016_BenchMarkDataReport!$B$3:$BO$99,27,0)</f>
        <v>15390</v>
      </c>
      <c r="N14" s="595">
        <f>VLOOKUP(A14,[4]CFR20152016_BenchMarkDataReport!$B$3:$BO$99,28,0)</f>
        <v>2914.1</v>
      </c>
      <c r="O14" s="595">
        <f>VLOOKUP(A14,[4]CFR20152016_BenchMarkDataReport!$B$3:$BO$99,29,0)</f>
        <v>21374.99</v>
      </c>
      <c r="P14" s="595">
        <f>VLOOKUP(A14,[4]CFR20152016_BenchMarkDataReport!$B$3:$BO$99,30,0)</f>
        <v>2054.08</v>
      </c>
      <c r="Q14" s="595">
        <f>VLOOKUP(A14,[4]CFR20152016_BenchMarkDataReport!$B$3:$BO$99,31,0)</f>
        <v>0</v>
      </c>
      <c r="R14" s="595">
        <f>VLOOKUP(A14,[4]CFR20152016_BenchMarkDataReport!$B$3:$BO$99,32,0)</f>
        <v>292699</v>
      </c>
      <c r="S14" s="595">
        <f>VLOOKUP(A14,[4]CFR20152016_BenchMarkDataReport!$B$3:$BO$99,33,0)</f>
        <v>6195.04</v>
      </c>
      <c r="T14" s="595">
        <f>VLOOKUP(A14,[4]CFR20152016_BenchMarkDataReport!$B$3:$BO$99,34,0)</f>
        <v>24033.65</v>
      </c>
      <c r="U14" s="595">
        <f>VLOOKUP(A14,[4]CFR20152016_BenchMarkDataReport!$B$3:$BO$99,35,0)</f>
        <v>1260257.67</v>
      </c>
      <c r="V14" s="595">
        <f>VLOOKUP(A14,[4]CFR20152016_BenchMarkDataReport!$B$3:$BO$99,36,0)</f>
        <v>0</v>
      </c>
      <c r="W14" s="595">
        <f>VLOOKUP(A14,[4]CFR20152016_BenchMarkDataReport!$B$3:$BO$99,37,0)</f>
        <v>671024.03</v>
      </c>
      <c r="X14" s="595">
        <f>VLOOKUP(A14,[4]CFR20152016_BenchMarkDataReport!$B$3:$BO$99,38,0)</f>
        <v>38399.760000000002</v>
      </c>
      <c r="Y14" s="595">
        <f>VLOOKUP(A14,[4]CFR20152016_BenchMarkDataReport!$B$3:$BO$99,39,0)</f>
        <v>57692.2</v>
      </c>
      <c r="Z14" s="595">
        <f>VLOOKUP(A14,[4]CFR20152016_BenchMarkDataReport!$B$3:$BO$99,40,0)</f>
        <v>0</v>
      </c>
      <c r="AA14" s="595">
        <f>VLOOKUP(A14,[4]CFR20152016_BenchMarkDataReport!$B$3:$BO$99,41,0)</f>
        <v>95999.81</v>
      </c>
      <c r="AB14" s="595">
        <f>VLOOKUP(A14,[4]CFR20152016_BenchMarkDataReport!$B$3:$BO$99,42,0)</f>
        <v>35475.14</v>
      </c>
      <c r="AC14" s="595">
        <f>VLOOKUP(A14,[4]CFR20152016_BenchMarkDataReport!$B$3:$BO$99,43,0)</f>
        <v>11568.37</v>
      </c>
      <c r="AD14" s="595">
        <f>VLOOKUP(A14,[4]CFR20152016_BenchMarkDataReport!$B$3:$BO$99,44,0)</f>
        <v>13511.63</v>
      </c>
      <c r="AE14" s="595">
        <f>VLOOKUP(A14,[4]CFR20152016_BenchMarkDataReport!$B$3:$BO$99,45,0)</f>
        <v>15255.82</v>
      </c>
      <c r="AF14" s="595">
        <f>VLOOKUP(A14,[4]CFR20152016_BenchMarkDataReport!$B$3:$BO$99,46,0)</f>
        <v>41043.42</v>
      </c>
      <c r="AG14" s="595">
        <f>VLOOKUP(A14,[4]CFR20152016_BenchMarkDataReport!$B$3:$BO$99,47,0)</f>
        <v>338.65</v>
      </c>
      <c r="AH14" s="595">
        <f>VLOOKUP(A14,[4]CFR20152016_BenchMarkDataReport!$B$3:$BO$99,48,0)</f>
        <v>66303.38</v>
      </c>
      <c r="AI14" s="595">
        <f>VLOOKUP(A14,[4]CFR20152016_BenchMarkDataReport!$B$3:$BO$99,49,0)</f>
        <v>2910.74</v>
      </c>
      <c r="AJ14" s="595">
        <f>VLOOKUP(A14,[4]CFR20152016_BenchMarkDataReport!$B$3:$BO$99,50,0)</f>
        <v>32817.81</v>
      </c>
      <c r="AK14" s="595">
        <f>VLOOKUP(A14,[4]CFR20152016_BenchMarkDataReport!$B$3:$BO$99,51,0)</f>
        <v>22597.98</v>
      </c>
      <c r="AL14" s="595">
        <f>VLOOKUP(A14,[4]CFR20152016_BenchMarkDataReport!$B$3:$BO$99,52,0)</f>
        <v>12423.17</v>
      </c>
      <c r="AM14" s="595">
        <f>VLOOKUP(A14,[4]CFR20152016_BenchMarkDataReport!$B$3:$BO$99,53,0)</f>
        <v>140705.21</v>
      </c>
      <c r="AN14" s="595">
        <f>VLOOKUP(A14,[4]CFR20152016_BenchMarkDataReport!$B$3:$BO$99,54,0)</f>
        <v>22440.39</v>
      </c>
      <c r="AO14" s="595">
        <f>VLOOKUP(A14,[4]CFR20152016_BenchMarkDataReport!$B$3:$BO$99,55,0)</f>
        <v>0</v>
      </c>
      <c r="AP14" s="595">
        <f>VLOOKUP(A14,[4]CFR20152016_BenchMarkDataReport!$B$3:$BO$99,56,0)</f>
        <v>36767.15</v>
      </c>
      <c r="AQ14" s="595">
        <f>VLOOKUP(A14,[4]CFR20152016_BenchMarkDataReport!$B$3:$BO$99,57,0)</f>
        <v>13681.97</v>
      </c>
      <c r="AR14" s="595">
        <f>VLOOKUP(A14,[4]CFR20152016_BenchMarkDataReport!$B$3:$BO$99,58,0)</f>
        <v>23808.720000000001</v>
      </c>
      <c r="AS14" s="595">
        <f>VLOOKUP(A14,[4]CFR20152016_BenchMarkDataReport!$B$3:$BO$99,59,0)</f>
        <v>118272.87</v>
      </c>
      <c r="AT14" s="595">
        <f>VLOOKUP(A14,[4]CFR20152016_BenchMarkDataReport!$B$3:$BO$99,60,0)</f>
        <v>76400.5</v>
      </c>
      <c r="AU14" s="595">
        <f>VLOOKUP(A14,[4]CFR20152016_BenchMarkDataReport!$B$3:$BO$99,61,0)</f>
        <v>206154.72</v>
      </c>
      <c r="AV14" s="595">
        <f>VLOOKUP(A14,[4]CFR20152016_BenchMarkDataReport!$B$3:$BO$99,62,0)</f>
        <v>21973.68</v>
      </c>
      <c r="AW14" s="595">
        <f>VLOOKUP(A14,[4]CFR20152016_BenchMarkDataReport!$B$3:$BO$99,63,0)</f>
        <v>0</v>
      </c>
      <c r="AX14" s="595">
        <f>VLOOKUP(A14,[4]CFR20152016_BenchMarkDataReport!$B$3:$BO$99,64,0)</f>
        <v>38939</v>
      </c>
      <c r="AY14" s="595">
        <f>VLOOKUP(A14,[4]CFR20152016_BenchMarkDataReport!$B$3:$BO$99,65,0)</f>
        <v>223904.76</v>
      </c>
      <c r="AZ14" s="595">
        <f>VLOOKUP(A14,[4]CFR20152016_BenchMarkDataReport!$B$3:$BO$99,66,0)</f>
        <v>51464.18</v>
      </c>
      <c r="BA14" s="596">
        <f t="shared" si="0"/>
        <v>3091838.7900000005</v>
      </c>
      <c r="BB14" s="595">
        <f t="shared" si="42"/>
        <v>3076763.7900000005</v>
      </c>
      <c r="BC14" s="600">
        <f t="shared" si="43"/>
        <v>15075</v>
      </c>
      <c r="BD14" s="595">
        <f>VLOOKUP(A14,[4]CFR20152016_BenchMarkDataReport!$B$3:$BO$99,15,0)</f>
        <v>303212</v>
      </c>
      <c r="BE14" s="600">
        <f t="shared" si="1"/>
        <v>318287</v>
      </c>
      <c r="BF14" s="76">
        <f>VLOOKUP(A14,'OCT 15 CENSUS'!$B$9:$U$132,20,0)</f>
        <v>540</v>
      </c>
      <c r="BG14" s="73">
        <f>VLOOKUP(A14,'[2]BUDGET SHARE inc ADJUSTMENTS'!$D$4:$M$139,10,0)</f>
        <v>2950861.9029356409</v>
      </c>
      <c r="BH14" s="76">
        <f>VLOOKUP(A14,'12-13 Pupil Data'!A:CI,81,0)</f>
        <v>2747</v>
      </c>
      <c r="BI14" t="s">
        <v>210</v>
      </c>
      <c r="BJ14" s="44">
        <f t="shared" si="44"/>
        <v>0.77597189341168715</v>
      </c>
      <c r="BK14" s="45">
        <f t="shared" si="45"/>
        <v>4442.9259259259261</v>
      </c>
      <c r="BL14" s="44">
        <f t="shared" si="46"/>
        <v>0</v>
      </c>
      <c r="BM14" s="45">
        <f t="shared" si="47"/>
        <v>0</v>
      </c>
      <c r="BN14" s="44">
        <f t="shared" si="48"/>
        <v>3.7868403869789076E-2</v>
      </c>
      <c r="BO14" s="45">
        <f t="shared" si="49"/>
        <v>216.82037037037037</v>
      </c>
      <c r="BP14" s="44">
        <f t="shared" si="50"/>
        <v>0</v>
      </c>
      <c r="BQ14" s="45">
        <f t="shared" si="51"/>
        <v>0</v>
      </c>
      <c r="BR14" s="44">
        <f t="shared" si="52"/>
        <v>0.13346782546835179</v>
      </c>
      <c r="BS14" s="45">
        <f t="shared" si="53"/>
        <v>764.18703703703704</v>
      </c>
      <c r="BT14" s="44">
        <f t="shared" si="54"/>
        <v>2.1718467410779844E-3</v>
      </c>
      <c r="BU14" s="45">
        <f t="shared" si="55"/>
        <v>12.435185185185185</v>
      </c>
      <c r="BV14" s="44">
        <f t="shared" si="56"/>
        <v>5.9834943722922877E-5</v>
      </c>
      <c r="BW14" s="45">
        <f t="shared" si="57"/>
        <v>0.34259259259259262</v>
      </c>
      <c r="BX14" s="44">
        <f t="shared" si="58"/>
        <v>1.6843394347866369E-2</v>
      </c>
      <c r="BY14" s="45">
        <f t="shared" si="59"/>
        <v>96.438999999999993</v>
      </c>
      <c r="BZ14" s="46">
        <f t="shared" si="60"/>
        <v>6.9133585066380506E-3</v>
      </c>
      <c r="CA14" s="47">
        <f t="shared" si="61"/>
        <v>39.58331481481482</v>
      </c>
      <c r="CB14" s="44">
        <f t="shared" si="62"/>
        <v>6.6435546595881845E-4</v>
      </c>
      <c r="CC14" s="48">
        <f t="shared" si="63"/>
        <v>3.8038518518518516</v>
      </c>
      <c r="CD14" s="46">
        <f t="shared" si="64"/>
        <v>0.4529721193222348</v>
      </c>
      <c r="CE14" s="49">
        <f t="shared" si="65"/>
        <v>0.43231819664181126</v>
      </c>
      <c r="CF14" s="49">
        <f t="shared" si="66"/>
        <v>0.43443639526191891</v>
      </c>
      <c r="CG14" s="47">
        <f t="shared" si="67"/>
        <v>2475.2929074074073</v>
      </c>
      <c r="CH14" s="44">
        <f t="shared" si="2"/>
        <v>0.22739933350741939</v>
      </c>
      <c r="CI14" s="50">
        <f t="shared" si="3"/>
        <v>0.21703073011772386</v>
      </c>
      <c r="CJ14" s="50">
        <f t="shared" si="4"/>
        <v>0.21809410009989746</v>
      </c>
      <c r="CK14" s="45">
        <f t="shared" si="5"/>
        <v>1242.6370925925926</v>
      </c>
      <c r="CL14" s="46">
        <f t="shared" si="6"/>
        <v>1.3013065762853326E-2</v>
      </c>
      <c r="CM14" s="49">
        <f t="shared" si="68"/>
        <v>1.2419716100398622E-2</v>
      </c>
      <c r="CN14" s="49">
        <f t="shared" si="69"/>
        <v>1.2480568097169395E-2</v>
      </c>
      <c r="CO14" s="47">
        <f t="shared" si="70"/>
        <v>71.110666666666674</v>
      </c>
      <c r="CP14" s="44">
        <f t="shared" si="7"/>
        <v>1.9550965750923615E-2</v>
      </c>
      <c r="CQ14" s="50">
        <f t="shared" si="8"/>
        <v>1.8659511028387088E-2</v>
      </c>
      <c r="CR14" s="50">
        <f t="shared" si="71"/>
        <v>1.8750935703127209E-2</v>
      </c>
      <c r="CS14" s="45">
        <f t="shared" si="9"/>
        <v>106.8374074074074</v>
      </c>
      <c r="CT14" s="46">
        <f t="shared" si="10"/>
        <v>0.71957737767652863</v>
      </c>
      <c r="CU14" s="49">
        <f t="shared" si="11"/>
        <v>0.68676720043349981</v>
      </c>
      <c r="CV14" s="49">
        <f t="shared" si="12"/>
        <v>0.69013210468132802</v>
      </c>
      <c r="CW14" s="47">
        <f t="shared" si="13"/>
        <v>3932.1730925925922</v>
      </c>
      <c r="CX14" s="44">
        <f t="shared" si="14"/>
        <v>1.3908959941218628E-2</v>
      </c>
      <c r="CY14" s="50">
        <f t="shared" si="15"/>
        <v>1.3339802078208932E-2</v>
      </c>
      <c r="CZ14" s="48">
        <f t="shared" si="16"/>
        <v>14.941179468511102</v>
      </c>
      <c r="DA14" s="45">
        <f t="shared" si="17"/>
        <v>76.00633333333333</v>
      </c>
      <c r="DB14" s="51">
        <f t="shared" si="18"/>
        <v>9.4603947480804149E-4</v>
      </c>
      <c r="DC14" s="52">
        <f t="shared" si="19"/>
        <v>5.3902592592592589</v>
      </c>
      <c r="DD14" s="44">
        <f t="shared" si="20"/>
        <v>1.1121432001731924E-2</v>
      </c>
      <c r="DE14" s="50">
        <f t="shared" si="21"/>
        <v>1.0666340427777848E-2</v>
      </c>
      <c r="DF14" s="48">
        <f t="shared" si="22"/>
        <v>11.946781943938841</v>
      </c>
      <c r="DG14" s="45">
        <f t="shared" si="23"/>
        <v>60.773722222222219</v>
      </c>
      <c r="DH14" s="46">
        <f t="shared" si="24"/>
        <v>4.2100140259498115E-3</v>
      </c>
      <c r="DI14" s="49">
        <f t="shared" si="25"/>
        <v>4.0377392766963102E-3</v>
      </c>
      <c r="DJ14" s="47">
        <f t="shared" si="26"/>
        <v>4.5224499453949765</v>
      </c>
      <c r="DK14" s="44">
        <f t="shared" si="27"/>
        <v>4.7682749863699338E-2</v>
      </c>
      <c r="DL14" s="50">
        <f t="shared" si="28"/>
        <v>4.5508585523632676E-2</v>
      </c>
      <c r="DM14" s="50">
        <f t="shared" si="29"/>
        <v>4.5731560692866831E-2</v>
      </c>
      <c r="DN14" s="45">
        <f t="shared" si="30"/>
        <v>260.56520370370367</v>
      </c>
      <c r="DO14" s="46">
        <f t="shared" si="31"/>
        <v>1.2459800292051113E-2</v>
      </c>
      <c r="DP14" s="49">
        <f t="shared" si="32"/>
        <v>1.1949942377604487E-2</v>
      </c>
      <c r="DQ14" s="47">
        <f t="shared" si="33"/>
        <v>68.087314814814818</v>
      </c>
      <c r="DR14" s="53">
        <f t="shared" si="34"/>
        <v>3.8440672756357409E-2</v>
      </c>
      <c r="DS14" s="45">
        <f t="shared" si="35"/>
        <v>219.02383333333333</v>
      </c>
      <c r="DT14" s="46">
        <f t="shared" si="72"/>
        <v>1.0302074783559613E-4</v>
      </c>
      <c r="DU14" s="49">
        <f t="shared" si="73"/>
        <v>9.8323366982532728E-5</v>
      </c>
      <c r="DV14" s="49">
        <f t="shared" si="74"/>
        <v>9.8805114967892926E-5</v>
      </c>
      <c r="DW14" s="47">
        <f t="shared" si="75"/>
        <v>0.562962962962963</v>
      </c>
      <c r="DX14"/>
      <c r="DY14" s="54">
        <f>VLOOKUP(A14,'[3]Barnet Schools'!$E$8:$V$130,17,0)</f>
        <v>304</v>
      </c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>
      <c r="A15" s="77">
        <v>2079</v>
      </c>
      <c r="B15" s="78">
        <v>10128</v>
      </c>
      <c r="C15" s="589" t="s">
        <v>38</v>
      </c>
      <c r="D15" s="595">
        <f>VLOOKUP(A15,[4]CFR20152016_BenchMarkDataReport!$B$3:$BO$99,18,0)</f>
        <v>1821692.92</v>
      </c>
      <c r="E15" s="595">
        <f>VLOOKUP(A15,[4]CFR20152016_BenchMarkDataReport!$B$3:$BO$99,19,0)</f>
        <v>0</v>
      </c>
      <c r="F15" s="595">
        <f>VLOOKUP(A15,[4]CFR20152016_BenchMarkDataReport!$B$3:$BO$99,20,0)</f>
        <v>11031</v>
      </c>
      <c r="G15" s="595">
        <f>VLOOKUP(A15,[4]CFR20152016_BenchMarkDataReport!$B$3:$BO$99,21,0)</f>
        <v>0</v>
      </c>
      <c r="H15" s="595">
        <f>VLOOKUP(A15,[4]CFR20152016_BenchMarkDataReport!$B$3:$BO$99,22,0)</f>
        <v>31680</v>
      </c>
      <c r="I15" s="595">
        <f>VLOOKUP(A15,[4]CFR20152016_BenchMarkDataReport!$B$3:$BO$99,23,0)</f>
        <v>1889</v>
      </c>
      <c r="J15" s="595">
        <f>VLOOKUP(A15,[4]CFR20152016_BenchMarkDataReport!$B$3:$BO$99,24,0)</f>
        <v>283.5</v>
      </c>
      <c r="K15" s="595">
        <f>VLOOKUP(A15,[4]CFR20152016_BenchMarkDataReport!$B$3:$BO$99,25,0)</f>
        <v>0</v>
      </c>
      <c r="L15" s="595">
        <f>VLOOKUP(A15,[4]CFR20152016_BenchMarkDataReport!$B$3:$BO$99,26,0)</f>
        <v>24695.67</v>
      </c>
      <c r="M15" s="595">
        <f>VLOOKUP(A15,[4]CFR20152016_BenchMarkDataReport!$B$3:$BO$99,27,0)</f>
        <v>41591.86</v>
      </c>
      <c r="N15" s="595">
        <f>VLOOKUP(A15,[4]CFR20152016_BenchMarkDataReport!$B$3:$BO$99,28,0)</f>
        <v>534.47</v>
      </c>
      <c r="O15" s="595">
        <f>VLOOKUP(A15,[4]CFR20152016_BenchMarkDataReport!$B$3:$BO$99,29,0)</f>
        <v>5110.8999999999996</v>
      </c>
      <c r="P15" s="595">
        <f>VLOOKUP(A15,[4]CFR20152016_BenchMarkDataReport!$B$3:$BO$99,30,0)</f>
        <v>26264.51</v>
      </c>
      <c r="Q15" s="595">
        <f>VLOOKUP(A15,[4]CFR20152016_BenchMarkDataReport!$B$3:$BO$99,31,0)</f>
        <v>0</v>
      </c>
      <c r="R15" s="595">
        <f>VLOOKUP(A15,[4]CFR20152016_BenchMarkDataReport!$B$3:$BO$99,32,0)</f>
        <v>0</v>
      </c>
      <c r="S15" s="595">
        <f>VLOOKUP(A15,[4]CFR20152016_BenchMarkDataReport!$B$3:$BO$99,33,0)</f>
        <v>0</v>
      </c>
      <c r="T15" s="595">
        <f>VLOOKUP(A15,[4]CFR20152016_BenchMarkDataReport!$B$3:$BO$99,34,0)</f>
        <v>112843.07</v>
      </c>
      <c r="U15" s="595">
        <f>VLOOKUP(A15,[4]CFR20152016_BenchMarkDataReport!$B$3:$BO$99,35,0)</f>
        <v>1314456.25</v>
      </c>
      <c r="V15" s="595">
        <f>VLOOKUP(A15,[4]CFR20152016_BenchMarkDataReport!$B$3:$BO$99,36,0)</f>
        <v>0</v>
      </c>
      <c r="W15" s="595">
        <f>VLOOKUP(A15,[4]CFR20152016_BenchMarkDataReport!$B$3:$BO$99,37,0)</f>
        <v>110233.44</v>
      </c>
      <c r="X15" s="595">
        <f>VLOOKUP(A15,[4]CFR20152016_BenchMarkDataReport!$B$3:$BO$99,38,0)</f>
        <v>12614.36</v>
      </c>
      <c r="Y15" s="595">
        <f>VLOOKUP(A15,[4]CFR20152016_BenchMarkDataReport!$B$3:$BO$99,39,0)</f>
        <v>97050.75</v>
      </c>
      <c r="Z15" s="595">
        <f>VLOOKUP(A15,[4]CFR20152016_BenchMarkDataReport!$B$3:$BO$99,40,0)</f>
        <v>0</v>
      </c>
      <c r="AA15" s="595">
        <f>VLOOKUP(A15,[4]CFR20152016_BenchMarkDataReport!$B$3:$BO$99,41,0)</f>
        <v>65568.88</v>
      </c>
      <c r="AB15" s="595">
        <f>VLOOKUP(A15,[4]CFR20152016_BenchMarkDataReport!$B$3:$BO$99,42,0)</f>
        <v>16542.8</v>
      </c>
      <c r="AC15" s="595">
        <f>VLOOKUP(A15,[4]CFR20152016_BenchMarkDataReport!$B$3:$BO$99,43,0)</f>
        <v>1717</v>
      </c>
      <c r="AD15" s="595">
        <f>VLOOKUP(A15,[4]CFR20152016_BenchMarkDataReport!$B$3:$BO$99,44,0)</f>
        <v>18853.27</v>
      </c>
      <c r="AE15" s="595">
        <f>VLOOKUP(A15,[4]CFR20152016_BenchMarkDataReport!$B$3:$BO$99,45,0)</f>
        <v>0</v>
      </c>
      <c r="AF15" s="595">
        <f>VLOOKUP(A15,[4]CFR20152016_BenchMarkDataReport!$B$3:$BO$99,46,0)</f>
        <v>8047.49</v>
      </c>
      <c r="AG15" s="595">
        <f>VLOOKUP(A15,[4]CFR20152016_BenchMarkDataReport!$B$3:$BO$99,47,0)</f>
        <v>0</v>
      </c>
      <c r="AH15" s="595">
        <f>VLOOKUP(A15,[4]CFR20152016_BenchMarkDataReport!$B$3:$BO$99,48,0)</f>
        <v>42744.34</v>
      </c>
      <c r="AI15" s="595">
        <f>VLOOKUP(A15,[4]CFR20152016_BenchMarkDataReport!$B$3:$BO$99,49,0)</f>
        <v>10982.26</v>
      </c>
      <c r="AJ15" s="595">
        <f>VLOOKUP(A15,[4]CFR20152016_BenchMarkDataReport!$B$3:$BO$99,50,0)</f>
        <v>31228.43</v>
      </c>
      <c r="AK15" s="595">
        <f>VLOOKUP(A15,[4]CFR20152016_BenchMarkDataReport!$B$3:$BO$99,51,0)</f>
        <v>14261.4</v>
      </c>
      <c r="AL15" s="595">
        <f>VLOOKUP(A15,[4]CFR20152016_BenchMarkDataReport!$B$3:$BO$99,52,0)</f>
        <v>17055.740000000002</v>
      </c>
      <c r="AM15" s="595">
        <f>VLOOKUP(A15,[4]CFR20152016_BenchMarkDataReport!$B$3:$BO$99,53,0)</f>
        <v>53460.08</v>
      </c>
      <c r="AN15" s="595">
        <f>VLOOKUP(A15,[4]CFR20152016_BenchMarkDataReport!$B$3:$BO$99,54,0)</f>
        <v>16893.939999999999</v>
      </c>
      <c r="AO15" s="595">
        <f>VLOOKUP(A15,[4]CFR20152016_BenchMarkDataReport!$B$3:$BO$99,55,0)</f>
        <v>0</v>
      </c>
      <c r="AP15" s="595">
        <f>VLOOKUP(A15,[4]CFR20152016_BenchMarkDataReport!$B$3:$BO$99,56,0)</f>
        <v>10980.03</v>
      </c>
      <c r="AQ15" s="595">
        <f>VLOOKUP(A15,[4]CFR20152016_BenchMarkDataReport!$B$3:$BO$99,57,0)</f>
        <v>0</v>
      </c>
      <c r="AR15" s="595">
        <f>VLOOKUP(A15,[4]CFR20152016_BenchMarkDataReport!$B$3:$BO$99,58,0)</f>
        <v>9806.3799999999992</v>
      </c>
      <c r="AS15" s="595">
        <f>VLOOKUP(A15,[4]CFR20152016_BenchMarkDataReport!$B$3:$BO$99,59,0)</f>
        <v>143257.29999999999</v>
      </c>
      <c r="AT15" s="595">
        <f>VLOOKUP(A15,[4]CFR20152016_BenchMarkDataReport!$B$3:$BO$99,60,0)</f>
        <v>0</v>
      </c>
      <c r="AU15" s="595">
        <f>VLOOKUP(A15,[4]CFR20152016_BenchMarkDataReport!$B$3:$BO$99,61,0)</f>
        <v>38214.519999999997</v>
      </c>
      <c r="AV15" s="595">
        <f>VLOOKUP(A15,[4]CFR20152016_BenchMarkDataReport!$B$3:$BO$99,62,0)</f>
        <v>48756.24</v>
      </c>
      <c r="AW15" s="595">
        <f>VLOOKUP(A15,[4]CFR20152016_BenchMarkDataReport!$B$3:$BO$99,63,0)</f>
        <v>0</v>
      </c>
      <c r="AX15" s="595">
        <f>VLOOKUP(A15,[4]CFR20152016_BenchMarkDataReport!$B$3:$BO$99,64,0)</f>
        <v>1122</v>
      </c>
      <c r="AY15" s="595">
        <f>VLOOKUP(A15,[4]CFR20152016_BenchMarkDataReport!$B$3:$BO$99,65,0)</f>
        <v>0</v>
      </c>
      <c r="AZ15" s="595">
        <f>VLOOKUP(A15,[4]CFR20152016_BenchMarkDataReport!$B$3:$BO$99,66,0)</f>
        <v>0</v>
      </c>
      <c r="BA15" s="596">
        <f t="shared" si="0"/>
        <v>2077616.9</v>
      </c>
      <c r="BB15" s="595">
        <f t="shared" si="42"/>
        <v>2083846.9000000001</v>
      </c>
      <c r="BC15" s="600">
        <f t="shared" si="43"/>
        <v>-6230.0000000002328</v>
      </c>
      <c r="BD15" s="595">
        <f>VLOOKUP(A15,[4]CFR20152016_BenchMarkDataReport!$B$3:$BO$99,15,0)</f>
        <v>-78302</v>
      </c>
      <c r="BE15" s="600">
        <f t="shared" si="1"/>
        <v>-84532.000000000233</v>
      </c>
      <c r="BF15" s="76">
        <f>VLOOKUP(A15,'OCT 15 CENSUS'!$B$9:$U$132,20,0)</f>
        <v>508</v>
      </c>
      <c r="BG15" s="73">
        <f>VLOOKUP(A15,'[2]BUDGET SHARE inc ADJUSTMENTS'!$D$4:$M$139,10,0)</f>
        <v>1974850.7212743601</v>
      </c>
      <c r="BH15" s="76">
        <f>VLOOKUP(A15,'12-13 Pupil Data'!A:CI,81,0)</f>
        <v>2272</v>
      </c>
      <c r="BI15" t="s">
        <v>210</v>
      </c>
      <c r="BJ15" s="44">
        <f t="shared" si="44"/>
        <v>0.87681849334205941</v>
      </c>
      <c r="BK15" s="45">
        <f t="shared" si="45"/>
        <v>3586.0096850393697</v>
      </c>
      <c r="BL15" s="44">
        <f t="shared" si="46"/>
        <v>0</v>
      </c>
      <c r="BM15" s="45">
        <f t="shared" si="47"/>
        <v>0</v>
      </c>
      <c r="BN15" s="44">
        <f t="shared" si="48"/>
        <v>5.3094485321138855E-3</v>
      </c>
      <c r="BO15" s="45">
        <f t="shared" si="49"/>
        <v>21.714566929133859</v>
      </c>
      <c r="BP15" s="44">
        <f t="shared" si="50"/>
        <v>0</v>
      </c>
      <c r="BQ15" s="45">
        <f t="shared" si="51"/>
        <v>0</v>
      </c>
      <c r="BR15" s="44">
        <f t="shared" si="52"/>
        <v>1.524823946127893E-2</v>
      </c>
      <c r="BS15" s="45">
        <f t="shared" si="53"/>
        <v>62.362204724409452</v>
      </c>
      <c r="BT15" s="44">
        <f t="shared" si="54"/>
        <v>9.0921478353396144E-4</v>
      </c>
      <c r="BU15" s="45">
        <f t="shared" si="55"/>
        <v>3.7185039370078741</v>
      </c>
      <c r="BV15" s="44">
        <f t="shared" si="56"/>
        <v>1.3645441563360408E-4</v>
      </c>
      <c r="BW15" s="45">
        <f t="shared" si="57"/>
        <v>0.55807086614173229</v>
      </c>
      <c r="BX15" s="44">
        <f t="shared" si="58"/>
        <v>0</v>
      </c>
      <c r="BY15" s="45">
        <f t="shared" si="59"/>
        <v>0</v>
      </c>
      <c r="BZ15" s="46">
        <f t="shared" si="60"/>
        <v>2.4599819148563916E-3</v>
      </c>
      <c r="CA15" s="47">
        <f t="shared" si="61"/>
        <v>10.060826771653543</v>
      </c>
      <c r="CB15" s="44">
        <f t="shared" si="62"/>
        <v>1.264165207743545E-2</v>
      </c>
      <c r="CC15" s="48">
        <f t="shared" si="63"/>
        <v>51.701791338582673</v>
      </c>
      <c r="CD15" s="46">
        <f t="shared" si="64"/>
        <v>0.66559777700655209</v>
      </c>
      <c r="CE15" s="49">
        <f t="shared" si="65"/>
        <v>0.6326749893110708</v>
      </c>
      <c r="CF15" s="49">
        <f t="shared" si="66"/>
        <v>0.63078350429678876</v>
      </c>
      <c r="CG15" s="47">
        <f t="shared" si="67"/>
        <v>2587.5123031496064</v>
      </c>
      <c r="CH15" s="44">
        <f t="shared" si="2"/>
        <v>5.5818619003702205E-2</v>
      </c>
      <c r="CI15" s="50">
        <f t="shared" si="3"/>
        <v>5.3057635409107427E-2</v>
      </c>
      <c r="CJ15" s="50">
        <f t="shared" si="4"/>
        <v>5.2899010959010472E-2</v>
      </c>
      <c r="CK15" s="45">
        <f t="shared" si="5"/>
        <v>216.99496062992125</v>
      </c>
      <c r="CL15" s="46">
        <f t="shared" si="6"/>
        <v>6.3875005154111217E-3</v>
      </c>
      <c r="CM15" s="49">
        <f t="shared" si="68"/>
        <v>6.0715524599361899E-3</v>
      </c>
      <c r="CN15" s="49">
        <f t="shared" si="69"/>
        <v>6.0534005641201373E-3</v>
      </c>
      <c r="CO15" s="47">
        <f t="shared" si="70"/>
        <v>24.831417322834646</v>
      </c>
      <c r="CP15" s="44">
        <f t="shared" si="7"/>
        <v>4.9143334711078158E-2</v>
      </c>
      <c r="CQ15" s="50">
        <f t="shared" si="8"/>
        <v>4.6712533961386242E-2</v>
      </c>
      <c r="CR15" s="50">
        <f t="shared" si="71"/>
        <v>4.6572879226396142E-2</v>
      </c>
      <c r="CS15" s="45">
        <f t="shared" si="9"/>
        <v>191.04478346456693</v>
      </c>
      <c r="CT15" s="46">
        <f t="shared" si="10"/>
        <v>0.81014917368922867</v>
      </c>
      <c r="CU15" s="49">
        <f t="shared" si="11"/>
        <v>0.77007636970993076</v>
      </c>
      <c r="CV15" s="49">
        <f t="shared" si="12"/>
        <v>0.76777410087084619</v>
      </c>
      <c r="CW15" s="47">
        <f t="shared" si="13"/>
        <v>3149.4560629921261</v>
      </c>
      <c r="CX15" s="44">
        <f t="shared" si="14"/>
        <v>4.074986485463063E-3</v>
      </c>
      <c r="CY15" s="50">
        <f t="shared" si="15"/>
        <v>3.861843209306787E-3</v>
      </c>
      <c r="CZ15" s="48">
        <f t="shared" si="16"/>
        <v>3.5420290492957744</v>
      </c>
      <c r="DA15" s="45">
        <f t="shared" si="17"/>
        <v>15.841515748031496</v>
      </c>
      <c r="DB15" s="51">
        <f t="shared" si="18"/>
        <v>5.2701856359984988E-3</v>
      </c>
      <c r="DC15" s="52">
        <f t="shared" si="19"/>
        <v>21.618622047244095</v>
      </c>
      <c r="DD15" s="44">
        <f t="shared" si="20"/>
        <v>1.5813058507960779E-2</v>
      </c>
      <c r="DE15" s="50">
        <f t="shared" si="21"/>
        <v>1.4985952182955474E-2</v>
      </c>
      <c r="DF15" s="48">
        <f t="shared" si="22"/>
        <v>13.744907570422535</v>
      </c>
      <c r="DG15" s="45">
        <f t="shared" si="23"/>
        <v>61.473287401574801</v>
      </c>
      <c r="DH15" s="46">
        <f t="shared" si="24"/>
        <v>8.6364705019293959E-3</v>
      </c>
      <c r="DI15" s="49">
        <f t="shared" si="25"/>
        <v>8.1847375639736292E-3</v>
      </c>
      <c r="DJ15" s="47">
        <f t="shared" si="26"/>
        <v>7.5069278169014089</v>
      </c>
      <c r="DK15" s="44">
        <f t="shared" si="27"/>
        <v>2.7070441033387328E-2</v>
      </c>
      <c r="DL15" s="50">
        <f t="shared" si="28"/>
        <v>2.57314425965634E-2</v>
      </c>
      <c r="DM15" s="50">
        <f t="shared" si="29"/>
        <v>2.5654514254382123E-2</v>
      </c>
      <c r="DN15" s="45">
        <f t="shared" si="30"/>
        <v>105.23637795275592</v>
      </c>
      <c r="DO15" s="46">
        <f t="shared" si="31"/>
        <v>5.5599291033575689E-3</v>
      </c>
      <c r="DP15" s="49">
        <f t="shared" si="32"/>
        <v>5.2691154997999137E-3</v>
      </c>
      <c r="DQ15" s="47">
        <f t="shared" si="33"/>
        <v>21.614232283464567</v>
      </c>
      <c r="DR15" s="53">
        <f t="shared" si="34"/>
        <v>6.8746557148704146E-2</v>
      </c>
      <c r="DS15" s="45">
        <f t="shared" si="35"/>
        <v>282.00255905511807</v>
      </c>
      <c r="DT15" s="46">
        <f t="shared" si="72"/>
        <v>1.2152817294723388E-5</v>
      </c>
      <c r="DU15" s="49">
        <f t="shared" si="73"/>
        <v>1.1551696561574947E-5</v>
      </c>
      <c r="DV15" s="49">
        <f t="shared" si="74"/>
        <v>1.1517160881636745E-5</v>
      </c>
      <c r="DW15" s="47">
        <f t="shared" si="75"/>
        <v>4.7244094488188976E-2</v>
      </c>
      <c r="DY15" s="54">
        <f>VLOOKUP(A15,'[3]Barnet Schools'!$E$8:$V$130,17,0)</f>
        <v>24</v>
      </c>
    </row>
    <row r="16" spans="1:256">
      <c r="A16" s="77">
        <v>2003</v>
      </c>
      <c r="B16" s="78">
        <v>10045</v>
      </c>
      <c r="C16" s="589" t="s">
        <v>39</v>
      </c>
      <c r="D16" s="595">
        <f>VLOOKUP(A16,[4]CFR20152016_BenchMarkDataReport!$B$3:$BO$99,18,0)</f>
        <v>1929323</v>
      </c>
      <c r="E16" s="595">
        <f>VLOOKUP(A16,[4]CFR20152016_BenchMarkDataReport!$B$3:$BO$99,19,0)</f>
        <v>0</v>
      </c>
      <c r="F16" s="595">
        <f>VLOOKUP(A16,[4]CFR20152016_BenchMarkDataReport!$B$3:$BO$99,20,0)</f>
        <v>66319</v>
      </c>
      <c r="G16" s="595">
        <f>VLOOKUP(A16,[4]CFR20152016_BenchMarkDataReport!$B$3:$BO$99,21,0)</f>
        <v>0</v>
      </c>
      <c r="H16" s="595">
        <f>VLOOKUP(A16,[4]CFR20152016_BenchMarkDataReport!$B$3:$BO$99,22,0)</f>
        <v>234140</v>
      </c>
      <c r="I16" s="595">
        <f>VLOOKUP(A16,[4]CFR20152016_BenchMarkDataReport!$B$3:$BO$99,23,0)</f>
        <v>1500</v>
      </c>
      <c r="J16" s="595">
        <f>VLOOKUP(A16,[4]CFR20152016_BenchMarkDataReport!$B$3:$BO$99,24,0)</f>
        <v>5390.6</v>
      </c>
      <c r="K16" s="595">
        <f>VLOOKUP(A16,[4]CFR20152016_BenchMarkDataReport!$B$3:$BO$99,25,0)</f>
        <v>55362.28</v>
      </c>
      <c r="L16" s="595">
        <f>VLOOKUP(A16,[4]CFR20152016_BenchMarkDataReport!$B$3:$BO$99,26,0)</f>
        <v>29175.26</v>
      </c>
      <c r="M16" s="595">
        <f>VLOOKUP(A16,[4]CFR20152016_BenchMarkDataReport!$B$3:$BO$99,27,0)</f>
        <v>10431</v>
      </c>
      <c r="N16" s="595">
        <f>VLOOKUP(A16,[4]CFR20152016_BenchMarkDataReport!$B$3:$BO$99,28,0)</f>
        <v>1797.08</v>
      </c>
      <c r="O16" s="595">
        <f>VLOOKUP(A16,[4]CFR20152016_BenchMarkDataReport!$B$3:$BO$99,29,0)</f>
        <v>15555.12</v>
      </c>
      <c r="P16" s="595">
        <f>VLOOKUP(A16,[4]CFR20152016_BenchMarkDataReport!$B$3:$BO$99,30,0)</f>
        <v>3124.42</v>
      </c>
      <c r="Q16" s="595">
        <f>VLOOKUP(A16,[4]CFR20152016_BenchMarkDataReport!$B$3:$BO$99,31,0)</f>
        <v>0</v>
      </c>
      <c r="R16" s="595">
        <f>VLOOKUP(A16,[4]CFR20152016_BenchMarkDataReport!$B$3:$BO$99,32,0)</f>
        <v>240744.6</v>
      </c>
      <c r="S16" s="595">
        <f>VLOOKUP(A16,[4]CFR20152016_BenchMarkDataReport!$B$3:$BO$99,33,0)</f>
        <v>7214.91</v>
      </c>
      <c r="T16" s="595">
        <f>VLOOKUP(A16,[4]CFR20152016_BenchMarkDataReport!$B$3:$BO$99,34,0)</f>
        <v>52821.23</v>
      </c>
      <c r="U16" s="595">
        <f>VLOOKUP(A16,[4]CFR20152016_BenchMarkDataReport!$B$3:$BO$99,35,0)</f>
        <v>1009129.84</v>
      </c>
      <c r="V16" s="595">
        <f>VLOOKUP(A16,[4]CFR20152016_BenchMarkDataReport!$B$3:$BO$99,36,0)</f>
        <v>18196.37</v>
      </c>
      <c r="W16" s="595">
        <f>VLOOKUP(A16,[4]CFR20152016_BenchMarkDataReport!$B$3:$BO$99,37,0)</f>
        <v>405692.37</v>
      </c>
      <c r="X16" s="595">
        <f>VLOOKUP(A16,[4]CFR20152016_BenchMarkDataReport!$B$3:$BO$99,38,0)</f>
        <v>44572.17</v>
      </c>
      <c r="Y16" s="595">
        <f>VLOOKUP(A16,[4]CFR20152016_BenchMarkDataReport!$B$3:$BO$99,39,0)</f>
        <v>78688.639999999999</v>
      </c>
      <c r="Z16" s="595">
        <f>VLOOKUP(A16,[4]CFR20152016_BenchMarkDataReport!$B$3:$BO$99,40,0)</f>
        <v>0</v>
      </c>
      <c r="AA16" s="595">
        <f>VLOOKUP(A16,[4]CFR20152016_BenchMarkDataReport!$B$3:$BO$99,41,0)</f>
        <v>57466.96</v>
      </c>
      <c r="AB16" s="595">
        <f>VLOOKUP(A16,[4]CFR20152016_BenchMarkDataReport!$B$3:$BO$99,42,0)</f>
        <v>27346.18</v>
      </c>
      <c r="AC16" s="595">
        <f>VLOOKUP(A16,[4]CFR20152016_BenchMarkDataReport!$B$3:$BO$99,43,0)</f>
        <v>19396.310000000001</v>
      </c>
      <c r="AD16" s="595">
        <f>VLOOKUP(A16,[4]CFR20152016_BenchMarkDataReport!$B$3:$BO$99,44,0)</f>
        <v>19333.04</v>
      </c>
      <c r="AE16" s="595">
        <f>VLOOKUP(A16,[4]CFR20152016_BenchMarkDataReport!$B$3:$BO$99,45,0)</f>
        <v>1561.14</v>
      </c>
      <c r="AF16" s="595">
        <f>VLOOKUP(A16,[4]CFR20152016_BenchMarkDataReport!$B$3:$BO$99,46,0)</f>
        <v>30480.23</v>
      </c>
      <c r="AG16" s="595">
        <f>VLOOKUP(A16,[4]CFR20152016_BenchMarkDataReport!$B$3:$BO$99,47,0)</f>
        <v>2768.42</v>
      </c>
      <c r="AH16" s="595">
        <f>VLOOKUP(A16,[4]CFR20152016_BenchMarkDataReport!$B$3:$BO$99,48,0)</f>
        <v>39321.46</v>
      </c>
      <c r="AI16" s="595">
        <f>VLOOKUP(A16,[4]CFR20152016_BenchMarkDataReport!$B$3:$BO$99,49,0)</f>
        <v>7499.36</v>
      </c>
      <c r="AJ16" s="595">
        <f>VLOOKUP(A16,[4]CFR20152016_BenchMarkDataReport!$B$3:$BO$99,50,0)</f>
        <v>24164.66</v>
      </c>
      <c r="AK16" s="595">
        <f>VLOOKUP(A16,[4]CFR20152016_BenchMarkDataReport!$B$3:$BO$99,51,0)</f>
        <v>11524.22</v>
      </c>
      <c r="AL16" s="595">
        <f>VLOOKUP(A16,[4]CFR20152016_BenchMarkDataReport!$B$3:$BO$99,52,0)</f>
        <v>8105.89</v>
      </c>
      <c r="AM16" s="595">
        <f>VLOOKUP(A16,[4]CFR20152016_BenchMarkDataReport!$B$3:$BO$99,53,0)</f>
        <v>85039.84</v>
      </c>
      <c r="AN16" s="595">
        <f>VLOOKUP(A16,[4]CFR20152016_BenchMarkDataReport!$B$3:$BO$99,54,0)</f>
        <v>21997.81</v>
      </c>
      <c r="AO16" s="595">
        <f>VLOOKUP(A16,[4]CFR20152016_BenchMarkDataReport!$B$3:$BO$99,55,0)</f>
        <v>0</v>
      </c>
      <c r="AP16" s="595">
        <f>VLOOKUP(A16,[4]CFR20152016_BenchMarkDataReport!$B$3:$BO$99,56,0)</f>
        <v>52902.25</v>
      </c>
      <c r="AQ16" s="595">
        <f>VLOOKUP(A16,[4]CFR20152016_BenchMarkDataReport!$B$3:$BO$99,57,0)</f>
        <v>8218.6</v>
      </c>
      <c r="AR16" s="595">
        <f>VLOOKUP(A16,[4]CFR20152016_BenchMarkDataReport!$B$3:$BO$99,58,0)</f>
        <v>15961.82</v>
      </c>
      <c r="AS16" s="595">
        <f>VLOOKUP(A16,[4]CFR20152016_BenchMarkDataReport!$B$3:$BO$99,59,0)</f>
        <v>106369.15</v>
      </c>
      <c r="AT16" s="595">
        <f>VLOOKUP(A16,[4]CFR20152016_BenchMarkDataReport!$B$3:$BO$99,60,0)</f>
        <v>73879</v>
      </c>
      <c r="AU16" s="595">
        <f>VLOOKUP(A16,[4]CFR20152016_BenchMarkDataReport!$B$3:$BO$99,61,0)</f>
        <v>202821.69</v>
      </c>
      <c r="AV16" s="595">
        <f>VLOOKUP(A16,[4]CFR20152016_BenchMarkDataReport!$B$3:$BO$99,62,0)</f>
        <v>40476.800000000003</v>
      </c>
      <c r="AW16" s="595">
        <f>VLOOKUP(A16,[4]CFR20152016_BenchMarkDataReport!$B$3:$BO$99,63,0)</f>
        <v>0</v>
      </c>
      <c r="AX16" s="595">
        <f>VLOOKUP(A16,[4]CFR20152016_BenchMarkDataReport!$B$3:$BO$99,64,0)</f>
        <v>1901.77</v>
      </c>
      <c r="AY16" s="595">
        <f>VLOOKUP(A16,[4]CFR20152016_BenchMarkDataReport!$B$3:$BO$99,65,0)</f>
        <v>208067.43</v>
      </c>
      <c r="AZ16" s="595">
        <f>VLOOKUP(A16,[4]CFR20152016_BenchMarkDataReport!$B$3:$BO$99,66,0)</f>
        <v>25105.84</v>
      </c>
      <c r="BA16" s="596">
        <f t="shared" si="0"/>
        <v>2404938.9899999998</v>
      </c>
      <c r="BB16" s="595">
        <f t="shared" si="42"/>
        <v>2414815.9899999993</v>
      </c>
      <c r="BC16" s="600">
        <f t="shared" si="43"/>
        <v>-9876.9999999995343</v>
      </c>
      <c r="BD16" s="595">
        <f>VLOOKUP(A16,[4]CFR20152016_BenchMarkDataReport!$B$3:$BO$99,15,0)</f>
        <v>54737</v>
      </c>
      <c r="BE16" s="600">
        <f t="shared" si="1"/>
        <v>44860.000000000466</v>
      </c>
      <c r="BF16" s="76">
        <f>VLOOKUP(A16,'OCT 15 CENSUS'!$B$9:$U$132,20,0)</f>
        <v>442</v>
      </c>
      <c r="BG16" s="73">
        <f>VLOOKUP(A16,'[2]BUDGET SHARE inc ADJUSTMENTS'!$D$4:$M$139,10,0)</f>
        <v>2284459.343179815</v>
      </c>
      <c r="BH16" s="76">
        <f>VLOOKUP(A16,'12-13 Pupil Data'!A:CI,81,0)</f>
        <v>2198</v>
      </c>
      <c r="BI16" t="s">
        <v>210</v>
      </c>
      <c r="BJ16" s="44">
        <f t="shared" si="44"/>
        <v>0.80223365666336521</v>
      </c>
      <c r="BK16" s="45">
        <f t="shared" si="45"/>
        <v>4364.9841628959275</v>
      </c>
      <c r="BL16" s="44">
        <f t="shared" si="46"/>
        <v>0</v>
      </c>
      <c r="BM16" s="45">
        <f t="shared" si="47"/>
        <v>0</v>
      </c>
      <c r="BN16" s="44">
        <f t="shared" si="48"/>
        <v>2.7576167327221887E-2</v>
      </c>
      <c r="BO16" s="45">
        <f t="shared" si="49"/>
        <v>150.04298642533936</v>
      </c>
      <c r="BP16" s="44">
        <f t="shared" si="50"/>
        <v>0</v>
      </c>
      <c r="BQ16" s="45">
        <f t="shared" si="51"/>
        <v>0</v>
      </c>
      <c r="BR16" s="44">
        <f t="shared" si="52"/>
        <v>9.7357979131104708E-2</v>
      </c>
      <c r="BS16" s="45">
        <f t="shared" si="53"/>
        <v>529.72850678733028</v>
      </c>
      <c r="BT16" s="44">
        <f t="shared" si="54"/>
        <v>6.2371644612905554E-4</v>
      </c>
      <c r="BU16" s="45">
        <f t="shared" si="55"/>
        <v>3.3936651583710407</v>
      </c>
      <c r="BV16" s="44">
        <f t="shared" si="56"/>
        <v>2.2414705830021914E-3</v>
      </c>
      <c r="BW16" s="45">
        <f t="shared" si="57"/>
        <v>12.195927601809956</v>
      </c>
      <c r="BX16" s="44">
        <f t="shared" si="58"/>
        <v>2.3020243020801124E-2</v>
      </c>
      <c r="BY16" s="45">
        <f t="shared" si="59"/>
        <v>125.25402714932126</v>
      </c>
      <c r="BZ16" s="46">
        <f t="shared" si="60"/>
        <v>6.4679894436739964E-3</v>
      </c>
      <c r="CA16" s="47">
        <f t="shared" si="61"/>
        <v>35.192579185520366</v>
      </c>
      <c r="CB16" s="44">
        <f t="shared" si="62"/>
        <v>1.2991680924096958E-3</v>
      </c>
      <c r="CC16" s="48">
        <f t="shared" si="63"/>
        <v>7.0688235294117652</v>
      </c>
      <c r="CD16" s="46">
        <f t="shared" si="64"/>
        <v>0.48204193840770909</v>
      </c>
      <c r="CE16" s="49">
        <f t="shared" si="65"/>
        <v>0.45789320002666684</v>
      </c>
      <c r="CF16" s="49">
        <f t="shared" si="66"/>
        <v>0.45602034049807677</v>
      </c>
      <c r="CG16" s="47">
        <f t="shared" si="67"/>
        <v>2491.4145022624434</v>
      </c>
      <c r="CH16" s="44">
        <f t="shared" si="2"/>
        <v>0.17758791427441351</v>
      </c>
      <c r="CI16" s="50">
        <f t="shared" si="3"/>
        <v>0.16869133549204923</v>
      </c>
      <c r="CJ16" s="50">
        <f t="shared" si="4"/>
        <v>0.16800135980547326</v>
      </c>
      <c r="CK16" s="45">
        <f t="shared" si="5"/>
        <v>917.85604072398189</v>
      </c>
      <c r="CL16" s="46">
        <f t="shared" si="6"/>
        <v>1.9511036663037527E-2</v>
      </c>
      <c r="CM16" s="49">
        <f t="shared" si="68"/>
        <v>1.8533596979106736E-2</v>
      </c>
      <c r="CN16" s="49">
        <f t="shared" si="69"/>
        <v>1.8457791477519581E-2</v>
      </c>
      <c r="CO16" s="47">
        <f t="shared" si="70"/>
        <v>100.84201357466063</v>
      </c>
      <c r="CP16" s="44">
        <f t="shared" si="7"/>
        <v>3.4445191697073788E-2</v>
      </c>
      <c r="CQ16" s="50">
        <f t="shared" si="8"/>
        <v>3.2719599261019097E-2</v>
      </c>
      <c r="CR16" s="50">
        <f t="shared" si="71"/>
        <v>3.2585770644992303E-2</v>
      </c>
      <c r="CS16" s="45">
        <f t="shared" si="9"/>
        <v>178.02859728506786</v>
      </c>
      <c r="CT16" s="46">
        <f t="shared" si="10"/>
        <v>0.7064018691415066</v>
      </c>
      <c r="CU16" s="49">
        <f t="shared" si="11"/>
        <v>0.67101342558382326</v>
      </c>
      <c r="CV16" s="49">
        <f t="shared" si="12"/>
        <v>0.66826886880105529</v>
      </c>
      <c r="CW16" s="47">
        <f t="shared" si="13"/>
        <v>3651.0098416289588</v>
      </c>
      <c r="CX16" s="44">
        <f t="shared" si="14"/>
        <v>1.3342426115394794E-2</v>
      </c>
      <c r="CY16" s="50">
        <f t="shared" si="15"/>
        <v>1.262217499230656E-2</v>
      </c>
      <c r="CZ16" s="48">
        <f t="shared" si="16"/>
        <v>13.867256596906278</v>
      </c>
      <c r="DA16" s="45">
        <f t="shared" si="17"/>
        <v>68.959796380090495</v>
      </c>
      <c r="DB16" s="51">
        <f t="shared" si="18"/>
        <v>3.1055616788424538E-3</v>
      </c>
      <c r="DC16" s="52">
        <f t="shared" si="19"/>
        <v>16.966877828054297</v>
      </c>
      <c r="DD16" s="44">
        <f t="shared" si="20"/>
        <v>1.0577846382840154E-2</v>
      </c>
      <c r="DE16" s="50">
        <f t="shared" si="21"/>
        <v>1.0006832860171681E-2</v>
      </c>
      <c r="DF16" s="48">
        <f t="shared" si="22"/>
        <v>10.99393084622384</v>
      </c>
      <c r="DG16" s="45">
        <f t="shared" si="23"/>
        <v>54.671176470588236</v>
      </c>
      <c r="DH16" s="46">
        <f t="shared" si="24"/>
        <v>3.5482750105401929E-3</v>
      </c>
      <c r="DI16" s="49">
        <f t="shared" si="25"/>
        <v>3.356731955381827E-3</v>
      </c>
      <c r="DJ16" s="47">
        <f t="shared" si="26"/>
        <v>3.6878480436760692</v>
      </c>
      <c r="DK16" s="44">
        <f t="shared" si="27"/>
        <v>3.7225368117792902E-2</v>
      </c>
      <c r="DL16" s="50">
        <f t="shared" si="28"/>
        <v>3.536049785612233E-2</v>
      </c>
      <c r="DM16" s="50">
        <f t="shared" si="29"/>
        <v>3.5215867524547917E-2</v>
      </c>
      <c r="DN16" s="45">
        <f t="shared" si="30"/>
        <v>192.39782805429863</v>
      </c>
      <c r="DO16" s="46">
        <f t="shared" si="31"/>
        <v>2.3157448679460235E-2</v>
      </c>
      <c r="DP16" s="49">
        <f t="shared" si="32"/>
        <v>2.1907362804898446E-2</v>
      </c>
      <c r="DQ16" s="47">
        <f t="shared" si="33"/>
        <v>119.6883484162896</v>
      </c>
      <c r="DR16" s="53">
        <f t="shared" si="34"/>
        <v>4.4048552949991035E-2</v>
      </c>
      <c r="DS16" s="45">
        <f t="shared" si="35"/>
        <v>240.65418552036198</v>
      </c>
      <c r="DT16" s="46">
        <f t="shared" si="72"/>
        <v>7.7480039436214179E-5</v>
      </c>
      <c r="DU16" s="49">
        <f t="shared" si="73"/>
        <v>7.3598540643228546E-5</v>
      </c>
      <c r="DV16" s="49">
        <f t="shared" si="74"/>
        <v>7.3297510341564391E-5</v>
      </c>
      <c r="DW16" s="47">
        <f t="shared" si="75"/>
        <v>0.40045248868778283</v>
      </c>
      <c r="DY16" s="54">
        <f>VLOOKUP(A16,'[3]Barnet Schools'!$E$8:$V$130,17,0)</f>
        <v>177</v>
      </c>
    </row>
    <row r="17" spans="1:129">
      <c r="A17" s="77">
        <v>3511</v>
      </c>
      <c r="B17" s="78">
        <v>10115</v>
      </c>
      <c r="C17" s="589" t="s">
        <v>40</v>
      </c>
      <c r="D17" s="595">
        <f>VLOOKUP(A17,[4]CFR20152016_BenchMarkDataReport!$B$3:$BO$99,18,0)</f>
        <v>1617404.01</v>
      </c>
      <c r="E17" s="595">
        <f>VLOOKUP(A17,[4]CFR20152016_BenchMarkDataReport!$B$3:$BO$99,19,0)</f>
        <v>0</v>
      </c>
      <c r="F17" s="595">
        <f>VLOOKUP(A17,[4]CFR20152016_BenchMarkDataReport!$B$3:$BO$99,20,0)</f>
        <v>125671</v>
      </c>
      <c r="G17" s="595">
        <f>VLOOKUP(A17,[4]CFR20152016_BenchMarkDataReport!$B$3:$BO$99,21,0)</f>
        <v>0</v>
      </c>
      <c r="H17" s="595">
        <f>VLOOKUP(A17,[4]CFR20152016_BenchMarkDataReport!$B$3:$BO$99,22,0)</f>
        <v>136220</v>
      </c>
      <c r="I17" s="595">
        <f>VLOOKUP(A17,[4]CFR20152016_BenchMarkDataReport!$B$3:$BO$99,23,0)</f>
        <v>3900</v>
      </c>
      <c r="J17" s="595">
        <f>VLOOKUP(A17,[4]CFR20152016_BenchMarkDataReport!$B$3:$BO$99,24,0)</f>
        <v>800</v>
      </c>
      <c r="K17" s="595">
        <f>VLOOKUP(A17,[4]CFR20152016_BenchMarkDataReport!$B$3:$BO$99,25,0)</f>
        <v>43022.69</v>
      </c>
      <c r="L17" s="595">
        <f>VLOOKUP(A17,[4]CFR20152016_BenchMarkDataReport!$B$3:$BO$99,26,0)</f>
        <v>32165</v>
      </c>
      <c r="M17" s="595">
        <f>VLOOKUP(A17,[4]CFR20152016_BenchMarkDataReport!$B$3:$BO$99,27,0)</f>
        <v>1620</v>
      </c>
      <c r="N17" s="595">
        <f>VLOOKUP(A17,[4]CFR20152016_BenchMarkDataReport!$B$3:$BO$99,28,0)</f>
        <v>200</v>
      </c>
      <c r="O17" s="595">
        <f>VLOOKUP(A17,[4]CFR20152016_BenchMarkDataReport!$B$3:$BO$99,29,0)</f>
        <v>30301</v>
      </c>
      <c r="P17" s="595">
        <f>VLOOKUP(A17,[4]CFR20152016_BenchMarkDataReport!$B$3:$BO$99,30,0)</f>
        <v>0</v>
      </c>
      <c r="Q17" s="595">
        <f>VLOOKUP(A17,[4]CFR20152016_BenchMarkDataReport!$B$3:$BO$99,31,0)</f>
        <v>0</v>
      </c>
      <c r="R17" s="595">
        <f>VLOOKUP(A17,[4]CFR20152016_BenchMarkDataReport!$B$3:$BO$99,32,0)</f>
        <v>0</v>
      </c>
      <c r="S17" s="595">
        <f>VLOOKUP(A17,[4]CFR20152016_BenchMarkDataReport!$B$3:$BO$99,33,0)</f>
        <v>0</v>
      </c>
      <c r="T17" s="595">
        <f>VLOOKUP(A17,[4]CFR20152016_BenchMarkDataReport!$B$3:$BO$99,34,0)</f>
        <v>53807.59</v>
      </c>
      <c r="U17" s="595">
        <f>VLOOKUP(A17,[4]CFR20152016_BenchMarkDataReport!$B$3:$BO$99,35,0)</f>
        <v>791514.81</v>
      </c>
      <c r="V17" s="595">
        <f>VLOOKUP(A17,[4]CFR20152016_BenchMarkDataReport!$B$3:$BO$99,36,0)</f>
        <v>31859.98</v>
      </c>
      <c r="W17" s="595">
        <f>VLOOKUP(A17,[4]CFR20152016_BenchMarkDataReport!$B$3:$BO$99,37,0)</f>
        <v>345003.57</v>
      </c>
      <c r="X17" s="595">
        <f>VLOOKUP(A17,[4]CFR20152016_BenchMarkDataReport!$B$3:$BO$99,38,0)</f>
        <v>40270.089999999997</v>
      </c>
      <c r="Y17" s="595">
        <f>VLOOKUP(A17,[4]CFR20152016_BenchMarkDataReport!$B$3:$BO$99,39,0)</f>
        <v>93774.3</v>
      </c>
      <c r="Z17" s="595">
        <f>VLOOKUP(A17,[4]CFR20152016_BenchMarkDataReport!$B$3:$BO$99,40,0)</f>
        <v>0</v>
      </c>
      <c r="AA17" s="595">
        <f>VLOOKUP(A17,[4]CFR20152016_BenchMarkDataReport!$B$3:$BO$99,41,0)</f>
        <v>41355.57</v>
      </c>
      <c r="AB17" s="595">
        <f>VLOOKUP(A17,[4]CFR20152016_BenchMarkDataReport!$B$3:$BO$99,42,0)</f>
        <v>9682.75</v>
      </c>
      <c r="AC17" s="595">
        <f>VLOOKUP(A17,[4]CFR20152016_BenchMarkDataReport!$B$3:$BO$99,43,0)</f>
        <v>30256.7</v>
      </c>
      <c r="AD17" s="595">
        <f>VLOOKUP(A17,[4]CFR20152016_BenchMarkDataReport!$B$3:$BO$99,44,0)</f>
        <v>10870.95</v>
      </c>
      <c r="AE17" s="595">
        <f>VLOOKUP(A17,[4]CFR20152016_BenchMarkDataReport!$B$3:$BO$99,45,0)</f>
        <v>1411.2</v>
      </c>
      <c r="AF17" s="595">
        <f>VLOOKUP(A17,[4]CFR20152016_BenchMarkDataReport!$B$3:$BO$99,46,0)</f>
        <v>15234.28</v>
      </c>
      <c r="AG17" s="595">
        <f>VLOOKUP(A17,[4]CFR20152016_BenchMarkDataReport!$B$3:$BO$99,47,0)</f>
        <v>2959.62</v>
      </c>
      <c r="AH17" s="595">
        <f>VLOOKUP(A17,[4]CFR20152016_BenchMarkDataReport!$B$3:$BO$99,48,0)</f>
        <v>24163.45</v>
      </c>
      <c r="AI17" s="595">
        <f>VLOOKUP(A17,[4]CFR20152016_BenchMarkDataReport!$B$3:$BO$99,49,0)</f>
        <v>-1145.1400000000001</v>
      </c>
      <c r="AJ17" s="595">
        <f>VLOOKUP(A17,[4]CFR20152016_BenchMarkDataReport!$B$3:$BO$99,50,0)</f>
        <v>11753.1</v>
      </c>
      <c r="AK17" s="595">
        <f>VLOOKUP(A17,[4]CFR20152016_BenchMarkDataReport!$B$3:$BO$99,51,0)</f>
        <v>0</v>
      </c>
      <c r="AL17" s="595">
        <f>VLOOKUP(A17,[4]CFR20152016_BenchMarkDataReport!$B$3:$BO$99,52,0)</f>
        <v>20847.150000000001</v>
      </c>
      <c r="AM17" s="595">
        <f>VLOOKUP(A17,[4]CFR20152016_BenchMarkDataReport!$B$3:$BO$99,53,0)</f>
        <v>99790.74</v>
      </c>
      <c r="AN17" s="595">
        <f>VLOOKUP(A17,[4]CFR20152016_BenchMarkDataReport!$B$3:$BO$99,54,0)</f>
        <v>38737.53</v>
      </c>
      <c r="AO17" s="595">
        <f>VLOOKUP(A17,[4]CFR20152016_BenchMarkDataReport!$B$3:$BO$99,55,0)</f>
        <v>0</v>
      </c>
      <c r="AP17" s="595">
        <f>VLOOKUP(A17,[4]CFR20152016_BenchMarkDataReport!$B$3:$BO$99,56,0)</f>
        <v>23679.14</v>
      </c>
      <c r="AQ17" s="595">
        <f>VLOOKUP(A17,[4]CFR20152016_BenchMarkDataReport!$B$3:$BO$99,57,0)</f>
        <v>8502.7800000000007</v>
      </c>
      <c r="AR17" s="595">
        <f>VLOOKUP(A17,[4]CFR20152016_BenchMarkDataReport!$B$3:$BO$99,58,0)</f>
        <v>60256.05</v>
      </c>
      <c r="AS17" s="595">
        <f>VLOOKUP(A17,[4]CFR20152016_BenchMarkDataReport!$B$3:$BO$99,59,0)</f>
        <v>104281.11</v>
      </c>
      <c r="AT17" s="595">
        <f>VLOOKUP(A17,[4]CFR20152016_BenchMarkDataReport!$B$3:$BO$99,60,0)</f>
        <v>55996</v>
      </c>
      <c r="AU17" s="595">
        <f>VLOOKUP(A17,[4]CFR20152016_BenchMarkDataReport!$B$3:$BO$99,61,0)</f>
        <v>184821.98</v>
      </c>
      <c r="AV17" s="595">
        <f>VLOOKUP(A17,[4]CFR20152016_BenchMarkDataReport!$B$3:$BO$99,62,0)</f>
        <v>24576.58</v>
      </c>
      <c r="AW17" s="595">
        <f>VLOOKUP(A17,[4]CFR20152016_BenchMarkDataReport!$B$3:$BO$99,63,0)</f>
        <v>0</v>
      </c>
      <c r="AX17" s="595">
        <f>VLOOKUP(A17,[4]CFR20152016_BenchMarkDataReport!$B$3:$BO$99,64,0)</f>
        <v>9585</v>
      </c>
      <c r="AY17" s="595">
        <f>VLOOKUP(A17,[4]CFR20152016_BenchMarkDataReport!$B$3:$BO$99,65,0)</f>
        <v>0</v>
      </c>
      <c r="AZ17" s="595">
        <f>VLOOKUP(A17,[4]CFR20152016_BenchMarkDataReport!$B$3:$BO$99,66,0)</f>
        <v>0</v>
      </c>
      <c r="BA17" s="596">
        <f t="shared" si="0"/>
        <v>2045111.29</v>
      </c>
      <c r="BB17" s="595">
        <f t="shared" si="42"/>
        <v>2080039.2900000005</v>
      </c>
      <c r="BC17" s="600">
        <f t="shared" si="43"/>
        <v>-34928.000000000466</v>
      </c>
      <c r="BD17" s="595">
        <f>VLOOKUP(A17,[4]CFR20152016_BenchMarkDataReport!$B$3:$BO$99,15,0)</f>
        <v>141909</v>
      </c>
      <c r="BE17" s="600">
        <f t="shared" si="1"/>
        <v>106980.99999999953</v>
      </c>
      <c r="BF17" s="76">
        <f>VLOOKUP(A17,'OCT 15 CENSUS'!$B$9:$U$132,20,0)</f>
        <v>389</v>
      </c>
      <c r="BG17" s="73">
        <f>VLOOKUP(A17,'[2]BUDGET SHARE inc ADJUSTMENTS'!$D$4:$M$139,10,0)</f>
        <v>1929674.9400431693</v>
      </c>
      <c r="BH17" s="76">
        <f>VLOOKUP(A17,'12-13 Pupil Data'!A:CI,81,0)</f>
        <v>1337.5</v>
      </c>
      <c r="BI17" t="s">
        <v>210</v>
      </c>
      <c r="BJ17" s="44">
        <f t="shared" si="44"/>
        <v>0.79086356713624129</v>
      </c>
      <c r="BK17" s="45">
        <f t="shared" si="45"/>
        <v>4157.8509254498713</v>
      </c>
      <c r="BL17" s="44">
        <f t="shared" si="46"/>
        <v>0</v>
      </c>
      <c r="BM17" s="45">
        <f t="shared" si="47"/>
        <v>0</v>
      </c>
      <c r="BN17" s="44">
        <f t="shared" si="48"/>
        <v>6.1449467622859778E-2</v>
      </c>
      <c r="BO17" s="45">
        <f t="shared" si="49"/>
        <v>323.06169665809767</v>
      </c>
      <c r="BP17" s="44">
        <f t="shared" si="50"/>
        <v>0</v>
      </c>
      <c r="BQ17" s="45">
        <f t="shared" si="51"/>
        <v>0</v>
      </c>
      <c r="BR17" s="44">
        <f t="shared" si="52"/>
        <v>6.660762212114138E-2</v>
      </c>
      <c r="BS17" s="45">
        <f t="shared" si="53"/>
        <v>350.17994858611826</v>
      </c>
      <c r="BT17" s="44">
        <f t="shared" si="54"/>
        <v>1.9069866853064998E-3</v>
      </c>
      <c r="BU17" s="45">
        <f t="shared" si="55"/>
        <v>10.025706940874036</v>
      </c>
      <c r="BV17" s="44">
        <f t="shared" si="56"/>
        <v>3.9117675596030767E-4</v>
      </c>
      <c r="BW17" s="45">
        <f t="shared" si="57"/>
        <v>2.0565552699228791</v>
      </c>
      <c r="BX17" s="44">
        <f t="shared" si="58"/>
        <v>2.1036845383607464E-2</v>
      </c>
      <c r="BY17" s="45">
        <f t="shared" si="59"/>
        <v>110.59817480719795</v>
      </c>
      <c r="BZ17" s="46">
        <f t="shared" si="60"/>
        <v>1.4816308602941603E-2</v>
      </c>
      <c r="CA17" s="47">
        <f t="shared" si="61"/>
        <v>77.894601542416453</v>
      </c>
      <c r="CB17" s="44">
        <f t="shared" si="62"/>
        <v>0</v>
      </c>
      <c r="CC17" s="48">
        <f t="shared" si="63"/>
        <v>0</v>
      </c>
      <c r="CD17" s="46">
        <f t="shared" si="64"/>
        <v>0.45570928644610342</v>
      </c>
      <c r="CE17" s="49">
        <f t="shared" si="65"/>
        <v>0.42998676614806619</v>
      </c>
      <c r="CF17" s="49">
        <f t="shared" si="66"/>
        <v>0.42276643245522533</v>
      </c>
      <c r="CG17" s="47">
        <f t="shared" si="67"/>
        <v>2260.5932904884321</v>
      </c>
      <c r="CH17" s="44">
        <f t="shared" si="2"/>
        <v>0.17878843884052401</v>
      </c>
      <c r="CI17" s="50">
        <f t="shared" si="3"/>
        <v>0.16869672163415617</v>
      </c>
      <c r="CJ17" s="50">
        <f t="shared" si="4"/>
        <v>0.1658639678868758</v>
      </c>
      <c r="CK17" s="45">
        <f t="shared" si="5"/>
        <v>886.89863753213365</v>
      </c>
      <c r="CL17" s="46">
        <f t="shared" si="6"/>
        <v>2.0868846438509017E-2</v>
      </c>
      <c r="CM17" s="49">
        <f t="shared" si="68"/>
        <v>1.9690903960537031E-2</v>
      </c>
      <c r="CN17" s="49">
        <f t="shared" si="69"/>
        <v>1.9360254488269779E-2</v>
      </c>
      <c r="CO17" s="47">
        <f t="shared" si="70"/>
        <v>103.52208226221079</v>
      </c>
      <c r="CP17" s="44">
        <f t="shared" si="7"/>
        <v>4.8595904965165866E-2</v>
      </c>
      <c r="CQ17" s="50">
        <f t="shared" si="8"/>
        <v>4.5852908083060848E-2</v>
      </c>
      <c r="CR17" s="50">
        <f t="shared" si="71"/>
        <v>4.508294648607334E-2</v>
      </c>
      <c r="CS17" s="45">
        <f t="shared" si="9"/>
        <v>241.06503856041132</v>
      </c>
      <c r="CT17" s="46">
        <f t="shared" si="10"/>
        <v>0.69637548382627501</v>
      </c>
      <c r="CU17" s="49">
        <f t="shared" si="11"/>
        <v>0.65706855493424043</v>
      </c>
      <c r="CV17" s="49">
        <f t="shared" si="12"/>
        <v>0.64603506600108496</v>
      </c>
      <c r="CW17" s="47">
        <f t="shared" si="13"/>
        <v>3454.4429820051423</v>
      </c>
      <c r="CX17" s="44">
        <f t="shared" si="14"/>
        <v>7.8947389966411603E-3</v>
      </c>
      <c r="CY17" s="50">
        <f t="shared" si="15"/>
        <v>7.3240347301324277E-3</v>
      </c>
      <c r="CZ17" s="48">
        <f t="shared" si="16"/>
        <v>11.390115887850468</v>
      </c>
      <c r="DA17" s="45">
        <f t="shared" si="17"/>
        <v>39.162673521850898</v>
      </c>
      <c r="DB17" s="51">
        <f t="shared" si="18"/>
        <v>-5.505376775839652E-4</v>
      </c>
      <c r="DC17" s="52">
        <f t="shared" si="19"/>
        <v>-2.9438046272493574</v>
      </c>
      <c r="DD17" s="44">
        <f t="shared" si="20"/>
        <v>6.0907149469107309E-3</v>
      </c>
      <c r="DE17" s="50">
        <f t="shared" si="21"/>
        <v>5.6504221129399903E-3</v>
      </c>
      <c r="DF17" s="48">
        <f t="shared" si="22"/>
        <v>8.7873644859813087</v>
      </c>
      <c r="DG17" s="45">
        <f t="shared" si="23"/>
        <v>30.213624678663241</v>
      </c>
      <c r="DH17" s="46">
        <f t="shared" si="24"/>
        <v>1.0803451694062847E-2</v>
      </c>
      <c r="DI17" s="49">
        <f t="shared" si="25"/>
        <v>1.0022478950385594E-2</v>
      </c>
      <c r="DJ17" s="47">
        <f t="shared" si="26"/>
        <v>15.586654205607477</v>
      </c>
      <c r="DK17" s="44">
        <f t="shared" si="27"/>
        <v>5.1713756513709797E-2</v>
      </c>
      <c r="DL17" s="50">
        <f t="shared" si="28"/>
        <v>4.8794772435098145E-2</v>
      </c>
      <c r="DM17" s="50">
        <f t="shared" si="29"/>
        <v>4.7975411079855125E-2</v>
      </c>
      <c r="DN17" s="45">
        <f t="shared" si="30"/>
        <v>256.53146529562986</v>
      </c>
      <c r="DO17" s="46">
        <f t="shared" si="31"/>
        <v>1.2271051205893915E-2</v>
      </c>
      <c r="DP17" s="49">
        <f t="shared" si="32"/>
        <v>1.1383986886132326E-2</v>
      </c>
      <c r="DQ17" s="47">
        <f t="shared" si="33"/>
        <v>60.871825192802056</v>
      </c>
      <c r="DR17" s="53">
        <f t="shared" si="34"/>
        <v>5.0134202032308714E-2</v>
      </c>
      <c r="DS17" s="45">
        <f t="shared" si="35"/>
        <v>268.07483290488432</v>
      </c>
      <c r="DT17" s="46">
        <f t="shared" si="72"/>
        <v>5.2340421645181596E-5</v>
      </c>
      <c r="DU17" s="49">
        <f t="shared" si="73"/>
        <v>4.9386065439988841E-5</v>
      </c>
      <c r="DV17" s="49">
        <f t="shared" si="74"/>
        <v>4.8556775098224211E-5</v>
      </c>
      <c r="DW17" s="47">
        <f t="shared" si="75"/>
        <v>0.25964010282776351</v>
      </c>
      <c r="DY17" s="54">
        <f>VLOOKUP(A17,'[3]Barnet Schools'!$E$8:$V$130,17,0)</f>
        <v>101</v>
      </c>
    </row>
    <row r="18" spans="1:129">
      <c r="A18" s="77">
        <v>2008</v>
      </c>
      <c r="B18" s="78">
        <v>10047</v>
      </c>
      <c r="C18" s="589" t="s">
        <v>42</v>
      </c>
      <c r="D18" s="595">
        <f>VLOOKUP(A18,[4]CFR20152016_BenchMarkDataReport!$B$3:$BO$99,18,0)</f>
        <v>1254390.25</v>
      </c>
      <c r="E18" s="595">
        <f>VLOOKUP(A18,[4]CFR20152016_BenchMarkDataReport!$B$3:$BO$99,19,0)</f>
        <v>0</v>
      </c>
      <c r="F18" s="595">
        <f>VLOOKUP(A18,[4]CFR20152016_BenchMarkDataReport!$B$3:$BO$99,20,0)</f>
        <v>78470</v>
      </c>
      <c r="G18" s="595">
        <f>VLOOKUP(A18,[4]CFR20152016_BenchMarkDataReport!$B$3:$BO$99,21,0)</f>
        <v>0</v>
      </c>
      <c r="H18" s="595">
        <f>VLOOKUP(A18,[4]CFR20152016_BenchMarkDataReport!$B$3:$BO$99,22,0)</f>
        <v>48840</v>
      </c>
      <c r="I18" s="595">
        <f>VLOOKUP(A18,[4]CFR20152016_BenchMarkDataReport!$B$3:$BO$99,23,0)</f>
        <v>670</v>
      </c>
      <c r="J18" s="595">
        <f>VLOOKUP(A18,[4]CFR20152016_BenchMarkDataReport!$B$3:$BO$99,24,0)</f>
        <v>1335</v>
      </c>
      <c r="K18" s="595">
        <f>VLOOKUP(A18,[4]CFR20152016_BenchMarkDataReport!$B$3:$BO$99,25,0)</f>
        <v>34666.04</v>
      </c>
      <c r="L18" s="595">
        <f>VLOOKUP(A18,[4]CFR20152016_BenchMarkDataReport!$B$3:$BO$99,26,0)</f>
        <v>4890.08</v>
      </c>
      <c r="M18" s="595">
        <f>VLOOKUP(A18,[4]CFR20152016_BenchMarkDataReport!$B$3:$BO$99,27,0)</f>
        <v>13303.8</v>
      </c>
      <c r="N18" s="595">
        <f>VLOOKUP(A18,[4]CFR20152016_BenchMarkDataReport!$B$3:$BO$99,28,0)</f>
        <v>775.81</v>
      </c>
      <c r="O18" s="595">
        <f>VLOOKUP(A18,[4]CFR20152016_BenchMarkDataReport!$B$3:$BO$99,29,0)</f>
        <v>24121.4</v>
      </c>
      <c r="P18" s="595">
        <f>VLOOKUP(A18,[4]CFR20152016_BenchMarkDataReport!$B$3:$BO$99,30,0)</f>
        <v>9376.68</v>
      </c>
      <c r="Q18" s="595">
        <f>VLOOKUP(A18,[4]CFR20152016_BenchMarkDataReport!$B$3:$BO$99,31,0)</f>
        <v>0</v>
      </c>
      <c r="R18" s="595">
        <f>VLOOKUP(A18,[4]CFR20152016_BenchMarkDataReport!$B$3:$BO$99,32,0)</f>
        <v>0</v>
      </c>
      <c r="S18" s="595">
        <f>VLOOKUP(A18,[4]CFR20152016_BenchMarkDataReport!$B$3:$BO$99,33,0)</f>
        <v>0</v>
      </c>
      <c r="T18" s="595">
        <f>VLOOKUP(A18,[4]CFR20152016_BenchMarkDataReport!$B$3:$BO$99,34,0)</f>
        <v>108335.58</v>
      </c>
      <c r="U18" s="595">
        <f>VLOOKUP(A18,[4]CFR20152016_BenchMarkDataReport!$B$3:$BO$99,35,0)</f>
        <v>676974.16</v>
      </c>
      <c r="V18" s="595">
        <f>VLOOKUP(A18,[4]CFR20152016_BenchMarkDataReport!$B$3:$BO$99,36,0)</f>
        <v>0</v>
      </c>
      <c r="W18" s="595">
        <f>VLOOKUP(A18,[4]CFR20152016_BenchMarkDataReport!$B$3:$BO$99,37,0)</f>
        <v>298599.01</v>
      </c>
      <c r="X18" s="595">
        <f>VLOOKUP(A18,[4]CFR20152016_BenchMarkDataReport!$B$3:$BO$99,38,0)</f>
        <v>36417.07</v>
      </c>
      <c r="Y18" s="595">
        <f>VLOOKUP(A18,[4]CFR20152016_BenchMarkDataReport!$B$3:$BO$99,39,0)</f>
        <v>62971</v>
      </c>
      <c r="Z18" s="595">
        <f>VLOOKUP(A18,[4]CFR20152016_BenchMarkDataReport!$B$3:$BO$99,40,0)</f>
        <v>0</v>
      </c>
      <c r="AA18" s="595">
        <f>VLOOKUP(A18,[4]CFR20152016_BenchMarkDataReport!$B$3:$BO$99,41,0)</f>
        <v>29639.59</v>
      </c>
      <c r="AB18" s="595">
        <f>VLOOKUP(A18,[4]CFR20152016_BenchMarkDataReport!$B$3:$BO$99,42,0)</f>
        <v>7370.78</v>
      </c>
      <c r="AC18" s="595">
        <f>VLOOKUP(A18,[4]CFR20152016_BenchMarkDataReport!$B$3:$BO$99,43,0)</f>
        <v>4658.96</v>
      </c>
      <c r="AD18" s="595">
        <f>VLOOKUP(A18,[4]CFR20152016_BenchMarkDataReport!$B$3:$BO$99,44,0)</f>
        <v>8768.98</v>
      </c>
      <c r="AE18" s="595">
        <f>VLOOKUP(A18,[4]CFR20152016_BenchMarkDataReport!$B$3:$BO$99,45,0)</f>
        <v>5732.2</v>
      </c>
      <c r="AF18" s="595">
        <f>VLOOKUP(A18,[4]CFR20152016_BenchMarkDataReport!$B$3:$BO$99,46,0)</f>
        <v>18955.740000000002</v>
      </c>
      <c r="AG18" s="595">
        <f>VLOOKUP(A18,[4]CFR20152016_BenchMarkDataReport!$B$3:$BO$99,47,0)</f>
        <v>3850.5</v>
      </c>
      <c r="AH18" s="595">
        <f>VLOOKUP(A18,[4]CFR20152016_BenchMarkDataReport!$B$3:$BO$99,48,0)</f>
        <v>16303.18</v>
      </c>
      <c r="AI18" s="595">
        <f>VLOOKUP(A18,[4]CFR20152016_BenchMarkDataReport!$B$3:$BO$99,49,0)</f>
        <v>4118.3100000000004</v>
      </c>
      <c r="AJ18" s="595">
        <f>VLOOKUP(A18,[4]CFR20152016_BenchMarkDataReport!$B$3:$BO$99,50,0)</f>
        <v>14875</v>
      </c>
      <c r="AK18" s="595">
        <f>VLOOKUP(A18,[4]CFR20152016_BenchMarkDataReport!$B$3:$BO$99,51,0)</f>
        <v>13582.25</v>
      </c>
      <c r="AL18" s="595">
        <f>VLOOKUP(A18,[4]CFR20152016_BenchMarkDataReport!$B$3:$BO$99,52,0)</f>
        <v>6955.65</v>
      </c>
      <c r="AM18" s="595">
        <f>VLOOKUP(A18,[4]CFR20152016_BenchMarkDataReport!$B$3:$BO$99,53,0)</f>
        <v>42349.31</v>
      </c>
      <c r="AN18" s="595">
        <f>VLOOKUP(A18,[4]CFR20152016_BenchMarkDataReport!$B$3:$BO$99,54,0)</f>
        <v>15700.91</v>
      </c>
      <c r="AO18" s="595">
        <f>VLOOKUP(A18,[4]CFR20152016_BenchMarkDataReport!$B$3:$BO$99,55,0)</f>
        <v>0</v>
      </c>
      <c r="AP18" s="595">
        <f>VLOOKUP(A18,[4]CFR20152016_BenchMarkDataReport!$B$3:$BO$99,56,0)</f>
        <v>8469.81</v>
      </c>
      <c r="AQ18" s="595">
        <f>VLOOKUP(A18,[4]CFR20152016_BenchMarkDataReport!$B$3:$BO$99,57,0)</f>
        <v>6087.46</v>
      </c>
      <c r="AR18" s="595">
        <f>VLOOKUP(A18,[4]CFR20152016_BenchMarkDataReport!$B$3:$BO$99,58,0)</f>
        <v>13998.18</v>
      </c>
      <c r="AS18" s="595">
        <f>VLOOKUP(A18,[4]CFR20152016_BenchMarkDataReport!$B$3:$BO$99,59,0)</f>
        <v>95094.73</v>
      </c>
      <c r="AT18" s="595">
        <f>VLOOKUP(A18,[4]CFR20152016_BenchMarkDataReport!$B$3:$BO$99,60,0)</f>
        <v>87624.95</v>
      </c>
      <c r="AU18" s="595">
        <f>VLOOKUP(A18,[4]CFR20152016_BenchMarkDataReport!$B$3:$BO$99,61,0)</f>
        <v>101004.11</v>
      </c>
      <c r="AV18" s="595">
        <f>VLOOKUP(A18,[4]CFR20152016_BenchMarkDataReport!$B$3:$BO$99,62,0)</f>
        <v>30156.799999999999</v>
      </c>
      <c r="AW18" s="595">
        <f>VLOOKUP(A18,[4]CFR20152016_BenchMarkDataReport!$B$3:$BO$99,63,0)</f>
        <v>0</v>
      </c>
      <c r="AX18" s="595">
        <f>VLOOKUP(A18,[4]CFR20152016_BenchMarkDataReport!$B$3:$BO$99,64,0)</f>
        <v>0</v>
      </c>
      <c r="AY18" s="595">
        <f>VLOOKUP(A18,[4]CFR20152016_BenchMarkDataReport!$B$3:$BO$99,65,0)</f>
        <v>0</v>
      </c>
      <c r="AZ18" s="595">
        <f>VLOOKUP(A18,[4]CFR20152016_BenchMarkDataReport!$B$3:$BO$99,66,0)</f>
        <v>0</v>
      </c>
      <c r="BA18" s="596">
        <f t="shared" si="0"/>
        <v>1579174.6400000001</v>
      </c>
      <c r="BB18" s="595">
        <f t="shared" si="42"/>
        <v>1610258.64</v>
      </c>
      <c r="BC18" s="600">
        <f t="shared" si="43"/>
        <v>-31083.999999999767</v>
      </c>
      <c r="BD18" s="595">
        <f>VLOOKUP(A18,[4]CFR20152016_BenchMarkDataReport!$B$3:$BO$99,15,0)</f>
        <v>58030</v>
      </c>
      <c r="BE18" s="600">
        <f t="shared" si="1"/>
        <v>26946.000000000233</v>
      </c>
      <c r="BF18" s="76">
        <f>VLOOKUP(A18,'OCT 15 CENSUS'!$B$9:$U$132,20,0)</f>
        <v>323</v>
      </c>
      <c r="BG18" s="73">
        <f>VLOOKUP(A18,'[2]BUDGET SHARE inc ADJUSTMENTS'!$D$4:$M$139,10,0)</f>
        <v>1498744.9568146744</v>
      </c>
      <c r="BH18" s="76">
        <f>VLOOKUP(A18,'12-13 Pupil Data'!A:CI,81,0)</f>
        <v>1735</v>
      </c>
      <c r="BI18" t="s">
        <v>210</v>
      </c>
      <c r="BJ18" s="44">
        <f t="shared" si="44"/>
        <v>0.79433282312588294</v>
      </c>
      <c r="BK18" s="45">
        <f t="shared" si="45"/>
        <v>3883.561145510836</v>
      </c>
      <c r="BL18" s="44">
        <f t="shared" si="46"/>
        <v>0</v>
      </c>
      <c r="BM18" s="45">
        <f t="shared" si="47"/>
        <v>0</v>
      </c>
      <c r="BN18" s="44">
        <f t="shared" si="48"/>
        <v>4.9690514280295174E-2</v>
      </c>
      <c r="BO18" s="45">
        <f t="shared" si="49"/>
        <v>242.94117647058823</v>
      </c>
      <c r="BP18" s="44">
        <f t="shared" si="50"/>
        <v>0</v>
      </c>
      <c r="BQ18" s="45">
        <f t="shared" si="51"/>
        <v>0</v>
      </c>
      <c r="BR18" s="44">
        <f t="shared" si="52"/>
        <v>3.0927548329930117E-2</v>
      </c>
      <c r="BS18" s="45">
        <f t="shared" si="53"/>
        <v>151.20743034055727</v>
      </c>
      <c r="BT18" s="44">
        <f t="shared" si="54"/>
        <v>4.2427226414932801E-4</v>
      </c>
      <c r="BU18" s="45">
        <f t="shared" si="55"/>
        <v>2.0743034055727554</v>
      </c>
      <c r="BV18" s="44">
        <f t="shared" si="56"/>
        <v>8.4537831737216851E-4</v>
      </c>
      <c r="BW18" s="45">
        <f t="shared" si="57"/>
        <v>4.1331269349845199</v>
      </c>
      <c r="BX18" s="44">
        <f t="shared" si="58"/>
        <v>2.1951998925210704E-2</v>
      </c>
      <c r="BY18" s="45">
        <f t="shared" si="59"/>
        <v>107.32520123839009</v>
      </c>
      <c r="BZ18" s="46">
        <f t="shared" si="60"/>
        <v>1.5274688048435226E-2</v>
      </c>
      <c r="CA18" s="47">
        <f t="shared" si="61"/>
        <v>74.679256965944276</v>
      </c>
      <c r="CB18" s="44">
        <f t="shared" si="62"/>
        <v>5.9377093340354046E-3</v>
      </c>
      <c r="CC18" s="48">
        <f t="shared" si="63"/>
        <v>29.029969040247678</v>
      </c>
      <c r="CD18" s="46">
        <f t="shared" si="64"/>
        <v>0.51015958820974072</v>
      </c>
      <c r="CE18" s="49">
        <f t="shared" si="65"/>
        <v>0.48417641129292699</v>
      </c>
      <c r="CF18" s="49">
        <f t="shared" si="66"/>
        <v>0.47482999998062425</v>
      </c>
      <c r="CG18" s="47">
        <f t="shared" si="67"/>
        <v>2367.1799071207429</v>
      </c>
      <c r="CH18" s="44">
        <f t="shared" si="2"/>
        <v>0.19923270376476931</v>
      </c>
      <c r="CI18" s="50">
        <f t="shared" si="3"/>
        <v>0.18908548962007141</v>
      </c>
      <c r="CJ18" s="50">
        <f t="shared" si="4"/>
        <v>0.18543543414864089</v>
      </c>
      <c r="CK18" s="45">
        <f t="shared" si="5"/>
        <v>924.45513931888547</v>
      </c>
      <c r="CL18" s="46">
        <f t="shared" si="6"/>
        <v>2.4298377008319175E-2</v>
      </c>
      <c r="CM18" s="49">
        <f t="shared" si="68"/>
        <v>2.306082498893219E-2</v>
      </c>
      <c r="CN18" s="49">
        <f t="shared" si="69"/>
        <v>2.261566502136576E-2</v>
      </c>
      <c r="CO18" s="47">
        <f t="shared" si="70"/>
        <v>112.74634674922601</v>
      </c>
      <c r="CP18" s="44">
        <f t="shared" si="7"/>
        <v>4.2015821113309412E-2</v>
      </c>
      <c r="CQ18" s="50">
        <f t="shared" si="8"/>
        <v>3.9875893650369157E-2</v>
      </c>
      <c r="CR18" s="50">
        <f t="shared" si="71"/>
        <v>3.9106140116720631E-2</v>
      </c>
      <c r="CS18" s="45">
        <f t="shared" si="9"/>
        <v>194.95665634674921</v>
      </c>
      <c r="CT18" s="46">
        <f t="shared" si="10"/>
        <v>0.73701721228649864</v>
      </c>
      <c r="CU18" s="49">
        <f t="shared" si="11"/>
        <v>0.6994798434706373</v>
      </c>
      <c r="CV18" s="49">
        <f t="shared" si="12"/>
        <v>0.68597727257032459</v>
      </c>
      <c r="CW18" s="47">
        <f t="shared" si="13"/>
        <v>3419.8168111455111</v>
      </c>
      <c r="CX18" s="44">
        <f t="shared" si="14"/>
        <v>1.2647742308529384E-2</v>
      </c>
      <c r="CY18" s="50">
        <f t="shared" si="15"/>
        <v>1.1771860450939734E-2</v>
      </c>
      <c r="CZ18" s="48">
        <f t="shared" si="16"/>
        <v>10.925498559077811</v>
      </c>
      <c r="DA18" s="45">
        <f t="shared" si="17"/>
        <v>58.686501547987618</v>
      </c>
      <c r="DB18" s="51">
        <f t="shared" si="18"/>
        <v>2.5575456623539686E-3</v>
      </c>
      <c r="DC18" s="52">
        <f t="shared" si="19"/>
        <v>12.750185758513933</v>
      </c>
      <c r="DD18" s="44">
        <f t="shared" si="20"/>
        <v>9.9249708446821159E-3</v>
      </c>
      <c r="DE18" s="50">
        <f t="shared" si="21"/>
        <v>9.237646444176198E-3</v>
      </c>
      <c r="DF18" s="48">
        <f t="shared" si="22"/>
        <v>8.5734870317002887</v>
      </c>
      <c r="DG18" s="45">
        <f t="shared" si="23"/>
        <v>46.05263157894737</v>
      </c>
      <c r="DH18" s="46">
        <f t="shared" si="24"/>
        <v>4.6409830894664304E-3</v>
      </c>
      <c r="DI18" s="49">
        <f t="shared" si="25"/>
        <v>4.3195855791216247E-3</v>
      </c>
      <c r="DJ18" s="47">
        <f t="shared" si="26"/>
        <v>4.0090201729106623</v>
      </c>
      <c r="DK18" s="44">
        <f t="shared" si="27"/>
        <v>2.8256515431422168E-2</v>
      </c>
      <c r="DL18" s="50">
        <f t="shared" si="28"/>
        <v>2.6817369610241459E-2</v>
      </c>
      <c r="DM18" s="50">
        <f t="shared" si="29"/>
        <v>2.6299694314945578E-2</v>
      </c>
      <c r="DN18" s="45">
        <f t="shared" si="30"/>
        <v>131.1124148606811</v>
      </c>
      <c r="DO18" s="46">
        <f t="shared" si="31"/>
        <v>5.6512683905880351E-3</v>
      </c>
      <c r="DP18" s="49">
        <f t="shared" si="32"/>
        <v>5.2599065700402016E-3</v>
      </c>
      <c r="DQ18" s="47">
        <f t="shared" si="33"/>
        <v>26.222321981424148</v>
      </c>
      <c r="DR18" s="53">
        <f t="shared" si="34"/>
        <v>5.9055562651724076E-2</v>
      </c>
      <c r="DS18" s="45">
        <f t="shared" si="35"/>
        <v>294.41092879256962</v>
      </c>
      <c r="DT18" s="46">
        <f t="shared" si="72"/>
        <v>2.4687322437192488E-5</v>
      </c>
      <c r="DU18" s="49">
        <f t="shared" si="73"/>
        <v>2.3429960856007666E-5</v>
      </c>
      <c r="DV18" s="49">
        <f t="shared" si="74"/>
        <v>2.2977675188875249E-5</v>
      </c>
      <c r="DW18" s="47">
        <f t="shared" si="75"/>
        <v>0.11455108359133127</v>
      </c>
      <c r="DY18" s="54">
        <f>VLOOKUP(A18,'[3]Barnet Schools'!$E$8:$V$130,17,0)</f>
        <v>37</v>
      </c>
    </row>
    <row r="19" spans="1:129">
      <c r="A19" s="77">
        <v>2007</v>
      </c>
      <c r="B19" s="78">
        <v>10046</v>
      </c>
      <c r="C19" s="589" t="s">
        <v>43</v>
      </c>
      <c r="D19" s="595">
        <f>VLOOKUP(A19,[4]CFR20152016_BenchMarkDataReport!$B$3:$BO$99,18,0)</f>
        <v>1418320.25</v>
      </c>
      <c r="E19" s="595">
        <f>VLOOKUP(A19,[4]CFR20152016_BenchMarkDataReport!$B$3:$BO$99,19,0)</f>
        <v>0</v>
      </c>
      <c r="F19" s="595">
        <f>VLOOKUP(A19,[4]CFR20152016_BenchMarkDataReport!$B$3:$BO$99,20,0)</f>
        <v>88558</v>
      </c>
      <c r="G19" s="595">
        <f>VLOOKUP(A19,[4]CFR20152016_BenchMarkDataReport!$B$3:$BO$99,21,0)</f>
        <v>0</v>
      </c>
      <c r="H19" s="595">
        <f>VLOOKUP(A19,[4]CFR20152016_BenchMarkDataReport!$B$3:$BO$99,22,0)</f>
        <v>75820</v>
      </c>
      <c r="I19" s="595">
        <f>VLOOKUP(A19,[4]CFR20152016_BenchMarkDataReport!$B$3:$BO$99,23,0)</f>
        <v>4637</v>
      </c>
      <c r="J19" s="595">
        <f>VLOOKUP(A19,[4]CFR20152016_BenchMarkDataReport!$B$3:$BO$99,24,0)</f>
        <v>2305</v>
      </c>
      <c r="K19" s="595">
        <f>VLOOKUP(A19,[4]CFR20152016_BenchMarkDataReport!$B$3:$BO$99,25,0)</f>
        <v>38525.839999999997</v>
      </c>
      <c r="L19" s="595">
        <f>VLOOKUP(A19,[4]CFR20152016_BenchMarkDataReport!$B$3:$BO$99,26,0)</f>
        <v>60183.92</v>
      </c>
      <c r="M19" s="595">
        <f>VLOOKUP(A19,[4]CFR20152016_BenchMarkDataReport!$B$3:$BO$99,27,0)</f>
        <v>5130</v>
      </c>
      <c r="N19" s="595">
        <f>VLOOKUP(A19,[4]CFR20152016_BenchMarkDataReport!$B$3:$BO$99,28,0)</f>
        <v>0</v>
      </c>
      <c r="O19" s="595">
        <f>VLOOKUP(A19,[4]CFR20152016_BenchMarkDataReport!$B$3:$BO$99,29,0)</f>
        <v>49390.67</v>
      </c>
      <c r="P19" s="595">
        <f>VLOOKUP(A19,[4]CFR20152016_BenchMarkDataReport!$B$3:$BO$99,30,0)</f>
        <v>13526</v>
      </c>
      <c r="Q19" s="595">
        <f>VLOOKUP(A19,[4]CFR20152016_BenchMarkDataReport!$B$3:$BO$99,31,0)</f>
        <v>0</v>
      </c>
      <c r="R19" s="595">
        <f>VLOOKUP(A19,[4]CFR20152016_BenchMarkDataReport!$B$3:$BO$99,32,0)</f>
        <v>0</v>
      </c>
      <c r="S19" s="595">
        <f>VLOOKUP(A19,[4]CFR20152016_BenchMarkDataReport!$B$3:$BO$99,33,0)</f>
        <v>0</v>
      </c>
      <c r="T19" s="595">
        <f>VLOOKUP(A19,[4]CFR20152016_BenchMarkDataReport!$B$3:$BO$99,34,0)</f>
        <v>9801.67</v>
      </c>
      <c r="U19" s="595">
        <f>VLOOKUP(A19,[4]CFR20152016_BenchMarkDataReport!$B$3:$BO$99,35,0)</f>
        <v>828160.85</v>
      </c>
      <c r="V19" s="595">
        <f>VLOOKUP(A19,[4]CFR20152016_BenchMarkDataReport!$B$3:$BO$99,36,0)</f>
        <v>0</v>
      </c>
      <c r="W19" s="595">
        <f>VLOOKUP(A19,[4]CFR20152016_BenchMarkDataReport!$B$3:$BO$99,37,0)</f>
        <v>301630.55</v>
      </c>
      <c r="X19" s="595">
        <f>VLOOKUP(A19,[4]CFR20152016_BenchMarkDataReport!$B$3:$BO$99,38,0)</f>
        <v>36764.99</v>
      </c>
      <c r="Y19" s="595">
        <f>VLOOKUP(A19,[4]CFR20152016_BenchMarkDataReport!$B$3:$BO$99,39,0)</f>
        <v>55052.42</v>
      </c>
      <c r="Z19" s="595">
        <f>VLOOKUP(A19,[4]CFR20152016_BenchMarkDataReport!$B$3:$BO$99,40,0)</f>
        <v>0</v>
      </c>
      <c r="AA19" s="595">
        <f>VLOOKUP(A19,[4]CFR20152016_BenchMarkDataReport!$B$3:$BO$99,41,0)</f>
        <v>30169.83</v>
      </c>
      <c r="AB19" s="595">
        <f>VLOOKUP(A19,[4]CFR20152016_BenchMarkDataReport!$B$3:$BO$99,42,0)</f>
        <v>13306.82</v>
      </c>
      <c r="AC19" s="595">
        <f>VLOOKUP(A19,[4]CFR20152016_BenchMarkDataReport!$B$3:$BO$99,43,0)</f>
        <v>7832.9</v>
      </c>
      <c r="AD19" s="595">
        <f>VLOOKUP(A19,[4]CFR20152016_BenchMarkDataReport!$B$3:$BO$99,44,0)</f>
        <v>14567.46</v>
      </c>
      <c r="AE19" s="595">
        <f>VLOOKUP(A19,[4]CFR20152016_BenchMarkDataReport!$B$3:$BO$99,45,0)</f>
        <v>1499.4</v>
      </c>
      <c r="AF19" s="595">
        <f>VLOOKUP(A19,[4]CFR20152016_BenchMarkDataReport!$B$3:$BO$99,46,0)</f>
        <v>25749.7</v>
      </c>
      <c r="AG19" s="595">
        <f>VLOOKUP(A19,[4]CFR20152016_BenchMarkDataReport!$B$3:$BO$99,47,0)</f>
        <v>5271.42</v>
      </c>
      <c r="AH19" s="595">
        <f>VLOOKUP(A19,[4]CFR20152016_BenchMarkDataReport!$B$3:$BO$99,48,0)</f>
        <v>19461.7</v>
      </c>
      <c r="AI19" s="595">
        <f>VLOOKUP(A19,[4]CFR20152016_BenchMarkDataReport!$B$3:$BO$99,49,0)</f>
        <v>4118.59</v>
      </c>
      <c r="AJ19" s="595">
        <f>VLOOKUP(A19,[4]CFR20152016_BenchMarkDataReport!$B$3:$BO$99,50,0)</f>
        <v>21465.17</v>
      </c>
      <c r="AK19" s="595">
        <f>VLOOKUP(A19,[4]CFR20152016_BenchMarkDataReport!$B$3:$BO$99,51,0)</f>
        <v>13582.25</v>
      </c>
      <c r="AL19" s="595">
        <f>VLOOKUP(A19,[4]CFR20152016_BenchMarkDataReport!$B$3:$BO$99,52,0)</f>
        <v>7446.96</v>
      </c>
      <c r="AM19" s="595">
        <f>VLOOKUP(A19,[4]CFR20152016_BenchMarkDataReport!$B$3:$BO$99,53,0)</f>
        <v>91781.78</v>
      </c>
      <c r="AN19" s="595">
        <f>VLOOKUP(A19,[4]CFR20152016_BenchMarkDataReport!$B$3:$BO$99,54,0)</f>
        <v>19970.310000000001</v>
      </c>
      <c r="AO19" s="595">
        <f>VLOOKUP(A19,[4]CFR20152016_BenchMarkDataReport!$B$3:$BO$99,55,0)</f>
        <v>0</v>
      </c>
      <c r="AP19" s="595">
        <f>VLOOKUP(A19,[4]CFR20152016_BenchMarkDataReport!$B$3:$BO$99,56,0)</f>
        <v>16234.72</v>
      </c>
      <c r="AQ19" s="595">
        <f>VLOOKUP(A19,[4]CFR20152016_BenchMarkDataReport!$B$3:$BO$99,57,0)</f>
        <v>7226.47</v>
      </c>
      <c r="AR19" s="595">
        <f>VLOOKUP(A19,[4]CFR20152016_BenchMarkDataReport!$B$3:$BO$99,58,0)</f>
        <v>11777.63</v>
      </c>
      <c r="AS19" s="595">
        <f>VLOOKUP(A19,[4]CFR20152016_BenchMarkDataReport!$B$3:$BO$99,59,0)</f>
        <v>69267.63</v>
      </c>
      <c r="AT19" s="595">
        <f>VLOOKUP(A19,[4]CFR20152016_BenchMarkDataReport!$B$3:$BO$99,60,0)</f>
        <v>54420.9</v>
      </c>
      <c r="AU19" s="595">
        <f>VLOOKUP(A19,[4]CFR20152016_BenchMarkDataReport!$B$3:$BO$99,61,0)</f>
        <v>99564.68</v>
      </c>
      <c r="AV19" s="595">
        <f>VLOOKUP(A19,[4]CFR20152016_BenchMarkDataReport!$B$3:$BO$99,62,0)</f>
        <v>28892.63</v>
      </c>
      <c r="AW19" s="595">
        <f>VLOOKUP(A19,[4]CFR20152016_BenchMarkDataReport!$B$3:$BO$99,63,0)</f>
        <v>0</v>
      </c>
      <c r="AX19" s="595">
        <f>VLOOKUP(A19,[4]CFR20152016_BenchMarkDataReport!$B$3:$BO$99,64,0)</f>
        <v>8024.59</v>
      </c>
      <c r="AY19" s="595">
        <f>VLOOKUP(A19,[4]CFR20152016_BenchMarkDataReport!$B$3:$BO$99,65,0)</f>
        <v>0</v>
      </c>
      <c r="AZ19" s="595">
        <f>VLOOKUP(A19,[4]CFR20152016_BenchMarkDataReport!$B$3:$BO$99,66,0)</f>
        <v>0</v>
      </c>
      <c r="BA19" s="596">
        <f t="shared" si="0"/>
        <v>1766198.3499999999</v>
      </c>
      <c r="BB19" s="595">
        <f t="shared" si="42"/>
        <v>1793242.3499999992</v>
      </c>
      <c r="BC19" s="600">
        <f t="shared" si="43"/>
        <v>-27043.999999999302</v>
      </c>
      <c r="BD19" s="595">
        <f>VLOOKUP(A19,[4]CFR20152016_BenchMarkDataReport!$B$3:$BO$99,15,0)</f>
        <v>160695</v>
      </c>
      <c r="BE19" s="600">
        <f t="shared" si="1"/>
        <v>133651.0000000007</v>
      </c>
      <c r="BF19" s="76">
        <f>VLOOKUP(A19,'OCT 15 CENSUS'!$B$9:$U$132,20,0)</f>
        <v>358</v>
      </c>
      <c r="BG19" s="73">
        <f>VLOOKUP(A19,'[2]BUDGET SHARE inc ADJUSTMENTS'!$D$4:$M$139,10,0)</f>
        <v>1601456.3274489585</v>
      </c>
      <c r="BH19" s="76">
        <f>VLOOKUP(A19,'12-13 Pupil Data'!A:CI,81,0)</f>
        <v>1815.93</v>
      </c>
      <c r="BI19" t="s">
        <v>210</v>
      </c>
      <c r="BJ19" s="44">
        <f t="shared" si="44"/>
        <v>0.80303565564988788</v>
      </c>
      <c r="BK19" s="45">
        <f t="shared" si="45"/>
        <v>3961.7884078212292</v>
      </c>
      <c r="BL19" s="44">
        <f t="shared" si="46"/>
        <v>0</v>
      </c>
      <c r="BM19" s="45">
        <f t="shared" si="47"/>
        <v>0</v>
      </c>
      <c r="BN19" s="44">
        <f t="shared" si="48"/>
        <v>5.0140461290771793E-2</v>
      </c>
      <c r="BO19" s="45">
        <f t="shared" si="49"/>
        <v>247.36871508379889</v>
      </c>
      <c r="BP19" s="44">
        <f t="shared" si="50"/>
        <v>0</v>
      </c>
      <c r="BQ19" s="45">
        <f t="shared" si="51"/>
        <v>0</v>
      </c>
      <c r="BR19" s="44">
        <f t="shared" si="52"/>
        <v>4.2928360792546319E-2</v>
      </c>
      <c r="BS19" s="45">
        <f t="shared" si="53"/>
        <v>211.78770949720669</v>
      </c>
      <c r="BT19" s="44">
        <f t="shared" si="54"/>
        <v>2.6254129384731904E-3</v>
      </c>
      <c r="BU19" s="45">
        <f t="shared" si="55"/>
        <v>12.952513966480447</v>
      </c>
      <c r="BV19" s="44">
        <f t="shared" si="56"/>
        <v>1.3050629336167142E-3</v>
      </c>
      <c r="BW19" s="45">
        <f t="shared" si="57"/>
        <v>6.4385474860335199</v>
      </c>
      <c r="BX19" s="44">
        <f t="shared" si="58"/>
        <v>2.1812861505617419E-2</v>
      </c>
      <c r="BY19" s="45">
        <f t="shared" si="59"/>
        <v>107.61407821229049</v>
      </c>
      <c r="BZ19" s="46">
        <f t="shared" si="60"/>
        <v>2.7964395958132337E-2</v>
      </c>
      <c r="CA19" s="47">
        <f t="shared" si="61"/>
        <v>137.96276536312848</v>
      </c>
      <c r="CB19" s="44">
        <f t="shared" si="62"/>
        <v>7.6582565032970399E-3</v>
      </c>
      <c r="CC19" s="48">
        <f t="shared" si="63"/>
        <v>37.782122905027933</v>
      </c>
      <c r="CD19" s="46">
        <f t="shared" si="64"/>
        <v>0.55111196906999615</v>
      </c>
      <c r="CE19" s="49">
        <f t="shared" si="65"/>
        <v>0.4997070402653247</v>
      </c>
      <c r="CF19" s="49">
        <f t="shared" si="66"/>
        <v>0.4921709271476889</v>
      </c>
      <c r="CG19" s="47">
        <f t="shared" si="67"/>
        <v>2465.3121508379886</v>
      </c>
      <c r="CH19" s="44">
        <f t="shared" si="2"/>
        <v>0.18834765883405805</v>
      </c>
      <c r="CI19" s="50">
        <f t="shared" si="3"/>
        <v>0.17077954466439174</v>
      </c>
      <c r="CJ19" s="50">
        <f t="shared" si="4"/>
        <v>0.1682040076735864</v>
      </c>
      <c r="CK19" s="45">
        <f t="shared" si="5"/>
        <v>842.54343575418989</v>
      </c>
      <c r="CL19" s="46">
        <f t="shared" si="6"/>
        <v>2.29572229787651E-2</v>
      </c>
      <c r="CM19" s="49">
        <f t="shared" si="68"/>
        <v>2.0815889676264278E-2</v>
      </c>
      <c r="CN19" s="49">
        <f t="shared" si="69"/>
        <v>2.050196394257587E-2</v>
      </c>
      <c r="CO19" s="47">
        <f t="shared" si="70"/>
        <v>102.69550279329609</v>
      </c>
      <c r="CP19" s="44">
        <f t="shared" si="7"/>
        <v>3.437647287434669E-2</v>
      </c>
      <c r="CQ19" s="50">
        <f t="shared" si="8"/>
        <v>3.1170009868936862E-2</v>
      </c>
      <c r="CR19" s="50">
        <f t="shared" si="71"/>
        <v>3.0699933001247726E-2</v>
      </c>
      <c r="CS19" s="45">
        <f t="shared" si="9"/>
        <v>153.7777094972067</v>
      </c>
      <c r="CT19" s="46">
        <f t="shared" si="10"/>
        <v>0.78165018835950517</v>
      </c>
      <c r="CU19" s="49">
        <f t="shared" si="11"/>
        <v>0.70874182392934515</v>
      </c>
      <c r="CV19" s="49">
        <f t="shared" si="12"/>
        <v>0.69805324416970216</v>
      </c>
      <c r="CW19" s="47">
        <f t="shared" si="13"/>
        <v>3496.5883798882678</v>
      </c>
      <c r="CX19" s="44">
        <f t="shared" si="14"/>
        <v>1.6078927385436738E-2</v>
      </c>
      <c r="CY19" s="50">
        <f t="shared" si="15"/>
        <v>1.4359297280704982E-2</v>
      </c>
      <c r="CZ19" s="48">
        <f t="shared" si="16"/>
        <v>14.179896802189512</v>
      </c>
      <c r="DA19" s="45">
        <f t="shared" si="17"/>
        <v>71.926536312849166</v>
      </c>
      <c r="DB19" s="51">
        <f t="shared" si="18"/>
        <v>2.2967280468253509E-3</v>
      </c>
      <c r="DC19" s="52">
        <f t="shared" si="19"/>
        <v>11.504441340782122</v>
      </c>
      <c r="DD19" s="44">
        <f t="shared" si="20"/>
        <v>1.3403531293415264E-2</v>
      </c>
      <c r="DE19" s="50">
        <f t="shared" si="21"/>
        <v>1.1970032940611742E-2</v>
      </c>
      <c r="DF19" s="48">
        <f t="shared" si="22"/>
        <v>11.820483168404067</v>
      </c>
      <c r="DG19" s="45">
        <f t="shared" si="23"/>
        <v>59.958575418994407</v>
      </c>
      <c r="DH19" s="46">
        <f t="shared" si="24"/>
        <v>4.6501174414557049E-3</v>
      </c>
      <c r="DI19" s="49">
        <f t="shared" si="25"/>
        <v>4.1527906141632246E-3</v>
      </c>
      <c r="DJ19" s="47">
        <f t="shared" si="26"/>
        <v>4.1009069732864152</v>
      </c>
      <c r="DK19" s="44">
        <f t="shared" si="27"/>
        <v>5.731144735379945E-2</v>
      </c>
      <c r="DL19" s="50">
        <f t="shared" si="28"/>
        <v>5.1965726273042891E-2</v>
      </c>
      <c r="DM19" s="50">
        <f t="shared" si="29"/>
        <v>5.1182027906044064E-2</v>
      </c>
      <c r="DN19" s="45">
        <f t="shared" si="30"/>
        <v>256.37368715083801</v>
      </c>
      <c r="DO19" s="46">
        <f t="shared" si="31"/>
        <v>1.013747282503864E-2</v>
      </c>
      <c r="DP19" s="49">
        <f t="shared" si="32"/>
        <v>9.0532771546467244E-3</v>
      </c>
      <c r="DQ19" s="47">
        <f t="shared" si="33"/>
        <v>45.348379888268155</v>
      </c>
      <c r="DR19" s="53">
        <f t="shared" si="34"/>
        <v>3.8627032202312221E-2</v>
      </c>
      <c r="DS19" s="45">
        <f t="shared" si="35"/>
        <v>193.48500000000001</v>
      </c>
      <c r="DT19" s="46">
        <f t="shared" si="72"/>
        <v>3.4968171807223275E-5</v>
      </c>
      <c r="DU19" s="49">
        <f t="shared" si="73"/>
        <v>3.1706518126913665E-5</v>
      </c>
      <c r="DV19" s="49">
        <f t="shared" si="74"/>
        <v>3.1228350144641647E-5</v>
      </c>
      <c r="DW19" s="47">
        <f t="shared" si="75"/>
        <v>0.15642458100558659</v>
      </c>
      <c r="DY19" s="54">
        <f>VLOOKUP(A19,'[3]Barnet Schools'!$E$8:$V$130,17,0)</f>
        <v>56</v>
      </c>
    </row>
    <row r="20" spans="1:129">
      <c r="A20" s="77">
        <v>2009</v>
      </c>
      <c r="B20" s="78">
        <v>10048</v>
      </c>
      <c r="C20" s="589" t="s">
        <v>44</v>
      </c>
      <c r="D20" s="595">
        <f>VLOOKUP(A20,[4]CFR20152016_BenchMarkDataReport!$B$3:$BO$99,18,0)</f>
        <v>1576342</v>
      </c>
      <c r="E20" s="595">
        <f>VLOOKUP(A20,[4]CFR20152016_BenchMarkDataReport!$B$3:$BO$99,19,0)</f>
        <v>0</v>
      </c>
      <c r="F20" s="595">
        <f>VLOOKUP(A20,[4]CFR20152016_BenchMarkDataReport!$B$3:$BO$99,20,0)</f>
        <v>18322</v>
      </c>
      <c r="G20" s="595">
        <f>VLOOKUP(A20,[4]CFR20152016_BenchMarkDataReport!$B$3:$BO$99,21,0)</f>
        <v>0</v>
      </c>
      <c r="H20" s="595">
        <f>VLOOKUP(A20,[4]CFR20152016_BenchMarkDataReport!$B$3:$BO$99,22,0)</f>
        <v>122760</v>
      </c>
      <c r="I20" s="595">
        <f>VLOOKUP(A20,[4]CFR20152016_BenchMarkDataReport!$B$3:$BO$99,23,0)</f>
        <v>18678.099999999999</v>
      </c>
      <c r="J20" s="595">
        <f>VLOOKUP(A20,[4]CFR20152016_BenchMarkDataReport!$B$3:$BO$99,24,0)</f>
        <v>875</v>
      </c>
      <c r="K20" s="595">
        <f>VLOOKUP(A20,[4]CFR20152016_BenchMarkDataReport!$B$3:$BO$99,25,0)</f>
        <v>93911.99</v>
      </c>
      <c r="L20" s="595">
        <f>VLOOKUP(A20,[4]CFR20152016_BenchMarkDataReport!$B$3:$BO$99,26,0)</f>
        <v>27223.24</v>
      </c>
      <c r="M20" s="595">
        <f>VLOOKUP(A20,[4]CFR20152016_BenchMarkDataReport!$B$3:$BO$99,27,0)</f>
        <v>26419.26</v>
      </c>
      <c r="N20" s="595">
        <f>VLOOKUP(A20,[4]CFR20152016_BenchMarkDataReport!$B$3:$BO$99,28,0)</f>
        <v>7128.26</v>
      </c>
      <c r="O20" s="595">
        <f>VLOOKUP(A20,[4]CFR20152016_BenchMarkDataReport!$B$3:$BO$99,29,0)</f>
        <v>13154.46</v>
      </c>
      <c r="P20" s="595">
        <f>VLOOKUP(A20,[4]CFR20152016_BenchMarkDataReport!$B$3:$BO$99,30,0)</f>
        <v>16246.42</v>
      </c>
      <c r="Q20" s="595">
        <f>VLOOKUP(A20,[4]CFR20152016_BenchMarkDataReport!$B$3:$BO$99,31,0)</f>
        <v>0</v>
      </c>
      <c r="R20" s="595">
        <f>VLOOKUP(A20,[4]CFR20152016_BenchMarkDataReport!$B$3:$BO$99,32,0)</f>
        <v>0</v>
      </c>
      <c r="S20" s="595">
        <f>VLOOKUP(A20,[4]CFR20152016_BenchMarkDataReport!$B$3:$BO$99,33,0)</f>
        <v>0</v>
      </c>
      <c r="T20" s="595">
        <f>VLOOKUP(A20,[4]CFR20152016_BenchMarkDataReport!$B$3:$BO$99,34,0)</f>
        <v>59980.08</v>
      </c>
      <c r="U20" s="595">
        <f>VLOOKUP(A20,[4]CFR20152016_BenchMarkDataReport!$B$3:$BO$99,35,0)</f>
        <v>885544.79</v>
      </c>
      <c r="V20" s="595">
        <f>VLOOKUP(A20,[4]CFR20152016_BenchMarkDataReport!$B$3:$BO$99,36,0)</f>
        <v>0</v>
      </c>
      <c r="W20" s="595">
        <f>VLOOKUP(A20,[4]CFR20152016_BenchMarkDataReport!$B$3:$BO$99,37,0)</f>
        <v>409799.42</v>
      </c>
      <c r="X20" s="595">
        <f>VLOOKUP(A20,[4]CFR20152016_BenchMarkDataReport!$B$3:$BO$99,38,0)</f>
        <v>30898.51</v>
      </c>
      <c r="Y20" s="595">
        <f>VLOOKUP(A20,[4]CFR20152016_BenchMarkDataReport!$B$3:$BO$99,39,0)</f>
        <v>70829.41</v>
      </c>
      <c r="Z20" s="595">
        <f>VLOOKUP(A20,[4]CFR20152016_BenchMarkDataReport!$B$3:$BO$99,40,0)</f>
        <v>0</v>
      </c>
      <c r="AA20" s="595">
        <f>VLOOKUP(A20,[4]CFR20152016_BenchMarkDataReport!$B$3:$BO$99,41,0)</f>
        <v>69509.06</v>
      </c>
      <c r="AB20" s="595">
        <f>VLOOKUP(A20,[4]CFR20152016_BenchMarkDataReport!$B$3:$BO$99,42,0)</f>
        <v>9793.4500000000007</v>
      </c>
      <c r="AC20" s="595">
        <f>VLOOKUP(A20,[4]CFR20152016_BenchMarkDataReport!$B$3:$BO$99,43,0)</f>
        <v>13759.27</v>
      </c>
      <c r="AD20" s="595">
        <f>VLOOKUP(A20,[4]CFR20152016_BenchMarkDataReport!$B$3:$BO$99,44,0)</f>
        <v>17785.060000000001</v>
      </c>
      <c r="AE20" s="595">
        <f>VLOOKUP(A20,[4]CFR20152016_BenchMarkDataReport!$B$3:$BO$99,45,0)</f>
        <v>1378</v>
      </c>
      <c r="AF20" s="595">
        <f>VLOOKUP(A20,[4]CFR20152016_BenchMarkDataReport!$B$3:$BO$99,46,0)</f>
        <v>23416.33</v>
      </c>
      <c r="AG20" s="595">
        <f>VLOOKUP(A20,[4]CFR20152016_BenchMarkDataReport!$B$3:$BO$99,47,0)</f>
        <v>3397.5</v>
      </c>
      <c r="AH20" s="595">
        <f>VLOOKUP(A20,[4]CFR20152016_BenchMarkDataReport!$B$3:$BO$99,48,0)</f>
        <v>31104.49</v>
      </c>
      <c r="AI20" s="595">
        <f>VLOOKUP(A20,[4]CFR20152016_BenchMarkDataReport!$B$3:$BO$99,49,0)</f>
        <v>3678.6</v>
      </c>
      <c r="AJ20" s="595">
        <f>VLOOKUP(A20,[4]CFR20152016_BenchMarkDataReport!$B$3:$BO$99,50,0)</f>
        <v>17555.259999999998</v>
      </c>
      <c r="AK20" s="595">
        <f>VLOOKUP(A20,[4]CFR20152016_BenchMarkDataReport!$B$3:$BO$99,51,0)</f>
        <v>9247.5</v>
      </c>
      <c r="AL20" s="595">
        <f>VLOOKUP(A20,[4]CFR20152016_BenchMarkDataReport!$B$3:$BO$99,52,0)</f>
        <v>7840.6</v>
      </c>
      <c r="AM20" s="595">
        <f>VLOOKUP(A20,[4]CFR20152016_BenchMarkDataReport!$B$3:$BO$99,53,0)</f>
        <v>85926.98</v>
      </c>
      <c r="AN20" s="595">
        <f>VLOOKUP(A20,[4]CFR20152016_BenchMarkDataReport!$B$3:$BO$99,54,0)</f>
        <v>14177.75</v>
      </c>
      <c r="AO20" s="595">
        <f>VLOOKUP(A20,[4]CFR20152016_BenchMarkDataReport!$B$3:$BO$99,55,0)</f>
        <v>0</v>
      </c>
      <c r="AP20" s="595">
        <f>VLOOKUP(A20,[4]CFR20152016_BenchMarkDataReport!$B$3:$BO$99,56,0)</f>
        <v>12536</v>
      </c>
      <c r="AQ20" s="595">
        <f>VLOOKUP(A20,[4]CFR20152016_BenchMarkDataReport!$B$3:$BO$99,57,0)</f>
        <v>6701.48</v>
      </c>
      <c r="AR20" s="595">
        <f>VLOOKUP(A20,[4]CFR20152016_BenchMarkDataReport!$B$3:$BO$99,58,0)</f>
        <v>17573.669999999998</v>
      </c>
      <c r="AS20" s="595">
        <f>VLOOKUP(A20,[4]CFR20152016_BenchMarkDataReport!$B$3:$BO$99,59,0)</f>
        <v>102955.1</v>
      </c>
      <c r="AT20" s="595">
        <f>VLOOKUP(A20,[4]CFR20152016_BenchMarkDataReport!$B$3:$BO$99,60,0)</f>
        <v>29110.5</v>
      </c>
      <c r="AU20" s="595">
        <f>VLOOKUP(A20,[4]CFR20152016_BenchMarkDataReport!$B$3:$BO$99,61,0)</f>
        <v>140575.54999999999</v>
      </c>
      <c r="AV20" s="595">
        <f>VLOOKUP(A20,[4]CFR20152016_BenchMarkDataReport!$B$3:$BO$99,62,0)</f>
        <v>26041.53</v>
      </c>
      <c r="AW20" s="595">
        <f>VLOOKUP(A20,[4]CFR20152016_BenchMarkDataReport!$B$3:$BO$99,63,0)</f>
        <v>0</v>
      </c>
      <c r="AX20" s="595">
        <f>VLOOKUP(A20,[4]CFR20152016_BenchMarkDataReport!$B$3:$BO$99,64,0)</f>
        <v>0</v>
      </c>
      <c r="AY20" s="595">
        <f>VLOOKUP(A20,[4]CFR20152016_BenchMarkDataReport!$B$3:$BO$99,65,0)</f>
        <v>0</v>
      </c>
      <c r="AZ20" s="595">
        <f>VLOOKUP(A20,[4]CFR20152016_BenchMarkDataReport!$B$3:$BO$99,66,0)</f>
        <v>0</v>
      </c>
      <c r="BA20" s="596">
        <f t="shared" si="0"/>
        <v>1981040.81</v>
      </c>
      <c r="BB20" s="595">
        <f t="shared" si="42"/>
        <v>2041135.8100000003</v>
      </c>
      <c r="BC20" s="600">
        <f t="shared" si="43"/>
        <v>-60095.000000000233</v>
      </c>
      <c r="BD20" s="595">
        <f>VLOOKUP(A20,[4]CFR20152016_BenchMarkDataReport!$B$3:$BO$99,15,0)</f>
        <v>204624</v>
      </c>
      <c r="BE20" s="600">
        <f t="shared" si="1"/>
        <v>144528.99999999977</v>
      </c>
      <c r="BF20" s="76">
        <f>VLOOKUP(A20,'OCT 15 CENSUS'!$B$9:$U$132,20,0)</f>
        <v>389</v>
      </c>
      <c r="BG20" s="73">
        <f>VLOOKUP(A20,'[2]BUDGET SHARE inc ADJUSTMENTS'!$D$4:$M$139,10,0)</f>
        <v>1781331.0575138573</v>
      </c>
      <c r="BH20" s="76">
        <f>VLOOKUP(A20,'12-13 Pupil Data'!A:CI,81,0)</f>
        <v>1193.4000000000001</v>
      </c>
      <c r="BI20" t="s">
        <v>210</v>
      </c>
      <c r="BJ20" s="44">
        <f t="shared" si="44"/>
        <v>0.79571404690042702</v>
      </c>
      <c r="BK20" s="45">
        <f t="shared" si="45"/>
        <v>4052.2930591259642</v>
      </c>
      <c r="BL20" s="44">
        <f t="shared" si="46"/>
        <v>0</v>
      </c>
      <c r="BM20" s="45">
        <f t="shared" si="47"/>
        <v>0</v>
      </c>
      <c r="BN20" s="44">
        <f t="shared" si="48"/>
        <v>9.2486736807809618E-3</v>
      </c>
      <c r="BO20" s="45">
        <f t="shared" si="49"/>
        <v>47.100257069408741</v>
      </c>
      <c r="BP20" s="44">
        <f t="shared" si="50"/>
        <v>0</v>
      </c>
      <c r="BQ20" s="45">
        <f t="shared" si="51"/>
        <v>0</v>
      </c>
      <c r="BR20" s="44">
        <f t="shared" si="52"/>
        <v>6.1967426102645509E-2</v>
      </c>
      <c r="BS20" s="45">
        <f t="shared" si="53"/>
        <v>315.57840616966581</v>
      </c>
      <c r="BT20" s="44">
        <f t="shared" si="54"/>
        <v>9.4284276758538847E-3</v>
      </c>
      <c r="BU20" s="45">
        <f t="shared" si="55"/>
        <v>48.015681233933158</v>
      </c>
      <c r="BV20" s="44">
        <f t="shared" si="56"/>
        <v>4.4168701400957005E-4</v>
      </c>
      <c r="BW20" s="45">
        <f t="shared" si="57"/>
        <v>2.2493573264781492</v>
      </c>
      <c r="BX20" s="44">
        <f t="shared" si="58"/>
        <v>4.7405378791767545E-2</v>
      </c>
      <c r="BY20" s="45">
        <f t="shared" si="59"/>
        <v>241.41899742930593</v>
      </c>
      <c r="BZ20" s="46">
        <f t="shared" si="60"/>
        <v>6.640176180923804E-3</v>
      </c>
      <c r="CA20" s="47">
        <f t="shared" si="61"/>
        <v>33.816092544987143</v>
      </c>
      <c r="CB20" s="44">
        <f t="shared" si="62"/>
        <v>8.2009517007375528E-3</v>
      </c>
      <c r="CC20" s="48">
        <f t="shared" si="63"/>
        <v>41.764575835475576</v>
      </c>
      <c r="CD20" s="46">
        <f t="shared" si="64"/>
        <v>0.51346732329281519</v>
      </c>
      <c r="CE20" s="49">
        <f t="shared" si="65"/>
        <v>0.46170441587217986</v>
      </c>
      <c r="CF20" s="49">
        <f t="shared" si="66"/>
        <v>0.4481109417212174</v>
      </c>
      <c r="CG20" s="47">
        <f t="shared" si="67"/>
        <v>2351.2989460154245</v>
      </c>
      <c r="CH20" s="44">
        <f t="shared" si="2"/>
        <v>0.23005236352412953</v>
      </c>
      <c r="CI20" s="50">
        <f t="shared" si="3"/>
        <v>0.20686066532874706</v>
      </c>
      <c r="CJ20" s="50">
        <f t="shared" si="4"/>
        <v>0.20077028583414053</v>
      </c>
      <c r="CK20" s="45">
        <f t="shared" si="5"/>
        <v>1053.4689460154241</v>
      </c>
      <c r="CL20" s="46">
        <f t="shared" si="6"/>
        <v>1.7345742594935716E-2</v>
      </c>
      <c r="CM20" s="49">
        <f t="shared" si="68"/>
        <v>1.559710927913696E-2</v>
      </c>
      <c r="CN20" s="49">
        <f t="shared" si="69"/>
        <v>1.5137900108665475E-2</v>
      </c>
      <c r="CO20" s="47">
        <f t="shared" si="70"/>
        <v>79.43061696658097</v>
      </c>
      <c r="CP20" s="44">
        <f t="shared" si="7"/>
        <v>3.9762069886579189E-2</v>
      </c>
      <c r="CQ20" s="50">
        <f t="shared" si="8"/>
        <v>3.575363497938238E-2</v>
      </c>
      <c r="CR20" s="50">
        <f t="shared" si="71"/>
        <v>3.4700978569377997E-2</v>
      </c>
      <c r="CS20" s="45">
        <f t="shared" si="9"/>
        <v>182.08074550128535</v>
      </c>
      <c r="CT20" s="46">
        <f t="shared" si="10"/>
        <v>0.82330636060814943</v>
      </c>
      <c r="CU20" s="49">
        <f t="shared" si="11"/>
        <v>0.74030841898708788</v>
      </c>
      <c r="CV20" s="49">
        <f t="shared" si="12"/>
        <v>0.71851230222647444</v>
      </c>
      <c r="CW20" s="47">
        <f t="shared" si="13"/>
        <v>3770.1315938303342</v>
      </c>
      <c r="CX20" s="44">
        <f t="shared" si="14"/>
        <v>1.3145411629818755E-2</v>
      </c>
      <c r="CY20" s="50">
        <f t="shared" si="15"/>
        <v>1.1472205761751834E-2</v>
      </c>
      <c r="CZ20" s="48">
        <f t="shared" si="16"/>
        <v>19.621526730350261</v>
      </c>
      <c r="DA20" s="45">
        <f t="shared" si="17"/>
        <v>60.196221079691519</v>
      </c>
      <c r="DB20" s="51">
        <f t="shared" si="18"/>
        <v>1.8022318661882668E-3</v>
      </c>
      <c r="DC20" s="52">
        <f t="shared" si="19"/>
        <v>9.4565552699228785</v>
      </c>
      <c r="DD20" s="44">
        <f t="shared" si="20"/>
        <v>9.8551360938495466E-3</v>
      </c>
      <c r="DE20" s="50">
        <f t="shared" si="21"/>
        <v>8.6007309822269968E-3</v>
      </c>
      <c r="DF20" s="48">
        <f t="shared" si="22"/>
        <v>14.710289927936984</v>
      </c>
      <c r="DG20" s="45">
        <f t="shared" si="23"/>
        <v>45.129203084832902</v>
      </c>
      <c r="DH20" s="46">
        <f t="shared" si="24"/>
        <v>4.4015400545156704E-3</v>
      </c>
      <c r="DI20" s="49">
        <f t="shared" si="25"/>
        <v>3.8412926575424684E-3</v>
      </c>
      <c r="DJ20" s="47">
        <f t="shared" si="26"/>
        <v>6.5699681582034524</v>
      </c>
      <c r="DK20" s="44">
        <f t="shared" si="27"/>
        <v>4.8237512975227263E-2</v>
      </c>
      <c r="DL20" s="50">
        <f t="shared" si="28"/>
        <v>4.3374664250354335E-2</v>
      </c>
      <c r="DM20" s="50">
        <f t="shared" si="29"/>
        <v>4.2097629946534515E-2</v>
      </c>
      <c r="DN20" s="45">
        <f t="shared" si="30"/>
        <v>220.89197943444728</v>
      </c>
      <c r="DO20" s="46">
        <f t="shared" si="31"/>
        <v>7.037434140679086E-3</v>
      </c>
      <c r="DP20" s="49">
        <f t="shared" si="32"/>
        <v>6.1416785392638812E-3</v>
      </c>
      <c r="DQ20" s="47">
        <f t="shared" si="33"/>
        <v>32.22622107969152</v>
      </c>
      <c r="DR20" s="53">
        <f t="shared" si="34"/>
        <v>5.0440102758277504E-2</v>
      </c>
      <c r="DS20" s="45">
        <f t="shared" si="35"/>
        <v>264.66606683804628</v>
      </c>
      <c r="DT20" s="46">
        <f t="shared" si="72"/>
        <v>5.1646772570395339E-5</v>
      </c>
      <c r="DU20" s="49">
        <f t="shared" si="73"/>
        <v>4.6440234615863361E-5</v>
      </c>
      <c r="DV20" s="49">
        <f t="shared" si="74"/>
        <v>4.5072943970347559E-5</v>
      </c>
      <c r="DW20" s="47">
        <f t="shared" si="75"/>
        <v>0.23650385604113111</v>
      </c>
      <c r="DY20" s="54">
        <f>VLOOKUP(A20,'[3]Barnet Schools'!$E$8:$V$130,17,0)</f>
        <v>92</v>
      </c>
    </row>
    <row r="21" spans="1:129">
      <c r="A21" s="77">
        <v>2067</v>
      </c>
      <c r="B21" s="78">
        <v>10118</v>
      </c>
      <c r="C21" s="589" t="s">
        <v>45</v>
      </c>
      <c r="D21" s="595">
        <f>VLOOKUP(A21,[4]CFR20152016_BenchMarkDataReport!$B$3:$BO$99,18,0)</f>
        <v>1104917.92</v>
      </c>
      <c r="E21" s="595">
        <f>VLOOKUP(A21,[4]CFR20152016_BenchMarkDataReport!$B$3:$BO$99,19,0)</f>
        <v>0</v>
      </c>
      <c r="F21" s="595">
        <f>VLOOKUP(A21,[4]CFR20152016_BenchMarkDataReport!$B$3:$BO$99,20,0)</f>
        <v>43083</v>
      </c>
      <c r="G21" s="595">
        <f>VLOOKUP(A21,[4]CFR20152016_BenchMarkDataReport!$B$3:$BO$99,21,0)</f>
        <v>0</v>
      </c>
      <c r="H21" s="595">
        <f>VLOOKUP(A21,[4]CFR20152016_BenchMarkDataReport!$B$3:$BO$99,22,0)</f>
        <v>78312.009999999995</v>
      </c>
      <c r="I21" s="595">
        <f>VLOOKUP(A21,[4]CFR20152016_BenchMarkDataReport!$B$3:$BO$99,23,0)</f>
        <v>11669.67</v>
      </c>
      <c r="J21" s="595">
        <f>VLOOKUP(A21,[4]CFR20152016_BenchMarkDataReport!$B$3:$BO$99,24,0)</f>
        <v>3487</v>
      </c>
      <c r="K21" s="595">
        <f>VLOOKUP(A21,[4]CFR20152016_BenchMarkDataReport!$B$3:$BO$99,25,0)</f>
        <v>18114.28</v>
      </c>
      <c r="L21" s="595">
        <f>VLOOKUP(A21,[4]CFR20152016_BenchMarkDataReport!$B$3:$BO$99,26,0)</f>
        <v>22167.08</v>
      </c>
      <c r="M21" s="595">
        <f>VLOOKUP(A21,[4]CFR20152016_BenchMarkDataReport!$B$3:$BO$99,27,0)</f>
        <v>9712.7999999999993</v>
      </c>
      <c r="N21" s="595">
        <f>VLOOKUP(A21,[4]CFR20152016_BenchMarkDataReport!$B$3:$BO$99,28,0)</f>
        <v>0</v>
      </c>
      <c r="O21" s="595">
        <f>VLOOKUP(A21,[4]CFR20152016_BenchMarkDataReport!$B$3:$BO$99,29,0)</f>
        <v>17106.2</v>
      </c>
      <c r="P21" s="595">
        <f>VLOOKUP(A21,[4]CFR20152016_BenchMarkDataReport!$B$3:$BO$99,30,0)</f>
        <v>12288.97</v>
      </c>
      <c r="Q21" s="595">
        <f>VLOOKUP(A21,[4]CFR20152016_BenchMarkDataReport!$B$3:$BO$99,31,0)</f>
        <v>0</v>
      </c>
      <c r="R21" s="595">
        <f>VLOOKUP(A21,[4]CFR20152016_BenchMarkDataReport!$B$3:$BO$99,32,0)</f>
        <v>0</v>
      </c>
      <c r="S21" s="595">
        <f>VLOOKUP(A21,[4]CFR20152016_BenchMarkDataReport!$B$3:$BO$99,33,0)</f>
        <v>0</v>
      </c>
      <c r="T21" s="595">
        <f>VLOOKUP(A21,[4]CFR20152016_BenchMarkDataReport!$B$3:$BO$99,34,0)</f>
        <v>43221.08</v>
      </c>
      <c r="U21" s="595">
        <f>VLOOKUP(A21,[4]CFR20152016_BenchMarkDataReport!$B$3:$BO$99,35,0)</f>
        <v>614304.09</v>
      </c>
      <c r="V21" s="595">
        <f>VLOOKUP(A21,[4]CFR20152016_BenchMarkDataReport!$B$3:$BO$99,36,0)</f>
        <v>0</v>
      </c>
      <c r="W21" s="595">
        <f>VLOOKUP(A21,[4]CFR20152016_BenchMarkDataReport!$B$3:$BO$99,37,0)</f>
        <v>250422.5</v>
      </c>
      <c r="X21" s="595">
        <f>VLOOKUP(A21,[4]CFR20152016_BenchMarkDataReport!$B$3:$BO$99,38,0)</f>
        <v>25621.03</v>
      </c>
      <c r="Y21" s="595">
        <f>VLOOKUP(A21,[4]CFR20152016_BenchMarkDataReport!$B$3:$BO$99,39,0)</f>
        <v>51727.89</v>
      </c>
      <c r="Z21" s="595">
        <f>VLOOKUP(A21,[4]CFR20152016_BenchMarkDataReport!$B$3:$BO$99,40,0)</f>
        <v>0</v>
      </c>
      <c r="AA21" s="595">
        <f>VLOOKUP(A21,[4]CFR20152016_BenchMarkDataReport!$B$3:$BO$99,41,0)</f>
        <v>17125.89</v>
      </c>
      <c r="AB21" s="595">
        <f>VLOOKUP(A21,[4]CFR20152016_BenchMarkDataReport!$B$3:$BO$99,42,0)</f>
        <v>8371.81</v>
      </c>
      <c r="AC21" s="595">
        <f>VLOOKUP(A21,[4]CFR20152016_BenchMarkDataReport!$B$3:$BO$99,43,0)</f>
        <v>1895.47</v>
      </c>
      <c r="AD21" s="595">
        <f>VLOOKUP(A21,[4]CFR20152016_BenchMarkDataReport!$B$3:$BO$99,44,0)</f>
        <v>10948.87</v>
      </c>
      <c r="AE21" s="595">
        <f>VLOOKUP(A21,[4]CFR20152016_BenchMarkDataReport!$B$3:$BO$99,45,0)</f>
        <v>865.4</v>
      </c>
      <c r="AF21" s="595">
        <f>VLOOKUP(A21,[4]CFR20152016_BenchMarkDataReport!$B$3:$BO$99,46,0)</f>
        <v>20873.71</v>
      </c>
      <c r="AG21" s="595">
        <f>VLOOKUP(A21,[4]CFR20152016_BenchMarkDataReport!$B$3:$BO$99,47,0)</f>
        <v>5991.2</v>
      </c>
      <c r="AH21" s="595">
        <f>VLOOKUP(A21,[4]CFR20152016_BenchMarkDataReport!$B$3:$BO$99,48,0)</f>
        <v>26754.12</v>
      </c>
      <c r="AI21" s="595">
        <f>VLOOKUP(A21,[4]CFR20152016_BenchMarkDataReport!$B$3:$BO$99,49,0)</f>
        <v>1874.54</v>
      </c>
      <c r="AJ21" s="595">
        <f>VLOOKUP(A21,[4]CFR20152016_BenchMarkDataReport!$B$3:$BO$99,50,0)</f>
        <v>15550.24</v>
      </c>
      <c r="AK21" s="595">
        <f>VLOOKUP(A21,[4]CFR20152016_BenchMarkDataReport!$B$3:$BO$99,51,0)</f>
        <v>12106.5</v>
      </c>
      <c r="AL21" s="595">
        <f>VLOOKUP(A21,[4]CFR20152016_BenchMarkDataReport!$B$3:$BO$99,52,0)</f>
        <v>8970.48</v>
      </c>
      <c r="AM21" s="595">
        <f>VLOOKUP(A21,[4]CFR20152016_BenchMarkDataReport!$B$3:$BO$99,53,0)</f>
        <v>77638.740000000005</v>
      </c>
      <c r="AN21" s="595">
        <f>VLOOKUP(A21,[4]CFR20152016_BenchMarkDataReport!$B$3:$BO$99,54,0)</f>
        <v>16085.88</v>
      </c>
      <c r="AO21" s="595">
        <f>VLOOKUP(A21,[4]CFR20152016_BenchMarkDataReport!$B$3:$BO$99,55,0)</f>
        <v>0</v>
      </c>
      <c r="AP21" s="595">
        <f>VLOOKUP(A21,[4]CFR20152016_BenchMarkDataReport!$B$3:$BO$99,56,0)</f>
        <v>9445.9</v>
      </c>
      <c r="AQ21" s="595">
        <f>VLOOKUP(A21,[4]CFR20152016_BenchMarkDataReport!$B$3:$BO$99,57,0)</f>
        <v>4765.99</v>
      </c>
      <c r="AR21" s="595">
        <f>VLOOKUP(A21,[4]CFR20152016_BenchMarkDataReport!$B$3:$BO$99,58,0)</f>
        <v>10787.26</v>
      </c>
      <c r="AS21" s="595">
        <f>VLOOKUP(A21,[4]CFR20152016_BenchMarkDataReport!$B$3:$BO$99,59,0)</f>
        <v>79615.55</v>
      </c>
      <c r="AT21" s="595">
        <f>VLOOKUP(A21,[4]CFR20152016_BenchMarkDataReport!$B$3:$BO$99,60,0)</f>
        <v>33087.15</v>
      </c>
      <c r="AU21" s="595">
        <f>VLOOKUP(A21,[4]CFR20152016_BenchMarkDataReport!$B$3:$BO$99,61,0)</f>
        <v>66650.8</v>
      </c>
      <c r="AV21" s="595">
        <f>VLOOKUP(A21,[4]CFR20152016_BenchMarkDataReport!$B$3:$BO$99,62,0)</f>
        <v>21302</v>
      </c>
      <c r="AW21" s="595">
        <f>VLOOKUP(A21,[4]CFR20152016_BenchMarkDataReport!$B$3:$BO$99,63,0)</f>
        <v>0</v>
      </c>
      <c r="AX21" s="595">
        <f>VLOOKUP(A21,[4]CFR20152016_BenchMarkDataReport!$B$3:$BO$99,64,0)</f>
        <v>0</v>
      </c>
      <c r="AY21" s="595">
        <f>VLOOKUP(A21,[4]CFR20152016_BenchMarkDataReport!$B$3:$BO$99,65,0)</f>
        <v>0</v>
      </c>
      <c r="AZ21" s="595">
        <f>VLOOKUP(A21,[4]CFR20152016_BenchMarkDataReport!$B$3:$BO$99,66,0)</f>
        <v>0</v>
      </c>
      <c r="BA21" s="596">
        <f t="shared" si="0"/>
        <v>1364080.01</v>
      </c>
      <c r="BB21" s="595">
        <f t="shared" si="42"/>
        <v>1392783.0099999998</v>
      </c>
      <c r="BC21" s="600">
        <f t="shared" si="43"/>
        <v>-28702.999999999767</v>
      </c>
      <c r="BD21" s="595">
        <f>VLOOKUP(A21,[4]CFR20152016_BenchMarkDataReport!$B$3:$BO$99,15,0)</f>
        <v>113672</v>
      </c>
      <c r="BE21" s="600">
        <f t="shared" si="1"/>
        <v>84969.000000000233</v>
      </c>
      <c r="BF21" s="76">
        <f>VLOOKUP(A21,'OCT 15 CENSUS'!$B$9:$U$132,20,0)</f>
        <v>260</v>
      </c>
      <c r="BG21" s="73">
        <f>VLOOKUP(A21,'[2]BUDGET SHARE inc ADJUSTMENTS'!$D$4:$M$139,10,0)</f>
        <v>1271750.8014130339</v>
      </c>
      <c r="BH21" s="76">
        <f>VLOOKUP(A21,'12-13 Pupil Data'!A:CI,81,0)</f>
        <v>1347</v>
      </c>
      <c r="BI21" t="s">
        <v>210</v>
      </c>
      <c r="BJ21" s="44">
        <f t="shared" si="44"/>
        <v>0.81000961226607227</v>
      </c>
      <c r="BK21" s="45">
        <f t="shared" si="45"/>
        <v>4249.6843076923078</v>
      </c>
      <c r="BL21" s="44">
        <f t="shared" si="46"/>
        <v>0</v>
      </c>
      <c r="BM21" s="45">
        <f t="shared" si="47"/>
        <v>0</v>
      </c>
      <c r="BN21" s="44">
        <f t="shared" si="48"/>
        <v>3.158392446495862E-2</v>
      </c>
      <c r="BO21" s="45">
        <f t="shared" si="49"/>
        <v>165.70384615384614</v>
      </c>
      <c r="BP21" s="44">
        <f t="shared" si="50"/>
        <v>0</v>
      </c>
      <c r="BQ21" s="45">
        <f t="shared" si="51"/>
        <v>0</v>
      </c>
      <c r="BR21" s="44">
        <f t="shared" si="52"/>
        <v>5.7410129483533738E-2</v>
      </c>
      <c r="BS21" s="45">
        <f t="shared" si="53"/>
        <v>301.20003846153844</v>
      </c>
      <c r="BT21" s="44">
        <f t="shared" si="54"/>
        <v>8.5549747188216618E-3</v>
      </c>
      <c r="BU21" s="45">
        <f t="shared" si="55"/>
        <v>44.883346153846155</v>
      </c>
      <c r="BV21" s="44">
        <f t="shared" si="56"/>
        <v>2.5563016644456213E-3</v>
      </c>
      <c r="BW21" s="45">
        <f t="shared" si="57"/>
        <v>13.411538461538461</v>
      </c>
      <c r="BX21" s="44">
        <f t="shared" si="58"/>
        <v>1.3279484976837978E-2</v>
      </c>
      <c r="BY21" s="45">
        <f t="shared" si="59"/>
        <v>69.670307692307688</v>
      </c>
      <c r="BZ21" s="46">
        <f t="shared" si="60"/>
        <v>1.2540466742856235E-2</v>
      </c>
      <c r="CA21" s="47">
        <f t="shared" si="61"/>
        <v>65.793076923076924</v>
      </c>
      <c r="CB21" s="44">
        <f t="shared" si="62"/>
        <v>9.0089803456616883E-3</v>
      </c>
      <c r="CC21" s="48">
        <f t="shared" si="63"/>
        <v>47.265269230769228</v>
      </c>
      <c r="CD21" s="46">
        <f t="shared" si="64"/>
        <v>0.5090551067714586</v>
      </c>
      <c r="CE21" s="49">
        <f t="shared" si="65"/>
        <v>0.47459916958976622</v>
      </c>
      <c r="CF21" s="49">
        <f t="shared" si="66"/>
        <v>0.46481845007572292</v>
      </c>
      <c r="CG21" s="47">
        <f t="shared" si="67"/>
        <v>2489.9663076923075</v>
      </c>
      <c r="CH21" s="44">
        <f t="shared" si="2"/>
        <v>0.19691161171021651</v>
      </c>
      <c r="CI21" s="50">
        <f t="shared" si="3"/>
        <v>0.18358343950806816</v>
      </c>
      <c r="CJ21" s="50">
        <f t="shared" si="4"/>
        <v>0.17980008242633577</v>
      </c>
      <c r="CK21" s="45">
        <f t="shared" si="5"/>
        <v>963.16346153846155</v>
      </c>
      <c r="CL21" s="46">
        <f t="shared" si="6"/>
        <v>2.0146266054271514E-2</v>
      </c>
      <c r="CM21" s="49">
        <f t="shared" si="68"/>
        <v>1.8782644575225466E-2</v>
      </c>
      <c r="CN21" s="49">
        <f t="shared" si="69"/>
        <v>1.839556471901535E-2</v>
      </c>
      <c r="CO21" s="47">
        <f t="shared" si="70"/>
        <v>98.542423076923072</v>
      </c>
      <c r="CP21" s="44">
        <f t="shared" si="7"/>
        <v>4.0674548773647699E-2</v>
      </c>
      <c r="CQ21" s="50">
        <f t="shared" si="8"/>
        <v>3.7921448610628052E-2</v>
      </c>
      <c r="CR21" s="50">
        <f t="shared" si="71"/>
        <v>3.7139949029102538E-2</v>
      </c>
      <c r="CS21" s="45">
        <f t="shared" si="9"/>
        <v>198.95342307692309</v>
      </c>
      <c r="CT21" s="46">
        <f t="shared" si="10"/>
        <v>0.75423691412990479</v>
      </c>
      <c r="CU21" s="49">
        <f t="shared" si="11"/>
        <v>0.70318558513294249</v>
      </c>
      <c r="CV21" s="49">
        <f t="shared" si="12"/>
        <v>0.68869407015526429</v>
      </c>
      <c r="CW21" s="47">
        <f t="shared" si="13"/>
        <v>3689.2361538461541</v>
      </c>
      <c r="CX21" s="44">
        <f t="shared" si="14"/>
        <v>1.6413364927159755E-2</v>
      </c>
      <c r="CY21" s="50">
        <f t="shared" si="15"/>
        <v>1.4987050997987118E-2</v>
      </c>
      <c r="CZ21" s="48">
        <f t="shared" si="16"/>
        <v>15.496443949517445</v>
      </c>
      <c r="DA21" s="45">
        <f t="shared" si="17"/>
        <v>80.283500000000004</v>
      </c>
      <c r="DB21" s="51">
        <f t="shared" si="18"/>
        <v>1.3458952231187832E-3</v>
      </c>
      <c r="DC21" s="52">
        <f t="shared" si="19"/>
        <v>7.2097692307692309</v>
      </c>
      <c r="DD21" s="44">
        <f t="shared" si="20"/>
        <v>1.2227426932007616E-2</v>
      </c>
      <c r="DE21" s="50">
        <f t="shared" si="21"/>
        <v>1.1164869106207722E-2</v>
      </c>
      <c r="DF21" s="48">
        <f t="shared" si="22"/>
        <v>11.544350408314774</v>
      </c>
      <c r="DG21" s="45">
        <f t="shared" si="23"/>
        <v>59.808615384615386</v>
      </c>
      <c r="DH21" s="46">
        <f t="shared" si="24"/>
        <v>7.0536460366551045E-3</v>
      </c>
      <c r="DI21" s="49">
        <f t="shared" si="25"/>
        <v>6.4406874118890928E-3</v>
      </c>
      <c r="DJ21" s="47">
        <f t="shared" si="26"/>
        <v>6.6595991091314026</v>
      </c>
      <c r="DK21" s="44">
        <f t="shared" si="27"/>
        <v>6.1048705386099321E-2</v>
      </c>
      <c r="DL21" s="50">
        <f t="shared" si="28"/>
        <v>5.6916558728838794E-2</v>
      </c>
      <c r="DM21" s="50">
        <f t="shared" si="29"/>
        <v>5.574360072068945E-2</v>
      </c>
      <c r="DN21" s="45">
        <f t="shared" si="30"/>
        <v>298.61053846153845</v>
      </c>
      <c r="DO21" s="46">
        <f t="shared" si="31"/>
        <v>7.4274771358545421E-3</v>
      </c>
      <c r="DP21" s="49">
        <f t="shared" si="32"/>
        <v>6.7820327590009883E-3</v>
      </c>
      <c r="DQ21" s="47">
        <f t="shared" si="33"/>
        <v>36.330384615384617</v>
      </c>
      <c r="DR21" s="53">
        <f t="shared" si="34"/>
        <v>5.7162924467322455E-2</v>
      </c>
      <c r="DS21" s="45">
        <f t="shared" si="35"/>
        <v>306.21365384615387</v>
      </c>
      <c r="DT21" s="46">
        <f t="shared" si="72"/>
        <v>4.4820101498397077E-5</v>
      </c>
      <c r="DU21" s="49">
        <f t="shared" si="73"/>
        <v>4.1786405183080131E-5</v>
      </c>
      <c r="DV21" s="49">
        <f t="shared" si="74"/>
        <v>4.0925255112065166E-5</v>
      </c>
      <c r="DW21" s="47">
        <f t="shared" si="75"/>
        <v>0.21923076923076923</v>
      </c>
      <c r="DY21" s="54">
        <f>VLOOKUP(A21,'[3]Barnet Schools'!$E$8:$V$130,17,0)</f>
        <v>57</v>
      </c>
    </row>
    <row r="22" spans="1:129">
      <c r="A22" s="77">
        <v>2010</v>
      </c>
      <c r="B22" s="78">
        <v>10049</v>
      </c>
      <c r="C22" s="589" t="s">
        <v>46</v>
      </c>
      <c r="D22" s="595">
        <f>VLOOKUP(A22,[4]CFR20152016_BenchMarkDataReport!$B$3:$BO$99,18,0)</f>
        <v>1812525</v>
      </c>
      <c r="E22" s="595">
        <f>VLOOKUP(A22,[4]CFR20152016_BenchMarkDataReport!$B$3:$BO$99,19,0)</f>
        <v>0</v>
      </c>
      <c r="F22" s="595">
        <f>VLOOKUP(A22,[4]CFR20152016_BenchMarkDataReport!$B$3:$BO$99,20,0)</f>
        <v>313664</v>
      </c>
      <c r="G22" s="595">
        <f>VLOOKUP(A22,[4]CFR20152016_BenchMarkDataReport!$B$3:$BO$99,21,0)</f>
        <v>0</v>
      </c>
      <c r="H22" s="595">
        <f>VLOOKUP(A22,[4]CFR20152016_BenchMarkDataReport!$B$3:$BO$99,22,0)</f>
        <v>186940.05</v>
      </c>
      <c r="I22" s="595">
        <f>VLOOKUP(A22,[4]CFR20152016_BenchMarkDataReport!$B$3:$BO$99,23,0)</f>
        <v>18900</v>
      </c>
      <c r="J22" s="595">
        <f>VLOOKUP(A22,[4]CFR20152016_BenchMarkDataReport!$B$3:$BO$99,24,0)</f>
        <v>2140.2800000000002</v>
      </c>
      <c r="K22" s="595">
        <f>VLOOKUP(A22,[4]CFR20152016_BenchMarkDataReport!$B$3:$BO$99,25,0)</f>
        <v>37233.089999999997</v>
      </c>
      <c r="L22" s="595">
        <f>VLOOKUP(A22,[4]CFR20152016_BenchMarkDataReport!$B$3:$BO$99,26,0)</f>
        <v>29061.63</v>
      </c>
      <c r="M22" s="595">
        <f>VLOOKUP(A22,[4]CFR20152016_BenchMarkDataReport!$B$3:$BO$99,27,0)</f>
        <v>0</v>
      </c>
      <c r="N22" s="595">
        <f>VLOOKUP(A22,[4]CFR20152016_BenchMarkDataReport!$B$3:$BO$99,28,0)</f>
        <v>8807.19</v>
      </c>
      <c r="O22" s="595">
        <f>VLOOKUP(A22,[4]CFR20152016_BenchMarkDataReport!$B$3:$BO$99,29,0)</f>
        <v>13275.59</v>
      </c>
      <c r="P22" s="595">
        <f>VLOOKUP(A22,[4]CFR20152016_BenchMarkDataReport!$B$3:$BO$99,30,0)</f>
        <v>6766.27</v>
      </c>
      <c r="Q22" s="595">
        <f>VLOOKUP(A22,[4]CFR20152016_BenchMarkDataReport!$B$3:$BO$99,31,0)</f>
        <v>0</v>
      </c>
      <c r="R22" s="595">
        <f>VLOOKUP(A22,[4]CFR20152016_BenchMarkDataReport!$B$3:$BO$99,32,0)</f>
        <v>232274</v>
      </c>
      <c r="S22" s="595">
        <f>VLOOKUP(A22,[4]CFR20152016_BenchMarkDataReport!$B$3:$BO$99,33,0)</f>
        <v>3991.9</v>
      </c>
      <c r="T22" s="595">
        <f>VLOOKUP(A22,[4]CFR20152016_BenchMarkDataReport!$B$3:$BO$99,34,0)</f>
        <v>16946.72</v>
      </c>
      <c r="U22" s="595">
        <f>VLOOKUP(A22,[4]CFR20152016_BenchMarkDataReport!$B$3:$BO$99,35,0)</f>
        <v>1045040.05</v>
      </c>
      <c r="V22" s="595">
        <f>VLOOKUP(A22,[4]CFR20152016_BenchMarkDataReport!$B$3:$BO$99,36,0)</f>
        <v>0</v>
      </c>
      <c r="W22" s="595">
        <f>VLOOKUP(A22,[4]CFR20152016_BenchMarkDataReport!$B$3:$BO$99,37,0)</f>
        <v>584150.71</v>
      </c>
      <c r="X22" s="595">
        <f>VLOOKUP(A22,[4]CFR20152016_BenchMarkDataReport!$B$3:$BO$99,38,0)</f>
        <v>74368.990000000005</v>
      </c>
      <c r="Y22" s="595">
        <f>VLOOKUP(A22,[4]CFR20152016_BenchMarkDataReport!$B$3:$BO$99,39,0)</f>
        <v>96265.07</v>
      </c>
      <c r="Z22" s="595">
        <f>VLOOKUP(A22,[4]CFR20152016_BenchMarkDataReport!$B$3:$BO$99,40,0)</f>
        <v>0</v>
      </c>
      <c r="AA22" s="595">
        <f>VLOOKUP(A22,[4]CFR20152016_BenchMarkDataReport!$B$3:$BO$99,41,0)</f>
        <v>42750.65</v>
      </c>
      <c r="AB22" s="595">
        <f>VLOOKUP(A22,[4]CFR20152016_BenchMarkDataReport!$B$3:$BO$99,42,0)</f>
        <v>21575.78</v>
      </c>
      <c r="AC22" s="595">
        <f>VLOOKUP(A22,[4]CFR20152016_BenchMarkDataReport!$B$3:$BO$99,43,0)</f>
        <v>14708.86</v>
      </c>
      <c r="AD22" s="595">
        <f>VLOOKUP(A22,[4]CFR20152016_BenchMarkDataReport!$B$3:$BO$99,44,0)</f>
        <v>18446.150000000001</v>
      </c>
      <c r="AE22" s="595">
        <f>VLOOKUP(A22,[4]CFR20152016_BenchMarkDataReport!$B$3:$BO$99,45,0)</f>
        <v>1353.24</v>
      </c>
      <c r="AF22" s="595">
        <f>VLOOKUP(A22,[4]CFR20152016_BenchMarkDataReport!$B$3:$BO$99,46,0)</f>
        <v>44144.41</v>
      </c>
      <c r="AG22" s="595">
        <f>VLOOKUP(A22,[4]CFR20152016_BenchMarkDataReport!$B$3:$BO$99,47,0)</f>
        <v>173.6</v>
      </c>
      <c r="AH22" s="595">
        <f>VLOOKUP(A22,[4]CFR20152016_BenchMarkDataReport!$B$3:$BO$99,48,0)</f>
        <v>3737.57</v>
      </c>
      <c r="AI22" s="595">
        <f>VLOOKUP(A22,[4]CFR20152016_BenchMarkDataReport!$B$3:$BO$99,49,0)</f>
        <v>3847.55</v>
      </c>
      <c r="AJ22" s="595">
        <f>VLOOKUP(A22,[4]CFR20152016_BenchMarkDataReport!$B$3:$BO$99,50,0)</f>
        <v>24148.91</v>
      </c>
      <c r="AK22" s="595">
        <f>VLOOKUP(A22,[4]CFR20152016_BenchMarkDataReport!$B$3:$BO$99,51,0)</f>
        <v>15131.83</v>
      </c>
      <c r="AL22" s="595">
        <f>VLOOKUP(A22,[4]CFR20152016_BenchMarkDataReport!$B$3:$BO$99,52,0)</f>
        <v>9941.4599999999991</v>
      </c>
      <c r="AM22" s="595">
        <f>VLOOKUP(A22,[4]CFR20152016_BenchMarkDataReport!$B$3:$BO$99,53,0)</f>
        <v>68379.960000000006</v>
      </c>
      <c r="AN22" s="595">
        <f>VLOOKUP(A22,[4]CFR20152016_BenchMarkDataReport!$B$3:$BO$99,54,0)</f>
        <v>33898.480000000003</v>
      </c>
      <c r="AO22" s="595">
        <f>VLOOKUP(A22,[4]CFR20152016_BenchMarkDataReport!$B$3:$BO$99,55,0)</f>
        <v>0</v>
      </c>
      <c r="AP22" s="595">
        <f>VLOOKUP(A22,[4]CFR20152016_BenchMarkDataReport!$B$3:$BO$99,56,0)</f>
        <v>14430.19</v>
      </c>
      <c r="AQ22" s="595">
        <f>VLOOKUP(A22,[4]CFR20152016_BenchMarkDataReport!$B$3:$BO$99,57,0)</f>
        <v>8391.24</v>
      </c>
      <c r="AR22" s="595">
        <f>VLOOKUP(A22,[4]CFR20152016_BenchMarkDataReport!$B$3:$BO$99,58,0)</f>
        <v>15943.06</v>
      </c>
      <c r="AS22" s="595">
        <f>VLOOKUP(A22,[4]CFR20152016_BenchMarkDataReport!$B$3:$BO$99,59,0)</f>
        <v>91567</v>
      </c>
      <c r="AT22" s="595">
        <f>VLOOKUP(A22,[4]CFR20152016_BenchMarkDataReport!$B$3:$BO$99,60,0)</f>
        <v>97227.97</v>
      </c>
      <c r="AU22" s="595">
        <f>VLOOKUP(A22,[4]CFR20152016_BenchMarkDataReport!$B$3:$BO$99,61,0)</f>
        <v>124989.83</v>
      </c>
      <c r="AV22" s="595">
        <f>VLOOKUP(A22,[4]CFR20152016_BenchMarkDataReport!$B$3:$BO$99,62,0)</f>
        <v>54504.26</v>
      </c>
      <c r="AW22" s="595">
        <f>VLOOKUP(A22,[4]CFR20152016_BenchMarkDataReport!$B$3:$BO$99,63,0)</f>
        <v>0</v>
      </c>
      <c r="AX22" s="595">
        <f>VLOOKUP(A22,[4]CFR20152016_BenchMarkDataReport!$B$3:$BO$99,64,0)</f>
        <v>0</v>
      </c>
      <c r="AY22" s="595">
        <f>VLOOKUP(A22,[4]CFR20152016_BenchMarkDataReport!$B$3:$BO$99,65,0)</f>
        <v>155307.35</v>
      </c>
      <c r="AZ22" s="595">
        <f>VLOOKUP(A22,[4]CFR20152016_BenchMarkDataReport!$B$3:$BO$99,66,0)</f>
        <v>25051.89</v>
      </c>
      <c r="BA22" s="596">
        <f t="shared" si="0"/>
        <v>2446259.8199999994</v>
      </c>
      <c r="BB22" s="595">
        <f t="shared" si="42"/>
        <v>2509116.8200000003</v>
      </c>
      <c r="BC22" s="600">
        <f t="shared" si="43"/>
        <v>-62857.000000000931</v>
      </c>
      <c r="BD22" s="595">
        <f>VLOOKUP(A22,[4]CFR20152016_BenchMarkDataReport!$B$3:$BO$99,15,0)</f>
        <v>114846</v>
      </c>
      <c r="BE22" s="600">
        <f t="shared" si="1"/>
        <v>51988.999999999069</v>
      </c>
      <c r="BF22" s="76">
        <f>VLOOKUP(A22,'OCT 15 CENSUS'!$B$9:$U$132,20,0)</f>
        <v>357</v>
      </c>
      <c r="BG22" s="73">
        <f>VLOOKUP(A22,'[2]BUDGET SHARE inc ADJUSTMENTS'!$D$4:$M$139,10,0)</f>
        <v>2320600.4982741312</v>
      </c>
      <c r="BH22" s="76">
        <f>VLOOKUP(A22,'12-13 Pupil Data'!A:CI,81,0)</f>
        <v>2576</v>
      </c>
      <c r="BI22" t="s">
        <v>210</v>
      </c>
      <c r="BJ22" s="44">
        <f t="shared" si="44"/>
        <v>0.74093724026420071</v>
      </c>
      <c r="BK22" s="45">
        <f t="shared" si="45"/>
        <v>5077.1008403361348</v>
      </c>
      <c r="BL22" s="44">
        <f t="shared" si="46"/>
        <v>0</v>
      </c>
      <c r="BM22" s="45">
        <f t="shared" si="47"/>
        <v>0</v>
      </c>
      <c r="BN22" s="44">
        <f t="shared" si="48"/>
        <v>0.12822186647369291</v>
      </c>
      <c r="BO22" s="45">
        <f t="shared" si="49"/>
        <v>878.61064425770303</v>
      </c>
      <c r="BP22" s="44">
        <f t="shared" si="50"/>
        <v>0</v>
      </c>
      <c r="BQ22" s="45">
        <f t="shared" si="51"/>
        <v>0</v>
      </c>
      <c r="BR22" s="44">
        <f t="shared" si="52"/>
        <v>7.6418722357954619E-2</v>
      </c>
      <c r="BS22" s="45">
        <f t="shared" si="53"/>
        <v>523.64159663865541</v>
      </c>
      <c r="BT22" s="44">
        <f t="shared" si="54"/>
        <v>7.7260803801290434E-3</v>
      </c>
      <c r="BU22" s="45">
        <f t="shared" si="55"/>
        <v>52.941176470588232</v>
      </c>
      <c r="BV22" s="44">
        <f t="shared" si="56"/>
        <v>8.7491932888796769E-4</v>
      </c>
      <c r="BW22" s="45">
        <f t="shared" si="57"/>
        <v>5.9951820728291318</v>
      </c>
      <c r="BX22" s="44">
        <f t="shared" si="58"/>
        <v>1.5220415139713167E-2</v>
      </c>
      <c r="BY22" s="45">
        <f t="shared" si="59"/>
        <v>104.29436974789915</v>
      </c>
      <c r="BZ22" s="46">
        <f t="shared" si="60"/>
        <v>5.4268928800866312E-3</v>
      </c>
      <c r="CA22" s="47">
        <f t="shared" si="61"/>
        <v>37.186526610644258</v>
      </c>
      <c r="CB22" s="44">
        <f t="shared" si="62"/>
        <v>2.7659653911987167E-3</v>
      </c>
      <c r="CC22" s="48">
        <f t="shared" si="63"/>
        <v>18.953137254901961</v>
      </c>
      <c r="CD22" s="46">
        <f t="shared" si="64"/>
        <v>0.49222949872221589</v>
      </c>
      <c r="CE22" s="49">
        <f t="shared" si="65"/>
        <v>0.46694468455930421</v>
      </c>
      <c r="CF22" s="49">
        <f t="shared" si="66"/>
        <v>0.45524704585097792</v>
      </c>
      <c r="CG22" s="47">
        <f t="shared" si="67"/>
        <v>3199.6303081232495</v>
      </c>
      <c r="CH22" s="44">
        <f t="shared" si="2"/>
        <v>0.25172394405432663</v>
      </c>
      <c r="CI22" s="50">
        <f t="shared" si="3"/>
        <v>0.23879340421002382</v>
      </c>
      <c r="CJ22" s="50">
        <f t="shared" si="4"/>
        <v>0.23281128456984315</v>
      </c>
      <c r="CK22" s="45">
        <f t="shared" si="5"/>
        <v>1636.2764985994397</v>
      </c>
      <c r="CL22" s="46">
        <f t="shared" si="6"/>
        <v>3.2047304159121506E-2</v>
      </c>
      <c r="CM22" s="49">
        <f t="shared" si="68"/>
        <v>3.0401100239630319E-2</v>
      </c>
      <c r="CN22" s="49">
        <f t="shared" si="69"/>
        <v>2.9639508773449615E-2</v>
      </c>
      <c r="CO22" s="47">
        <f t="shared" si="70"/>
        <v>208.3164985994398</v>
      </c>
      <c r="CP22" s="44">
        <f t="shared" si="7"/>
        <v>4.1482827428328969E-2</v>
      </c>
      <c r="CQ22" s="50">
        <f t="shared" si="8"/>
        <v>3.9351940138558146E-2</v>
      </c>
      <c r="CR22" s="50">
        <f t="shared" si="71"/>
        <v>3.8366117206133109E-2</v>
      </c>
      <c r="CS22" s="45">
        <f t="shared" si="9"/>
        <v>269.65005602240899</v>
      </c>
      <c r="CT22" s="46">
        <f t="shared" si="10"/>
        <v>0.79400804721465568</v>
      </c>
      <c r="CU22" s="49">
        <f t="shared" si="11"/>
        <v>0.75322149141132544</v>
      </c>
      <c r="CV22" s="49">
        <f t="shared" si="12"/>
        <v>0.73435220525124845</v>
      </c>
      <c r="CW22" s="47">
        <f t="shared" si="13"/>
        <v>5161.2758263305323</v>
      </c>
      <c r="CX22" s="44">
        <f t="shared" si="14"/>
        <v>1.9022839145656879E-2</v>
      </c>
      <c r="CY22" s="50">
        <f t="shared" si="15"/>
        <v>1.7593604908359747E-2</v>
      </c>
      <c r="CZ22" s="48">
        <f t="shared" si="16"/>
        <v>17.136805124223603</v>
      </c>
      <c r="DA22" s="45">
        <f t="shared" si="17"/>
        <v>123.65380952380953</v>
      </c>
      <c r="DB22" s="51">
        <f t="shared" si="18"/>
        <v>1.5334280051576075E-3</v>
      </c>
      <c r="DC22" s="52">
        <f t="shared" si="19"/>
        <v>10.777450980392157</v>
      </c>
      <c r="DD22" s="44">
        <f t="shared" si="20"/>
        <v>1.0406319406532897E-2</v>
      </c>
      <c r="DE22" s="50">
        <f t="shared" si="21"/>
        <v>9.6244661896611079E-3</v>
      </c>
      <c r="DF22" s="48">
        <f t="shared" si="22"/>
        <v>9.3745768633540365</v>
      </c>
      <c r="DG22" s="45">
        <f t="shared" si="23"/>
        <v>67.644005602240895</v>
      </c>
      <c r="DH22" s="46">
        <f t="shared" si="24"/>
        <v>4.2840032170094015E-3</v>
      </c>
      <c r="DI22" s="49">
        <f t="shared" si="25"/>
        <v>3.9621351707331016E-3</v>
      </c>
      <c r="DJ22" s="47">
        <f t="shared" si="26"/>
        <v>3.8592624223602483</v>
      </c>
      <c r="DK22" s="44">
        <f t="shared" si="27"/>
        <v>2.9466493716111545E-2</v>
      </c>
      <c r="DL22" s="50">
        <f t="shared" si="28"/>
        <v>2.7952860706349673E-2</v>
      </c>
      <c r="DM22" s="50">
        <f t="shared" si="29"/>
        <v>2.7252601176217854E-2</v>
      </c>
      <c r="DN22" s="45">
        <f t="shared" si="30"/>
        <v>191.54050420168068</v>
      </c>
      <c r="DO22" s="46">
        <f t="shared" si="31"/>
        <v>6.2182999662078716E-3</v>
      </c>
      <c r="DP22" s="49">
        <f t="shared" si="32"/>
        <v>5.7511032905992786E-3</v>
      </c>
      <c r="DQ22" s="47">
        <f t="shared" si="33"/>
        <v>40.420700280112044</v>
      </c>
      <c r="DR22" s="53">
        <f t="shared" si="34"/>
        <v>3.6493717339155213E-2</v>
      </c>
      <c r="DS22" s="45">
        <f t="shared" si="35"/>
        <v>256.49019607843138</v>
      </c>
      <c r="DT22" s="46" t="e">
        <f t="shared" si="72"/>
        <v>#VALUE!</v>
      </c>
      <c r="DU22" s="49" t="e">
        <f t="shared" si="73"/>
        <v>#VALUE!</v>
      </c>
      <c r="DV22" s="49" t="e">
        <f t="shared" si="74"/>
        <v>#VALUE!</v>
      </c>
      <c r="DW22" s="47" t="e">
        <f t="shared" si="75"/>
        <v>#VALUE!</v>
      </c>
      <c r="DY22" s="594" t="s">
        <v>499</v>
      </c>
    </row>
    <row r="23" spans="1:129">
      <c r="A23" s="77">
        <v>3302</v>
      </c>
      <c r="B23" s="78">
        <v>10050</v>
      </c>
      <c r="C23" s="589" t="s">
        <v>47</v>
      </c>
      <c r="D23" s="595">
        <f>VLOOKUP(A23,[4]CFR20152016_BenchMarkDataReport!$B$3:$BO$99,18,0)</f>
        <v>824412</v>
      </c>
      <c r="E23" s="595">
        <f>VLOOKUP(A23,[4]CFR20152016_BenchMarkDataReport!$B$3:$BO$99,19,0)</f>
        <v>0</v>
      </c>
      <c r="F23" s="595">
        <f>VLOOKUP(A23,[4]CFR20152016_BenchMarkDataReport!$B$3:$BO$99,20,0)</f>
        <v>29376</v>
      </c>
      <c r="G23" s="595">
        <f>VLOOKUP(A23,[4]CFR20152016_BenchMarkDataReport!$B$3:$BO$99,21,0)</f>
        <v>0</v>
      </c>
      <c r="H23" s="595">
        <f>VLOOKUP(A23,[4]CFR20152016_BenchMarkDataReport!$B$3:$BO$99,22,0)</f>
        <v>17536.009999999998</v>
      </c>
      <c r="I23" s="595">
        <f>VLOOKUP(A23,[4]CFR20152016_BenchMarkDataReport!$B$3:$BO$99,23,0)</f>
        <v>1000</v>
      </c>
      <c r="J23" s="595">
        <f>VLOOKUP(A23,[4]CFR20152016_BenchMarkDataReport!$B$3:$BO$99,24,0)</f>
        <v>9970</v>
      </c>
      <c r="K23" s="595">
        <f>VLOOKUP(A23,[4]CFR20152016_BenchMarkDataReport!$B$3:$BO$99,25,0)</f>
        <v>15714.67</v>
      </c>
      <c r="L23" s="595">
        <f>VLOOKUP(A23,[4]CFR20152016_BenchMarkDataReport!$B$3:$BO$99,26,0)</f>
        <v>33385.42</v>
      </c>
      <c r="M23" s="595">
        <f>VLOOKUP(A23,[4]CFR20152016_BenchMarkDataReport!$B$3:$BO$99,27,0)</f>
        <v>0</v>
      </c>
      <c r="N23" s="595">
        <f>VLOOKUP(A23,[4]CFR20152016_BenchMarkDataReport!$B$3:$BO$99,28,0)</f>
        <v>0</v>
      </c>
      <c r="O23" s="595">
        <f>VLOOKUP(A23,[4]CFR20152016_BenchMarkDataReport!$B$3:$BO$99,29,0)</f>
        <v>38484.449999999997</v>
      </c>
      <c r="P23" s="595">
        <f>VLOOKUP(A23,[4]CFR20152016_BenchMarkDataReport!$B$3:$BO$99,30,0)</f>
        <v>18705.93</v>
      </c>
      <c r="Q23" s="595">
        <f>VLOOKUP(A23,[4]CFR20152016_BenchMarkDataReport!$B$3:$BO$99,31,0)</f>
        <v>0</v>
      </c>
      <c r="R23" s="595">
        <f>VLOOKUP(A23,[4]CFR20152016_BenchMarkDataReport!$B$3:$BO$99,32,0)</f>
        <v>0</v>
      </c>
      <c r="S23" s="595">
        <f>VLOOKUP(A23,[4]CFR20152016_BenchMarkDataReport!$B$3:$BO$99,33,0)</f>
        <v>0</v>
      </c>
      <c r="T23" s="595">
        <f>VLOOKUP(A23,[4]CFR20152016_BenchMarkDataReport!$B$3:$BO$99,34,0)</f>
        <v>44916.57</v>
      </c>
      <c r="U23" s="595">
        <f>VLOOKUP(A23,[4]CFR20152016_BenchMarkDataReport!$B$3:$BO$99,35,0)</f>
        <v>460910.13</v>
      </c>
      <c r="V23" s="595">
        <f>VLOOKUP(A23,[4]CFR20152016_BenchMarkDataReport!$B$3:$BO$99,36,0)</f>
        <v>5687.42</v>
      </c>
      <c r="W23" s="595">
        <f>VLOOKUP(A23,[4]CFR20152016_BenchMarkDataReport!$B$3:$BO$99,37,0)</f>
        <v>143638.88</v>
      </c>
      <c r="X23" s="595">
        <f>VLOOKUP(A23,[4]CFR20152016_BenchMarkDataReport!$B$3:$BO$99,38,0)</f>
        <v>31300.3</v>
      </c>
      <c r="Y23" s="595">
        <f>VLOOKUP(A23,[4]CFR20152016_BenchMarkDataReport!$B$3:$BO$99,39,0)</f>
        <v>36455.980000000003</v>
      </c>
      <c r="Z23" s="595">
        <f>VLOOKUP(A23,[4]CFR20152016_BenchMarkDataReport!$B$3:$BO$99,40,0)</f>
        <v>0</v>
      </c>
      <c r="AA23" s="595">
        <f>VLOOKUP(A23,[4]CFR20152016_BenchMarkDataReport!$B$3:$BO$99,41,0)</f>
        <v>22277.279999999999</v>
      </c>
      <c r="AB23" s="595">
        <f>VLOOKUP(A23,[4]CFR20152016_BenchMarkDataReport!$B$3:$BO$99,42,0)</f>
        <v>6730.85</v>
      </c>
      <c r="AC23" s="595">
        <f>VLOOKUP(A23,[4]CFR20152016_BenchMarkDataReport!$B$3:$BO$99,43,0)</f>
        <v>8356.16</v>
      </c>
      <c r="AD23" s="595">
        <f>VLOOKUP(A23,[4]CFR20152016_BenchMarkDataReport!$B$3:$BO$99,44,0)</f>
        <v>0</v>
      </c>
      <c r="AE23" s="595">
        <f>VLOOKUP(A23,[4]CFR20152016_BenchMarkDataReport!$B$3:$BO$99,45,0)</f>
        <v>957.6</v>
      </c>
      <c r="AF23" s="595">
        <f>VLOOKUP(A23,[4]CFR20152016_BenchMarkDataReport!$B$3:$BO$99,46,0)</f>
        <v>28527.040000000001</v>
      </c>
      <c r="AG23" s="595">
        <f>VLOOKUP(A23,[4]CFR20152016_BenchMarkDataReport!$B$3:$BO$99,47,0)</f>
        <v>281.68</v>
      </c>
      <c r="AH23" s="595">
        <f>VLOOKUP(A23,[4]CFR20152016_BenchMarkDataReport!$B$3:$BO$99,48,0)</f>
        <v>12303.63</v>
      </c>
      <c r="AI23" s="595">
        <f>VLOOKUP(A23,[4]CFR20152016_BenchMarkDataReport!$B$3:$BO$99,49,0)</f>
        <v>2069.58</v>
      </c>
      <c r="AJ23" s="595">
        <f>VLOOKUP(A23,[4]CFR20152016_BenchMarkDataReport!$B$3:$BO$99,50,0)</f>
        <v>17342.48</v>
      </c>
      <c r="AK23" s="595">
        <f>VLOOKUP(A23,[4]CFR20152016_BenchMarkDataReport!$B$3:$BO$99,51,0)</f>
        <v>0</v>
      </c>
      <c r="AL23" s="595">
        <f>VLOOKUP(A23,[4]CFR20152016_BenchMarkDataReport!$B$3:$BO$99,52,0)</f>
        <v>2893.63</v>
      </c>
      <c r="AM23" s="595">
        <f>VLOOKUP(A23,[4]CFR20152016_BenchMarkDataReport!$B$3:$BO$99,53,0)</f>
        <v>58179.21</v>
      </c>
      <c r="AN23" s="595">
        <f>VLOOKUP(A23,[4]CFR20152016_BenchMarkDataReport!$B$3:$BO$99,54,0)</f>
        <v>18229.59</v>
      </c>
      <c r="AO23" s="595">
        <f>VLOOKUP(A23,[4]CFR20152016_BenchMarkDataReport!$B$3:$BO$99,55,0)</f>
        <v>0</v>
      </c>
      <c r="AP23" s="595">
        <f>VLOOKUP(A23,[4]CFR20152016_BenchMarkDataReport!$B$3:$BO$99,56,0)</f>
        <v>10895.49</v>
      </c>
      <c r="AQ23" s="595">
        <f>VLOOKUP(A23,[4]CFR20152016_BenchMarkDataReport!$B$3:$BO$99,57,0)</f>
        <v>2756.5</v>
      </c>
      <c r="AR23" s="595">
        <f>VLOOKUP(A23,[4]CFR20152016_BenchMarkDataReport!$B$3:$BO$99,58,0)</f>
        <v>1295.07</v>
      </c>
      <c r="AS23" s="595">
        <f>VLOOKUP(A23,[4]CFR20152016_BenchMarkDataReport!$B$3:$BO$99,59,0)</f>
        <v>64424</v>
      </c>
      <c r="AT23" s="595">
        <f>VLOOKUP(A23,[4]CFR20152016_BenchMarkDataReport!$B$3:$BO$99,60,0)</f>
        <v>44299.47</v>
      </c>
      <c r="AU23" s="595">
        <f>VLOOKUP(A23,[4]CFR20152016_BenchMarkDataReport!$B$3:$BO$99,61,0)</f>
        <v>29248.94</v>
      </c>
      <c r="AV23" s="595">
        <f>VLOOKUP(A23,[4]CFR20152016_BenchMarkDataReport!$B$3:$BO$99,62,0)</f>
        <v>29998.33</v>
      </c>
      <c r="AW23" s="595">
        <f>VLOOKUP(A23,[4]CFR20152016_BenchMarkDataReport!$B$3:$BO$99,63,0)</f>
        <v>0</v>
      </c>
      <c r="AX23" s="595">
        <f>VLOOKUP(A23,[4]CFR20152016_BenchMarkDataReport!$B$3:$BO$99,64,0)</f>
        <v>19930.810000000001</v>
      </c>
      <c r="AY23" s="595">
        <f>VLOOKUP(A23,[4]CFR20152016_BenchMarkDataReport!$B$3:$BO$99,65,0)</f>
        <v>0</v>
      </c>
      <c r="AZ23" s="595">
        <f>VLOOKUP(A23,[4]CFR20152016_BenchMarkDataReport!$B$3:$BO$99,66,0)</f>
        <v>0</v>
      </c>
      <c r="BA23" s="596">
        <f t="shared" si="0"/>
        <v>1033501.05</v>
      </c>
      <c r="BB23" s="595">
        <f t="shared" si="42"/>
        <v>1058990.0499999998</v>
      </c>
      <c r="BC23" s="600">
        <f t="shared" si="43"/>
        <v>-25488.999999999767</v>
      </c>
      <c r="BD23" s="595">
        <f>VLOOKUP(A23,[4]CFR20152016_BenchMarkDataReport!$B$3:$BO$99,15,0)</f>
        <v>96808</v>
      </c>
      <c r="BE23" s="600">
        <f t="shared" si="1"/>
        <v>71319.000000000233</v>
      </c>
      <c r="BF23" s="76">
        <f>VLOOKUP(A23,'OCT 15 CENSUS'!$B$9:$U$132,20,0)</f>
        <v>220</v>
      </c>
      <c r="BG23" s="73">
        <f>VLOOKUP(A23,'[2]BUDGET SHARE inc ADJUSTMENTS'!$D$4:$M$139,10,0)</f>
        <v>957680.79439079738</v>
      </c>
      <c r="BH23" s="76">
        <f>VLOOKUP(A23,'12-13 Pupil Data'!A:CI,81,0)</f>
        <v>1252</v>
      </c>
      <c r="BI23" t="s">
        <v>210</v>
      </c>
      <c r="BJ23" s="44">
        <f t="shared" si="44"/>
        <v>0.79768859451086183</v>
      </c>
      <c r="BK23" s="45">
        <f t="shared" si="45"/>
        <v>3747.3272727272729</v>
      </c>
      <c r="BL23" s="44">
        <f t="shared" si="46"/>
        <v>0</v>
      </c>
      <c r="BM23" s="45">
        <f t="shared" si="47"/>
        <v>0</v>
      </c>
      <c r="BN23" s="44">
        <f t="shared" si="48"/>
        <v>2.8423773734917831E-2</v>
      </c>
      <c r="BO23" s="45">
        <f t="shared" si="49"/>
        <v>133.52727272727273</v>
      </c>
      <c r="BP23" s="44">
        <f t="shared" si="50"/>
        <v>0</v>
      </c>
      <c r="BQ23" s="45">
        <f t="shared" si="51"/>
        <v>0</v>
      </c>
      <c r="BR23" s="44">
        <f t="shared" si="52"/>
        <v>1.6967578310636451E-2</v>
      </c>
      <c r="BS23" s="45">
        <f t="shared" si="53"/>
        <v>79.709136363636361</v>
      </c>
      <c r="BT23" s="44">
        <f t="shared" si="54"/>
        <v>9.6758489021370609E-4</v>
      </c>
      <c r="BU23" s="45">
        <f t="shared" si="55"/>
        <v>4.5454545454545459</v>
      </c>
      <c r="BV23" s="44">
        <f t="shared" si="56"/>
        <v>9.6468213554306501E-3</v>
      </c>
      <c r="BW23" s="45">
        <f t="shared" si="57"/>
        <v>45.31818181818182</v>
      </c>
      <c r="BX23" s="44">
        <f t="shared" si="58"/>
        <v>1.5205277246694621E-2</v>
      </c>
      <c r="BY23" s="45">
        <f t="shared" si="59"/>
        <v>71.43031818181818</v>
      </c>
      <c r="BZ23" s="46">
        <f t="shared" si="60"/>
        <v>3.7236972328184861E-2</v>
      </c>
      <c r="CA23" s="47">
        <f t="shared" si="61"/>
        <v>174.92931818181816</v>
      </c>
      <c r="CB23" s="44">
        <f t="shared" si="62"/>
        <v>1.8099575225395272E-2</v>
      </c>
      <c r="CC23" s="48">
        <f t="shared" si="63"/>
        <v>85.026954545454544</v>
      </c>
      <c r="CD23" s="46">
        <f t="shared" si="64"/>
        <v>0.53347318124406296</v>
      </c>
      <c r="CE23" s="49">
        <f t="shared" si="65"/>
        <v>0.49433623700720963</v>
      </c>
      <c r="CF23" s="49">
        <f t="shared" si="66"/>
        <v>0.4824379794692123</v>
      </c>
      <c r="CG23" s="47">
        <f t="shared" si="67"/>
        <v>2322.2591818181818</v>
      </c>
      <c r="CH23" s="44">
        <f t="shared" si="2"/>
        <v>0.14998617581275814</v>
      </c>
      <c r="CI23" s="50">
        <f t="shared" si="3"/>
        <v>0.13898280993521972</v>
      </c>
      <c r="CJ23" s="50">
        <f t="shared" si="4"/>
        <v>0.13563761057056203</v>
      </c>
      <c r="CK23" s="45">
        <f t="shared" si="5"/>
        <v>652.904</v>
      </c>
      <c r="CL23" s="46">
        <f t="shared" si="6"/>
        <v>3.2683437094413945E-2</v>
      </c>
      <c r="CM23" s="49">
        <f t="shared" si="68"/>
        <v>3.0285697339156065E-2</v>
      </c>
      <c r="CN23" s="49">
        <f t="shared" si="69"/>
        <v>2.9556746071410213E-2</v>
      </c>
      <c r="CO23" s="47">
        <f t="shared" si="70"/>
        <v>142.27409090909092</v>
      </c>
      <c r="CP23" s="44">
        <f t="shared" si="7"/>
        <v>3.8066942778350779E-2</v>
      </c>
      <c r="CQ23" s="50">
        <f t="shared" si="8"/>
        <v>3.5274255405933069E-2</v>
      </c>
      <c r="CR23" s="50">
        <f t="shared" si="71"/>
        <v>3.4425233740392566E-2</v>
      </c>
      <c r="CS23" s="45">
        <f t="shared" si="9"/>
        <v>165.709</v>
      </c>
      <c r="CT23" s="46">
        <f t="shared" si="10"/>
        <v>0.73121440265016246</v>
      </c>
      <c r="CU23" s="49">
        <f t="shared" si="11"/>
        <v>0.67757066139410305</v>
      </c>
      <c r="CV23" s="49">
        <f t="shared" si="12"/>
        <v>0.66126210534272734</v>
      </c>
      <c r="CW23" s="47">
        <f t="shared" si="13"/>
        <v>3183.0454090909088</v>
      </c>
      <c r="CX23" s="44">
        <f t="shared" si="14"/>
        <v>2.9787628787258602E-2</v>
      </c>
      <c r="CY23" s="50">
        <f t="shared" si="15"/>
        <v>2.6937967925194393E-2</v>
      </c>
      <c r="CZ23" s="48">
        <f t="shared" si="16"/>
        <v>22.785175718849842</v>
      </c>
      <c r="DA23" s="45">
        <f t="shared" si="17"/>
        <v>129.66836363636364</v>
      </c>
      <c r="DB23" s="51">
        <f t="shared" si="18"/>
        <v>1.9542959822899187E-3</v>
      </c>
      <c r="DC23" s="52">
        <f t="shared" si="19"/>
        <v>9.407181818181817</v>
      </c>
      <c r="DD23" s="44">
        <f t="shared" si="20"/>
        <v>1.8108831357563089E-2</v>
      </c>
      <c r="DE23" s="50">
        <f t="shared" si="21"/>
        <v>1.6376433376309819E-2</v>
      </c>
      <c r="DF23" s="48">
        <f t="shared" si="22"/>
        <v>13.85182108626198</v>
      </c>
      <c r="DG23" s="45">
        <f t="shared" si="23"/>
        <v>78.829454545454539</v>
      </c>
      <c r="DH23" s="46">
        <f t="shared" si="24"/>
        <v>3.0214973683801443E-3</v>
      </c>
      <c r="DI23" s="49">
        <f t="shared" si="25"/>
        <v>2.7324430479776468E-3</v>
      </c>
      <c r="DJ23" s="47">
        <f t="shared" si="26"/>
        <v>2.3112060702875401</v>
      </c>
      <c r="DK23" s="44">
        <f t="shared" si="27"/>
        <v>6.0750106236607912E-2</v>
      </c>
      <c r="DL23" s="50">
        <f t="shared" si="28"/>
        <v>5.6293324520570148E-2</v>
      </c>
      <c r="DM23" s="50">
        <f t="shared" si="29"/>
        <v>5.4938391536351085E-2</v>
      </c>
      <c r="DN23" s="45">
        <f t="shared" si="30"/>
        <v>264.45095454545452</v>
      </c>
      <c r="DO23" s="46">
        <f t="shared" si="31"/>
        <v>1.1376953640310673E-2</v>
      </c>
      <c r="DP23" s="49">
        <f t="shared" si="32"/>
        <v>1.0288566922795924E-2</v>
      </c>
      <c r="DQ23" s="47">
        <f t="shared" si="33"/>
        <v>49.524954545454541</v>
      </c>
      <c r="DR23" s="53">
        <f t="shared" si="34"/>
        <v>6.0835321351697322E-2</v>
      </c>
      <c r="DS23" s="45">
        <f t="shared" si="35"/>
        <v>292.83636363636361</v>
      </c>
      <c r="DT23" s="46">
        <f t="shared" si="72"/>
        <v>1.3574460379848795E-5</v>
      </c>
      <c r="DU23" s="49">
        <f t="shared" si="73"/>
        <v>1.2578603572778178E-5</v>
      </c>
      <c r="DV23" s="49">
        <f t="shared" si="74"/>
        <v>1.2275847162114509E-5</v>
      </c>
      <c r="DW23" s="47">
        <f t="shared" si="75"/>
        <v>5.909090909090909E-2</v>
      </c>
      <c r="DY23" s="54">
        <f>VLOOKUP(A23,'[3]Barnet Schools'!$E$8:$V$130,17,0)</f>
        <v>13</v>
      </c>
    </row>
    <row r="24" spans="1:129">
      <c r="A24" s="77">
        <v>2011</v>
      </c>
      <c r="B24" s="78">
        <v>10051</v>
      </c>
      <c r="C24" s="589" t="s">
        <v>48</v>
      </c>
      <c r="D24" s="595">
        <f>VLOOKUP(A24,[4]CFR20152016_BenchMarkDataReport!$B$3:$BO$99,18,0)</f>
        <v>979032</v>
      </c>
      <c r="E24" s="595">
        <f>VLOOKUP(A24,[4]CFR20152016_BenchMarkDataReport!$B$3:$BO$99,19,0)</f>
        <v>0</v>
      </c>
      <c r="F24" s="595">
        <f>VLOOKUP(A24,[4]CFR20152016_BenchMarkDataReport!$B$3:$BO$99,20,0)</f>
        <v>53725</v>
      </c>
      <c r="G24" s="595">
        <f>VLOOKUP(A24,[4]CFR20152016_BenchMarkDataReport!$B$3:$BO$99,21,0)</f>
        <v>0</v>
      </c>
      <c r="H24" s="595">
        <f>VLOOKUP(A24,[4]CFR20152016_BenchMarkDataReport!$B$3:$BO$99,22,0)</f>
        <v>52479.89</v>
      </c>
      <c r="I24" s="595">
        <f>VLOOKUP(A24,[4]CFR20152016_BenchMarkDataReport!$B$3:$BO$99,23,0)</f>
        <v>0</v>
      </c>
      <c r="J24" s="595">
        <f>VLOOKUP(A24,[4]CFR20152016_BenchMarkDataReport!$B$3:$BO$99,24,0)</f>
        <v>879.66</v>
      </c>
      <c r="K24" s="595">
        <f>VLOOKUP(A24,[4]CFR20152016_BenchMarkDataReport!$B$3:$BO$99,25,0)</f>
        <v>20080.07</v>
      </c>
      <c r="L24" s="595">
        <f>VLOOKUP(A24,[4]CFR20152016_BenchMarkDataReport!$B$3:$BO$99,26,0)</f>
        <v>32567.03</v>
      </c>
      <c r="M24" s="595">
        <f>VLOOKUP(A24,[4]CFR20152016_BenchMarkDataReport!$B$3:$BO$99,27,0)</f>
        <v>5441</v>
      </c>
      <c r="N24" s="595">
        <f>VLOOKUP(A24,[4]CFR20152016_BenchMarkDataReport!$B$3:$BO$99,28,0)</f>
        <v>0</v>
      </c>
      <c r="O24" s="595">
        <f>VLOOKUP(A24,[4]CFR20152016_BenchMarkDataReport!$B$3:$BO$99,29,0)</f>
        <v>33099.599999999999</v>
      </c>
      <c r="P24" s="595">
        <f>VLOOKUP(A24,[4]CFR20152016_BenchMarkDataReport!$B$3:$BO$99,30,0)</f>
        <v>15131.9</v>
      </c>
      <c r="Q24" s="595">
        <f>VLOOKUP(A24,[4]CFR20152016_BenchMarkDataReport!$B$3:$BO$99,31,0)</f>
        <v>0</v>
      </c>
      <c r="R24" s="595">
        <f>VLOOKUP(A24,[4]CFR20152016_BenchMarkDataReport!$B$3:$BO$99,32,0)</f>
        <v>0</v>
      </c>
      <c r="S24" s="595">
        <f>VLOOKUP(A24,[4]CFR20152016_BenchMarkDataReport!$B$3:$BO$99,33,0)</f>
        <v>0</v>
      </c>
      <c r="T24" s="595">
        <f>VLOOKUP(A24,[4]CFR20152016_BenchMarkDataReport!$B$3:$BO$99,34,0)</f>
        <v>34618.65</v>
      </c>
      <c r="U24" s="595">
        <f>VLOOKUP(A24,[4]CFR20152016_BenchMarkDataReport!$B$3:$BO$99,35,0)</f>
        <v>534858.89</v>
      </c>
      <c r="V24" s="595">
        <f>VLOOKUP(A24,[4]CFR20152016_BenchMarkDataReport!$B$3:$BO$99,36,0)</f>
        <v>148.18</v>
      </c>
      <c r="W24" s="595">
        <f>VLOOKUP(A24,[4]CFR20152016_BenchMarkDataReport!$B$3:$BO$99,37,0)</f>
        <v>212883.11</v>
      </c>
      <c r="X24" s="595">
        <f>VLOOKUP(A24,[4]CFR20152016_BenchMarkDataReport!$B$3:$BO$99,38,0)</f>
        <v>33534.22</v>
      </c>
      <c r="Y24" s="595">
        <f>VLOOKUP(A24,[4]CFR20152016_BenchMarkDataReport!$B$3:$BO$99,39,0)</f>
        <v>63399.91</v>
      </c>
      <c r="Z24" s="595">
        <f>VLOOKUP(A24,[4]CFR20152016_BenchMarkDataReport!$B$3:$BO$99,40,0)</f>
        <v>0</v>
      </c>
      <c r="AA24" s="595">
        <f>VLOOKUP(A24,[4]CFR20152016_BenchMarkDataReport!$B$3:$BO$99,41,0)</f>
        <v>33142.28</v>
      </c>
      <c r="AB24" s="595">
        <f>VLOOKUP(A24,[4]CFR20152016_BenchMarkDataReport!$B$3:$BO$99,42,0)</f>
        <v>4977.88</v>
      </c>
      <c r="AC24" s="595">
        <f>VLOOKUP(A24,[4]CFR20152016_BenchMarkDataReport!$B$3:$BO$99,43,0)</f>
        <v>6379.5</v>
      </c>
      <c r="AD24" s="595">
        <f>VLOOKUP(A24,[4]CFR20152016_BenchMarkDataReport!$B$3:$BO$99,44,0)</f>
        <v>10629.85</v>
      </c>
      <c r="AE24" s="595">
        <f>VLOOKUP(A24,[4]CFR20152016_BenchMarkDataReport!$B$3:$BO$99,45,0)</f>
        <v>991.2</v>
      </c>
      <c r="AF24" s="595">
        <f>VLOOKUP(A24,[4]CFR20152016_BenchMarkDataReport!$B$3:$BO$99,46,0)</f>
        <v>10534.1</v>
      </c>
      <c r="AG24" s="595">
        <f>VLOOKUP(A24,[4]CFR20152016_BenchMarkDataReport!$B$3:$BO$99,47,0)</f>
        <v>13366.86</v>
      </c>
      <c r="AH24" s="595">
        <f>VLOOKUP(A24,[4]CFR20152016_BenchMarkDataReport!$B$3:$BO$99,48,0)</f>
        <v>13866.4</v>
      </c>
      <c r="AI24" s="595">
        <f>VLOOKUP(A24,[4]CFR20152016_BenchMarkDataReport!$B$3:$BO$99,49,0)</f>
        <v>1594.25</v>
      </c>
      <c r="AJ24" s="595">
        <f>VLOOKUP(A24,[4]CFR20152016_BenchMarkDataReport!$B$3:$BO$99,50,0)</f>
        <v>18415.41</v>
      </c>
      <c r="AK24" s="595">
        <f>VLOOKUP(A24,[4]CFR20152016_BenchMarkDataReport!$B$3:$BO$99,51,0)</f>
        <v>15529.5</v>
      </c>
      <c r="AL24" s="595">
        <f>VLOOKUP(A24,[4]CFR20152016_BenchMarkDataReport!$B$3:$BO$99,52,0)</f>
        <v>6066.66</v>
      </c>
      <c r="AM24" s="595">
        <f>VLOOKUP(A24,[4]CFR20152016_BenchMarkDataReport!$B$3:$BO$99,53,0)</f>
        <v>53143.91</v>
      </c>
      <c r="AN24" s="595">
        <f>VLOOKUP(A24,[4]CFR20152016_BenchMarkDataReport!$B$3:$BO$99,54,0)</f>
        <v>12644.68</v>
      </c>
      <c r="AO24" s="595">
        <f>VLOOKUP(A24,[4]CFR20152016_BenchMarkDataReport!$B$3:$BO$99,55,0)</f>
        <v>0</v>
      </c>
      <c r="AP24" s="595">
        <f>VLOOKUP(A24,[4]CFR20152016_BenchMarkDataReport!$B$3:$BO$99,56,0)</f>
        <v>7365.89</v>
      </c>
      <c r="AQ24" s="595">
        <f>VLOOKUP(A24,[4]CFR20152016_BenchMarkDataReport!$B$3:$BO$99,57,0)</f>
        <v>5618.21</v>
      </c>
      <c r="AR24" s="595">
        <f>VLOOKUP(A24,[4]CFR20152016_BenchMarkDataReport!$B$3:$BO$99,58,0)</f>
        <v>2504.87</v>
      </c>
      <c r="AS24" s="595">
        <f>VLOOKUP(A24,[4]CFR20152016_BenchMarkDataReport!$B$3:$BO$99,59,0)</f>
        <v>67238.39</v>
      </c>
      <c r="AT24" s="595">
        <f>VLOOKUP(A24,[4]CFR20152016_BenchMarkDataReport!$B$3:$BO$99,60,0)</f>
        <v>15638</v>
      </c>
      <c r="AU24" s="595">
        <f>VLOOKUP(A24,[4]CFR20152016_BenchMarkDataReport!$B$3:$BO$99,61,0)</f>
        <v>35698.29</v>
      </c>
      <c r="AV24" s="595">
        <f>VLOOKUP(A24,[4]CFR20152016_BenchMarkDataReport!$B$3:$BO$99,62,0)</f>
        <v>16357.36</v>
      </c>
      <c r="AW24" s="595">
        <f>VLOOKUP(A24,[4]CFR20152016_BenchMarkDataReport!$B$3:$BO$99,63,0)</f>
        <v>0</v>
      </c>
      <c r="AX24" s="595">
        <f>VLOOKUP(A24,[4]CFR20152016_BenchMarkDataReport!$B$3:$BO$99,64,0)</f>
        <v>0</v>
      </c>
      <c r="AY24" s="595">
        <f>VLOOKUP(A24,[4]CFR20152016_BenchMarkDataReport!$B$3:$BO$99,65,0)</f>
        <v>0</v>
      </c>
      <c r="AZ24" s="595">
        <f>VLOOKUP(A24,[4]CFR20152016_BenchMarkDataReport!$B$3:$BO$99,66,0)</f>
        <v>0</v>
      </c>
      <c r="BA24" s="596">
        <f t="shared" si="0"/>
        <v>1227054.7999999998</v>
      </c>
      <c r="BB24" s="595">
        <f t="shared" si="42"/>
        <v>1196527.8000000003</v>
      </c>
      <c r="BC24" s="600">
        <f t="shared" si="43"/>
        <v>30526.999999999534</v>
      </c>
      <c r="BD24" s="595">
        <f>VLOOKUP(A24,[4]CFR20152016_BenchMarkDataReport!$B$3:$BO$99,15,0)</f>
        <v>3898</v>
      </c>
      <c r="BE24" s="600">
        <f t="shared" si="1"/>
        <v>34424.999999999534</v>
      </c>
      <c r="BF24" s="76">
        <f>VLOOKUP(A24,'OCT 15 CENSUS'!$B$9:$U$132,20,0)</f>
        <v>230</v>
      </c>
      <c r="BG24" s="73">
        <f>VLOOKUP(A24,'[2]BUDGET SHARE inc ADJUSTMENTS'!$D$4:$M$139,10,0)</f>
        <v>1125097.0187470138</v>
      </c>
      <c r="BH24" s="76">
        <f>VLOOKUP(A24,'12-13 Pupil Data'!A:CI,81,0)</f>
        <v>1557</v>
      </c>
      <c r="BI24" t="s">
        <v>210</v>
      </c>
      <c r="BJ24" s="44">
        <f t="shared" si="44"/>
        <v>0.7978714561077469</v>
      </c>
      <c r="BK24" s="45">
        <f t="shared" si="45"/>
        <v>4256.6608695652176</v>
      </c>
      <c r="BL24" s="44">
        <f t="shared" si="46"/>
        <v>0</v>
      </c>
      <c r="BM24" s="45">
        <f t="shared" si="47"/>
        <v>0</v>
      </c>
      <c r="BN24" s="44">
        <f t="shared" si="48"/>
        <v>4.3783700613860124E-2</v>
      </c>
      <c r="BO24" s="45">
        <f t="shared" si="49"/>
        <v>233.58695652173913</v>
      </c>
      <c r="BP24" s="44">
        <f t="shared" si="50"/>
        <v>0</v>
      </c>
      <c r="BQ24" s="45">
        <f t="shared" si="51"/>
        <v>0</v>
      </c>
      <c r="BR24" s="44">
        <f t="shared" si="52"/>
        <v>4.2768986356599564E-2</v>
      </c>
      <c r="BS24" s="45">
        <f t="shared" si="53"/>
        <v>228.17343478260869</v>
      </c>
      <c r="BT24" s="44">
        <f t="shared" si="54"/>
        <v>0</v>
      </c>
      <c r="BU24" s="45">
        <f t="shared" si="55"/>
        <v>0</v>
      </c>
      <c r="BV24" s="44">
        <f t="shared" si="56"/>
        <v>7.168872979430096E-4</v>
      </c>
      <c r="BW24" s="45">
        <f t="shared" si="57"/>
        <v>3.8246086956521737</v>
      </c>
      <c r="BX24" s="44">
        <f t="shared" si="58"/>
        <v>1.6364444358964246E-2</v>
      </c>
      <c r="BY24" s="45">
        <f t="shared" si="59"/>
        <v>87.304652173913041</v>
      </c>
      <c r="BZ24" s="46">
        <f t="shared" si="60"/>
        <v>2.6974834375775233E-2</v>
      </c>
      <c r="CA24" s="47">
        <f t="shared" si="61"/>
        <v>143.91130434782607</v>
      </c>
      <c r="CB24" s="44">
        <f t="shared" si="62"/>
        <v>1.2331886073873801E-2</v>
      </c>
      <c r="CC24" s="48">
        <f t="shared" si="63"/>
        <v>65.790869565217392</v>
      </c>
      <c r="CD24" s="46">
        <f t="shared" si="64"/>
        <v>0.48942007740206855</v>
      </c>
      <c r="CE24" s="49">
        <f t="shared" si="65"/>
        <v>0.44875344605636208</v>
      </c>
      <c r="CF24" s="49">
        <f t="shared" si="66"/>
        <v>0.46020248756443433</v>
      </c>
      <c r="CG24" s="47">
        <f t="shared" si="67"/>
        <v>2394.1090000000004</v>
      </c>
      <c r="CH24" s="44">
        <f t="shared" si="2"/>
        <v>0.18921311358293474</v>
      </c>
      <c r="CI24" s="50">
        <f t="shared" si="3"/>
        <v>0.17349111873406145</v>
      </c>
      <c r="CJ24" s="50">
        <f t="shared" si="4"/>
        <v>0.17791739565098275</v>
      </c>
      <c r="CK24" s="45">
        <f t="shared" si="5"/>
        <v>925.57873913043477</v>
      </c>
      <c r="CL24" s="46">
        <f t="shared" si="6"/>
        <v>2.9805625151638957E-2</v>
      </c>
      <c r="CM24" s="49">
        <f t="shared" si="68"/>
        <v>2.7329032085608568E-2</v>
      </c>
      <c r="CN24" s="49">
        <f t="shared" si="69"/>
        <v>2.8026277366894437E-2</v>
      </c>
      <c r="CO24" s="47">
        <f t="shared" si="70"/>
        <v>145.80095652173912</v>
      </c>
      <c r="CP24" s="44">
        <f t="shared" si="7"/>
        <v>5.6350615941198161E-2</v>
      </c>
      <c r="CQ24" s="50">
        <f t="shared" si="8"/>
        <v>5.1668360695871135E-2</v>
      </c>
      <c r="CR24" s="50">
        <f t="shared" si="71"/>
        <v>5.298657498806128E-2</v>
      </c>
      <c r="CS24" s="45">
        <f t="shared" si="9"/>
        <v>275.65178260869567</v>
      </c>
      <c r="CT24" s="46">
        <f t="shared" si="10"/>
        <v>0.78034745037167075</v>
      </c>
      <c r="CU24" s="49">
        <f t="shared" si="11"/>
        <v>0.71550723732957988</v>
      </c>
      <c r="CV24" s="49">
        <f t="shared" si="12"/>
        <v>0.73376196524644044</v>
      </c>
      <c r="CW24" s="47">
        <f t="shared" si="13"/>
        <v>3817.2460434782611</v>
      </c>
      <c r="CX24" s="44">
        <f t="shared" si="14"/>
        <v>9.3628370038092417E-3</v>
      </c>
      <c r="CY24" s="50">
        <f t="shared" si="15"/>
        <v>8.8038907244779412E-3</v>
      </c>
      <c r="CZ24" s="48">
        <f t="shared" si="16"/>
        <v>6.7656390494540783</v>
      </c>
      <c r="DA24" s="45">
        <f t="shared" si="17"/>
        <v>45.800434782608697</v>
      </c>
      <c r="DB24" s="51">
        <f t="shared" si="18"/>
        <v>1.3323969572625054E-3</v>
      </c>
      <c r="DC24" s="52">
        <f t="shared" si="19"/>
        <v>6.9315217391304351</v>
      </c>
      <c r="DD24" s="44">
        <f t="shared" si="20"/>
        <v>1.6367841788887397E-2</v>
      </c>
      <c r="DE24" s="50">
        <f t="shared" si="21"/>
        <v>1.5390708013637457E-2</v>
      </c>
      <c r="DF24" s="48">
        <f t="shared" si="22"/>
        <v>11.827495183044316</v>
      </c>
      <c r="DG24" s="45">
        <f t="shared" si="23"/>
        <v>80.066999999999993</v>
      </c>
      <c r="DH24" s="46">
        <f t="shared" si="24"/>
        <v>5.3921216561006041E-3</v>
      </c>
      <c r="DI24" s="49">
        <f t="shared" si="25"/>
        <v>5.0702206835478445E-3</v>
      </c>
      <c r="DJ24" s="47">
        <f t="shared" si="26"/>
        <v>3.8963776493256259</v>
      </c>
      <c r="DK24" s="44">
        <f t="shared" si="27"/>
        <v>4.7234957620974551E-2</v>
      </c>
      <c r="DL24" s="50">
        <f t="shared" si="28"/>
        <v>4.3310135782036803E-2</v>
      </c>
      <c r="DM24" s="50">
        <f t="shared" si="29"/>
        <v>4.4415106778129175E-2</v>
      </c>
      <c r="DN24" s="45">
        <f t="shared" si="30"/>
        <v>231.06047826086959</v>
      </c>
      <c r="DO24" s="46">
        <f t="shared" si="31"/>
        <v>6.546893181001553E-3</v>
      </c>
      <c r="DP24" s="49">
        <f t="shared" si="32"/>
        <v>6.1560542095219174E-3</v>
      </c>
      <c r="DQ24" s="47">
        <f t="shared" si="33"/>
        <v>32.025608695652174</v>
      </c>
      <c r="DR24" s="53">
        <f t="shared" si="34"/>
        <v>5.6194590714900218E-2</v>
      </c>
      <c r="DS24" s="45">
        <f t="shared" si="35"/>
        <v>292.3408260869565</v>
      </c>
      <c r="DT24" s="46">
        <f t="shared" si="72"/>
        <v>3.0219616116185929E-5</v>
      </c>
      <c r="DU24" s="49">
        <f t="shared" si="73"/>
        <v>2.7708623934318179E-5</v>
      </c>
      <c r="DV24" s="49">
        <f t="shared" si="74"/>
        <v>2.8415553738074445E-5</v>
      </c>
      <c r="DW24" s="47">
        <f t="shared" si="75"/>
        <v>0.14782608695652175</v>
      </c>
      <c r="DY24" s="54">
        <f>VLOOKUP(A24,'[3]Barnet Schools'!$E$8:$V$130,17,0)</f>
        <v>34</v>
      </c>
    </row>
    <row r="25" spans="1:129">
      <c r="A25" s="77">
        <v>3522</v>
      </c>
      <c r="B25" s="78">
        <v>10953</v>
      </c>
      <c r="C25" s="589" t="s">
        <v>49</v>
      </c>
      <c r="D25" s="595">
        <f>VLOOKUP(A25,[4]CFR20152016_BenchMarkDataReport!$B$3:$BO$99,18,0)</f>
        <v>1920747</v>
      </c>
      <c r="E25" s="595">
        <f>VLOOKUP(A25,[4]CFR20152016_BenchMarkDataReport!$B$3:$BO$99,19,0)</f>
        <v>0</v>
      </c>
      <c r="F25" s="595">
        <f>VLOOKUP(A25,[4]CFR20152016_BenchMarkDataReport!$B$3:$BO$99,20,0)</f>
        <v>22822</v>
      </c>
      <c r="G25" s="595">
        <f>VLOOKUP(A25,[4]CFR20152016_BenchMarkDataReport!$B$3:$BO$99,21,0)</f>
        <v>0</v>
      </c>
      <c r="H25" s="595">
        <f>VLOOKUP(A25,[4]CFR20152016_BenchMarkDataReport!$B$3:$BO$99,22,0)</f>
        <v>325805</v>
      </c>
      <c r="I25" s="595">
        <f>VLOOKUP(A25,[4]CFR20152016_BenchMarkDataReport!$B$3:$BO$99,23,0)</f>
        <v>4000</v>
      </c>
      <c r="J25" s="595">
        <f>VLOOKUP(A25,[4]CFR20152016_BenchMarkDataReport!$B$3:$BO$99,24,0)</f>
        <v>1612</v>
      </c>
      <c r="K25" s="595">
        <f>VLOOKUP(A25,[4]CFR20152016_BenchMarkDataReport!$B$3:$BO$99,25,0)</f>
        <v>6493</v>
      </c>
      <c r="L25" s="595">
        <f>VLOOKUP(A25,[4]CFR20152016_BenchMarkDataReport!$B$3:$BO$99,26,0)</f>
        <v>13601</v>
      </c>
      <c r="M25" s="595">
        <f>VLOOKUP(A25,[4]CFR20152016_BenchMarkDataReport!$B$3:$BO$99,27,0)</f>
        <v>18642</v>
      </c>
      <c r="N25" s="595">
        <f>VLOOKUP(A25,[4]CFR20152016_BenchMarkDataReport!$B$3:$BO$99,28,0)</f>
        <v>1826</v>
      </c>
      <c r="O25" s="595">
        <f>VLOOKUP(A25,[4]CFR20152016_BenchMarkDataReport!$B$3:$BO$99,29,0)</f>
        <v>2841</v>
      </c>
      <c r="P25" s="595">
        <f>VLOOKUP(A25,[4]CFR20152016_BenchMarkDataReport!$B$3:$BO$99,30,0)</f>
        <v>3200</v>
      </c>
      <c r="Q25" s="595">
        <f>VLOOKUP(A25,[4]CFR20152016_BenchMarkDataReport!$B$3:$BO$99,31,0)</f>
        <v>0</v>
      </c>
      <c r="R25" s="595">
        <f>VLOOKUP(A25,[4]CFR20152016_BenchMarkDataReport!$B$3:$BO$99,32,0)</f>
        <v>0</v>
      </c>
      <c r="S25" s="595">
        <f>VLOOKUP(A25,[4]CFR20152016_BenchMarkDataReport!$B$3:$BO$99,33,0)</f>
        <v>0</v>
      </c>
      <c r="T25" s="595">
        <f>VLOOKUP(A25,[4]CFR20152016_BenchMarkDataReport!$B$3:$BO$99,34,0)</f>
        <v>26222</v>
      </c>
      <c r="U25" s="595">
        <f>VLOOKUP(A25,[4]CFR20152016_BenchMarkDataReport!$B$3:$BO$99,35,0)</f>
        <v>938216</v>
      </c>
      <c r="V25" s="595">
        <f>VLOOKUP(A25,[4]CFR20152016_BenchMarkDataReport!$B$3:$BO$99,36,0)</f>
        <v>22300</v>
      </c>
      <c r="W25" s="595">
        <f>VLOOKUP(A25,[4]CFR20152016_BenchMarkDataReport!$B$3:$BO$99,37,0)</f>
        <v>433867</v>
      </c>
      <c r="X25" s="595">
        <f>VLOOKUP(A25,[4]CFR20152016_BenchMarkDataReport!$B$3:$BO$99,38,0)</f>
        <v>31529</v>
      </c>
      <c r="Y25" s="595">
        <f>VLOOKUP(A25,[4]CFR20152016_BenchMarkDataReport!$B$3:$BO$99,39,0)</f>
        <v>67641</v>
      </c>
      <c r="Z25" s="595">
        <f>VLOOKUP(A25,[4]CFR20152016_BenchMarkDataReport!$B$3:$BO$99,40,0)</f>
        <v>0</v>
      </c>
      <c r="AA25" s="595">
        <f>VLOOKUP(A25,[4]CFR20152016_BenchMarkDataReport!$B$3:$BO$99,41,0)</f>
        <v>2749</v>
      </c>
      <c r="AB25" s="595">
        <f>VLOOKUP(A25,[4]CFR20152016_BenchMarkDataReport!$B$3:$BO$99,42,0)</f>
        <v>47625</v>
      </c>
      <c r="AC25" s="595">
        <f>VLOOKUP(A25,[4]CFR20152016_BenchMarkDataReport!$B$3:$BO$99,43,0)</f>
        <v>13243</v>
      </c>
      <c r="AD25" s="595">
        <f>VLOOKUP(A25,[4]CFR20152016_BenchMarkDataReport!$B$3:$BO$99,44,0)</f>
        <v>4921</v>
      </c>
      <c r="AE25" s="595">
        <f>VLOOKUP(A25,[4]CFR20152016_BenchMarkDataReport!$B$3:$BO$99,45,0)</f>
        <v>15825</v>
      </c>
      <c r="AF25" s="595">
        <f>VLOOKUP(A25,[4]CFR20152016_BenchMarkDataReport!$B$3:$BO$99,46,0)</f>
        <v>31962</v>
      </c>
      <c r="AG25" s="595">
        <f>VLOOKUP(A25,[4]CFR20152016_BenchMarkDataReport!$B$3:$BO$99,47,0)</f>
        <v>6874</v>
      </c>
      <c r="AH25" s="595">
        <f>VLOOKUP(A25,[4]CFR20152016_BenchMarkDataReport!$B$3:$BO$99,48,0)</f>
        <v>44342</v>
      </c>
      <c r="AI25" s="595">
        <f>VLOOKUP(A25,[4]CFR20152016_BenchMarkDataReport!$B$3:$BO$99,49,0)</f>
        <v>4263</v>
      </c>
      <c r="AJ25" s="595">
        <f>VLOOKUP(A25,[4]CFR20152016_BenchMarkDataReport!$B$3:$BO$99,50,0)</f>
        <v>25443</v>
      </c>
      <c r="AK25" s="595">
        <f>VLOOKUP(A25,[4]CFR20152016_BenchMarkDataReport!$B$3:$BO$99,51,0)</f>
        <v>12084</v>
      </c>
      <c r="AL25" s="595">
        <f>VLOOKUP(A25,[4]CFR20152016_BenchMarkDataReport!$B$3:$BO$99,52,0)</f>
        <v>12092</v>
      </c>
      <c r="AM25" s="595">
        <f>VLOOKUP(A25,[4]CFR20152016_BenchMarkDataReport!$B$3:$BO$99,53,0)</f>
        <v>64424</v>
      </c>
      <c r="AN25" s="595">
        <f>VLOOKUP(A25,[4]CFR20152016_BenchMarkDataReport!$B$3:$BO$99,54,0)</f>
        <v>32042</v>
      </c>
      <c r="AO25" s="595">
        <f>VLOOKUP(A25,[4]CFR20152016_BenchMarkDataReport!$B$3:$BO$99,55,0)</f>
        <v>0</v>
      </c>
      <c r="AP25" s="595">
        <f>VLOOKUP(A25,[4]CFR20152016_BenchMarkDataReport!$B$3:$BO$99,56,0)</f>
        <v>12647</v>
      </c>
      <c r="AQ25" s="595">
        <f>VLOOKUP(A25,[4]CFR20152016_BenchMarkDataReport!$B$3:$BO$99,57,0)</f>
        <v>9768</v>
      </c>
      <c r="AR25" s="595">
        <f>VLOOKUP(A25,[4]CFR20152016_BenchMarkDataReport!$B$3:$BO$99,58,0)</f>
        <v>16768</v>
      </c>
      <c r="AS25" s="595">
        <f>VLOOKUP(A25,[4]CFR20152016_BenchMarkDataReport!$B$3:$BO$99,59,0)</f>
        <v>94348</v>
      </c>
      <c r="AT25" s="595">
        <f>VLOOKUP(A25,[4]CFR20152016_BenchMarkDataReport!$B$3:$BO$99,60,0)</f>
        <v>104195</v>
      </c>
      <c r="AU25" s="595">
        <f>VLOOKUP(A25,[4]CFR20152016_BenchMarkDataReport!$B$3:$BO$99,61,0)</f>
        <v>297645</v>
      </c>
      <c r="AV25" s="595">
        <f>VLOOKUP(A25,[4]CFR20152016_BenchMarkDataReport!$B$3:$BO$99,62,0)</f>
        <v>57740</v>
      </c>
      <c r="AW25" s="595">
        <f>VLOOKUP(A25,[4]CFR20152016_BenchMarkDataReport!$B$3:$BO$99,63,0)</f>
        <v>0</v>
      </c>
      <c r="AX25" s="595">
        <f>VLOOKUP(A25,[4]CFR20152016_BenchMarkDataReport!$B$3:$BO$99,64,0)</f>
        <v>67560</v>
      </c>
      <c r="AY25" s="595">
        <f>VLOOKUP(A25,[4]CFR20152016_BenchMarkDataReport!$B$3:$BO$99,65,0)</f>
        <v>0</v>
      </c>
      <c r="AZ25" s="595">
        <f>VLOOKUP(A25,[4]CFR20152016_BenchMarkDataReport!$B$3:$BO$99,66,0)</f>
        <v>0</v>
      </c>
      <c r="BA25" s="596">
        <f t="shared" si="0"/>
        <v>2347811</v>
      </c>
      <c r="BB25" s="595">
        <f t="shared" si="42"/>
        <v>2472113</v>
      </c>
      <c r="BC25" s="600">
        <f t="shared" si="43"/>
        <v>-124302</v>
      </c>
      <c r="BD25" s="595">
        <f>VLOOKUP(A25,[4]CFR20152016_BenchMarkDataReport!$B$3:$BO$99,15,0)</f>
        <v>229933</v>
      </c>
      <c r="BE25" s="600">
        <f t="shared" si="1"/>
        <v>105631</v>
      </c>
      <c r="BF25" s="76">
        <f>VLOOKUP(A25,'OCT 15 CENSUS'!$B$9:$U$132,20,0)</f>
        <v>424</v>
      </c>
      <c r="BG25" s="73">
        <f>VLOOKUP(A25,'[2]BUDGET SHARE inc ADJUSTMENTS'!$D$4:$M$139,10,0)</f>
        <v>2292044.2218403295</v>
      </c>
      <c r="BH25" s="76">
        <f>VLOOKUP(A25,'12-13 Pupil Data'!A:CI,81,0)</f>
        <v>2838</v>
      </c>
      <c r="BI25" t="s">
        <v>210</v>
      </c>
      <c r="BJ25" s="44">
        <f t="shared" si="44"/>
        <v>0.81810120150216525</v>
      </c>
      <c r="BK25" s="45">
        <f t="shared" si="45"/>
        <v>4530.0636792452833</v>
      </c>
      <c r="BL25" s="44">
        <f t="shared" si="46"/>
        <v>0</v>
      </c>
      <c r="BM25" s="45">
        <f t="shared" si="47"/>
        <v>0</v>
      </c>
      <c r="BN25" s="44">
        <f t="shared" si="48"/>
        <v>9.7205439449768311E-3</v>
      </c>
      <c r="BO25" s="45">
        <f t="shared" si="49"/>
        <v>53.825471698113205</v>
      </c>
      <c r="BP25" s="44">
        <f t="shared" si="50"/>
        <v>0</v>
      </c>
      <c r="BQ25" s="45">
        <f t="shared" si="51"/>
        <v>0</v>
      </c>
      <c r="BR25" s="44">
        <f t="shared" si="52"/>
        <v>0.13876968802003228</v>
      </c>
      <c r="BS25" s="45">
        <f t="shared" si="53"/>
        <v>768.40801886792451</v>
      </c>
      <c r="BT25" s="44">
        <f t="shared" si="54"/>
        <v>1.703714651647854E-3</v>
      </c>
      <c r="BU25" s="45">
        <f t="shared" si="55"/>
        <v>9.433962264150944</v>
      </c>
      <c r="BV25" s="44">
        <f t="shared" si="56"/>
        <v>6.8659700461408521E-4</v>
      </c>
      <c r="BW25" s="45">
        <f t="shared" si="57"/>
        <v>3.8018867924528301</v>
      </c>
      <c r="BX25" s="44">
        <f t="shared" si="58"/>
        <v>2.7655548082873792E-3</v>
      </c>
      <c r="BY25" s="45">
        <f t="shared" si="59"/>
        <v>15.313679245283019</v>
      </c>
      <c r="BZ25" s="46">
        <f t="shared" si="60"/>
        <v>1.2100633313328884E-3</v>
      </c>
      <c r="CA25" s="47">
        <f t="shared" si="61"/>
        <v>6.7004716981132075</v>
      </c>
      <c r="CB25" s="44">
        <f t="shared" si="62"/>
        <v>1.3629717213182832E-3</v>
      </c>
      <c r="CC25" s="48">
        <f t="shared" si="63"/>
        <v>7.5471698113207548</v>
      </c>
      <c r="CD25" s="46">
        <f t="shared" si="64"/>
        <v>0.46452463257673171</v>
      </c>
      <c r="CE25" s="49">
        <f t="shared" si="65"/>
        <v>0.4534909326176596</v>
      </c>
      <c r="CF25" s="49">
        <f t="shared" si="66"/>
        <v>0.43068864570511139</v>
      </c>
      <c r="CG25" s="47">
        <f t="shared" si="67"/>
        <v>2511.1108490566039</v>
      </c>
      <c r="CH25" s="44">
        <f t="shared" si="2"/>
        <v>0.18929259560779296</v>
      </c>
      <c r="CI25" s="50">
        <f t="shared" si="3"/>
        <v>0.18479639119162489</v>
      </c>
      <c r="CJ25" s="50">
        <f t="shared" si="4"/>
        <v>0.17550451779510079</v>
      </c>
      <c r="CK25" s="45">
        <f t="shared" si="5"/>
        <v>1023.2712264150944</v>
      </c>
      <c r="CL25" s="46">
        <f t="shared" si="6"/>
        <v>1.3755842797258387E-2</v>
      </c>
      <c r="CM25" s="49">
        <f t="shared" si="68"/>
        <v>1.3429104812951297E-2</v>
      </c>
      <c r="CN25" s="49">
        <f t="shared" si="69"/>
        <v>1.2753866833757194E-2</v>
      </c>
      <c r="CO25" s="47">
        <f t="shared" si="70"/>
        <v>74.360849056603769</v>
      </c>
      <c r="CP25" s="44">
        <f t="shared" si="7"/>
        <v>2.9511210715511261E-2</v>
      </c>
      <c r="CQ25" s="50">
        <f t="shared" si="8"/>
        <v>2.8810240688028125E-2</v>
      </c>
      <c r="CR25" s="50">
        <f t="shared" si="71"/>
        <v>2.7361613324310013E-2</v>
      </c>
      <c r="CS25" s="45">
        <f t="shared" si="9"/>
        <v>159.53066037735849</v>
      </c>
      <c r="CT25" s="46">
        <f t="shared" si="10"/>
        <v>0.6528242281462564</v>
      </c>
      <c r="CU25" s="49">
        <f t="shared" si="11"/>
        <v>0.63731791017249684</v>
      </c>
      <c r="CV25" s="49">
        <f t="shared" si="12"/>
        <v>0.60527249361174029</v>
      </c>
      <c r="CW25" s="47">
        <f t="shared" si="13"/>
        <v>3529.0141509433961</v>
      </c>
      <c r="CX25" s="44">
        <f t="shared" si="14"/>
        <v>1.3944757127913113E-2</v>
      </c>
      <c r="CY25" s="50">
        <f t="shared" si="15"/>
        <v>1.2929020639428699E-2</v>
      </c>
      <c r="CZ25" s="48">
        <f t="shared" si="16"/>
        <v>11.26215644820296</v>
      </c>
      <c r="DA25" s="45">
        <f t="shared" si="17"/>
        <v>75.382075471698116</v>
      </c>
      <c r="DB25" s="51">
        <f t="shared" si="18"/>
        <v>1.7244357357450893E-3</v>
      </c>
      <c r="DC25" s="52">
        <f t="shared" si="19"/>
        <v>10.054245283018869</v>
      </c>
      <c r="DD25" s="44">
        <f t="shared" si="20"/>
        <v>1.110057116593121E-2</v>
      </c>
      <c r="DE25" s="50">
        <f t="shared" si="21"/>
        <v>1.0292005260277341E-2</v>
      </c>
      <c r="DF25" s="48">
        <f t="shared" si="22"/>
        <v>8.9651162790697683</v>
      </c>
      <c r="DG25" s="45">
        <f t="shared" si="23"/>
        <v>60.007075471698116</v>
      </c>
      <c r="DH25" s="46">
        <f t="shared" si="24"/>
        <v>5.2756399221176829E-3</v>
      </c>
      <c r="DI25" s="49">
        <f t="shared" si="25"/>
        <v>4.8913621666970726E-3</v>
      </c>
      <c r="DJ25" s="47">
        <f t="shared" si="26"/>
        <v>4.2607470049330516</v>
      </c>
      <c r="DK25" s="44">
        <f t="shared" si="27"/>
        <v>2.8107660134180416E-2</v>
      </c>
      <c r="DL25" s="50">
        <f t="shared" si="28"/>
        <v>2.7440028179440339E-2</v>
      </c>
      <c r="DM25" s="50">
        <f t="shared" si="29"/>
        <v>2.606029740549886E-2</v>
      </c>
      <c r="DN25" s="45">
        <f t="shared" si="30"/>
        <v>151.9433962264151</v>
      </c>
      <c r="DO25" s="46">
        <f t="shared" si="31"/>
        <v>5.5177818470908309E-3</v>
      </c>
      <c r="DP25" s="49">
        <f t="shared" si="32"/>
        <v>5.1158664672690934E-3</v>
      </c>
      <c r="DQ25" s="47">
        <f t="shared" si="33"/>
        <v>29.827830188679247</v>
      </c>
      <c r="DR25" s="53">
        <f t="shared" si="34"/>
        <v>3.8164922072736966E-2</v>
      </c>
      <c r="DS25" s="45">
        <f t="shared" si="35"/>
        <v>222.51886792452831</v>
      </c>
      <c r="DT25" s="46">
        <f t="shared" si="72"/>
        <v>1.1343585674417776E-4</v>
      </c>
      <c r="DU25" s="49">
        <f t="shared" si="73"/>
        <v>1.1074145235711051E-4</v>
      </c>
      <c r="DV25" s="49">
        <f t="shared" si="74"/>
        <v>1.0517318585355929E-4</v>
      </c>
      <c r="DW25" s="47">
        <f t="shared" si="75"/>
        <v>0.6132075471698113</v>
      </c>
      <c r="DY25" s="54">
        <f>VLOOKUP(A25,'[3]Barnet Schools'!$E$8:$V$130,17,0)</f>
        <v>260</v>
      </c>
    </row>
    <row r="26" spans="1:129">
      <c r="A26" s="77">
        <v>2014</v>
      </c>
      <c r="B26" s="78">
        <v>10054</v>
      </c>
      <c r="C26" s="589" t="s">
        <v>50</v>
      </c>
      <c r="D26" s="595">
        <f>VLOOKUP(A26,[4]CFR20152016_BenchMarkDataReport!$B$3:$BO$99,18,0)</f>
        <v>2922508</v>
      </c>
      <c r="E26" s="595">
        <f>VLOOKUP(A26,[4]CFR20152016_BenchMarkDataReport!$B$3:$BO$99,19,0)</f>
        <v>0</v>
      </c>
      <c r="F26" s="595">
        <f>VLOOKUP(A26,[4]CFR20152016_BenchMarkDataReport!$B$3:$BO$99,20,0)</f>
        <v>357213</v>
      </c>
      <c r="G26" s="595">
        <f>VLOOKUP(A26,[4]CFR20152016_BenchMarkDataReport!$B$3:$BO$99,21,0)</f>
        <v>0</v>
      </c>
      <c r="H26" s="595">
        <f>VLOOKUP(A26,[4]CFR20152016_BenchMarkDataReport!$B$3:$BO$99,22,0)</f>
        <v>234960</v>
      </c>
      <c r="I26" s="595">
        <f>VLOOKUP(A26,[4]CFR20152016_BenchMarkDataReport!$B$3:$BO$99,23,0)</f>
        <v>8200</v>
      </c>
      <c r="J26" s="595">
        <f>VLOOKUP(A26,[4]CFR20152016_BenchMarkDataReport!$B$3:$BO$99,24,0)</f>
        <v>2134.48</v>
      </c>
      <c r="K26" s="595">
        <f>VLOOKUP(A26,[4]CFR20152016_BenchMarkDataReport!$B$3:$BO$99,25,0)</f>
        <v>44367.98</v>
      </c>
      <c r="L26" s="595">
        <f>VLOOKUP(A26,[4]CFR20152016_BenchMarkDataReport!$B$3:$BO$99,26,0)</f>
        <v>55692.32</v>
      </c>
      <c r="M26" s="595">
        <f>VLOOKUP(A26,[4]CFR20152016_BenchMarkDataReport!$B$3:$BO$99,27,0)</f>
        <v>11696.4</v>
      </c>
      <c r="N26" s="595">
        <f>VLOOKUP(A26,[4]CFR20152016_BenchMarkDataReport!$B$3:$BO$99,28,0)</f>
        <v>11669.48</v>
      </c>
      <c r="O26" s="595">
        <f>VLOOKUP(A26,[4]CFR20152016_BenchMarkDataReport!$B$3:$BO$99,29,0)</f>
        <v>37736.49</v>
      </c>
      <c r="P26" s="595">
        <f>VLOOKUP(A26,[4]CFR20152016_BenchMarkDataReport!$B$3:$BO$99,30,0)</f>
        <v>4961.49</v>
      </c>
      <c r="Q26" s="595">
        <f>VLOOKUP(A26,[4]CFR20152016_BenchMarkDataReport!$B$3:$BO$99,31,0)</f>
        <v>0</v>
      </c>
      <c r="R26" s="595">
        <f>VLOOKUP(A26,[4]CFR20152016_BenchMarkDataReport!$B$3:$BO$99,32,0)</f>
        <v>0</v>
      </c>
      <c r="S26" s="595">
        <f>VLOOKUP(A26,[4]CFR20152016_BenchMarkDataReport!$B$3:$BO$99,33,0)</f>
        <v>0</v>
      </c>
      <c r="T26" s="595">
        <f>VLOOKUP(A26,[4]CFR20152016_BenchMarkDataReport!$B$3:$BO$99,34,0)</f>
        <v>96186.34</v>
      </c>
      <c r="U26" s="595">
        <f>VLOOKUP(A26,[4]CFR20152016_BenchMarkDataReport!$B$3:$BO$99,35,0)</f>
        <v>1521773.88</v>
      </c>
      <c r="V26" s="595">
        <f>VLOOKUP(A26,[4]CFR20152016_BenchMarkDataReport!$B$3:$BO$99,36,0)</f>
        <v>0</v>
      </c>
      <c r="W26" s="595">
        <f>VLOOKUP(A26,[4]CFR20152016_BenchMarkDataReport!$B$3:$BO$99,37,0)</f>
        <v>726877.91</v>
      </c>
      <c r="X26" s="595">
        <f>VLOOKUP(A26,[4]CFR20152016_BenchMarkDataReport!$B$3:$BO$99,38,0)</f>
        <v>98610.97</v>
      </c>
      <c r="Y26" s="595">
        <f>VLOOKUP(A26,[4]CFR20152016_BenchMarkDataReport!$B$3:$BO$99,39,0)</f>
        <v>96010.03</v>
      </c>
      <c r="Z26" s="595">
        <f>VLOOKUP(A26,[4]CFR20152016_BenchMarkDataReport!$B$3:$BO$99,40,0)</f>
        <v>0</v>
      </c>
      <c r="AA26" s="595">
        <f>VLOOKUP(A26,[4]CFR20152016_BenchMarkDataReport!$B$3:$BO$99,41,0)</f>
        <v>44503.79</v>
      </c>
      <c r="AB26" s="595">
        <f>VLOOKUP(A26,[4]CFR20152016_BenchMarkDataReport!$B$3:$BO$99,42,0)</f>
        <v>43999.42</v>
      </c>
      <c r="AC26" s="595">
        <f>VLOOKUP(A26,[4]CFR20152016_BenchMarkDataReport!$B$3:$BO$99,43,0)</f>
        <v>7768.4</v>
      </c>
      <c r="AD26" s="595">
        <f>VLOOKUP(A26,[4]CFR20152016_BenchMarkDataReport!$B$3:$BO$99,44,0)</f>
        <v>23271.919999999998</v>
      </c>
      <c r="AE26" s="595">
        <f>VLOOKUP(A26,[4]CFR20152016_BenchMarkDataReport!$B$3:$BO$99,45,0)</f>
        <v>7993.95</v>
      </c>
      <c r="AF26" s="595">
        <f>VLOOKUP(A26,[4]CFR20152016_BenchMarkDataReport!$B$3:$BO$99,46,0)</f>
        <v>61084.99</v>
      </c>
      <c r="AG26" s="595">
        <f>VLOOKUP(A26,[4]CFR20152016_BenchMarkDataReport!$B$3:$BO$99,47,0)</f>
        <v>3871.92</v>
      </c>
      <c r="AH26" s="595">
        <f>VLOOKUP(A26,[4]CFR20152016_BenchMarkDataReport!$B$3:$BO$99,48,0)</f>
        <v>10475.6</v>
      </c>
      <c r="AI26" s="595">
        <f>VLOOKUP(A26,[4]CFR20152016_BenchMarkDataReport!$B$3:$BO$99,49,0)</f>
        <v>3794.59</v>
      </c>
      <c r="AJ26" s="595">
        <f>VLOOKUP(A26,[4]CFR20152016_BenchMarkDataReport!$B$3:$BO$99,50,0)</f>
        <v>76764.759999999995</v>
      </c>
      <c r="AK26" s="595">
        <f>VLOOKUP(A26,[4]CFR20152016_BenchMarkDataReport!$B$3:$BO$99,51,0)</f>
        <v>15242.6</v>
      </c>
      <c r="AL26" s="595">
        <f>VLOOKUP(A26,[4]CFR20152016_BenchMarkDataReport!$B$3:$BO$99,52,0)</f>
        <v>23525.58</v>
      </c>
      <c r="AM26" s="595">
        <f>VLOOKUP(A26,[4]CFR20152016_BenchMarkDataReport!$B$3:$BO$99,53,0)</f>
        <v>134756.82</v>
      </c>
      <c r="AN26" s="595">
        <f>VLOOKUP(A26,[4]CFR20152016_BenchMarkDataReport!$B$3:$BO$99,54,0)</f>
        <v>28424.15</v>
      </c>
      <c r="AO26" s="595">
        <f>VLOOKUP(A26,[4]CFR20152016_BenchMarkDataReport!$B$3:$BO$99,55,0)</f>
        <v>0</v>
      </c>
      <c r="AP26" s="595">
        <f>VLOOKUP(A26,[4]CFR20152016_BenchMarkDataReport!$B$3:$BO$99,56,0)</f>
        <v>24821.9</v>
      </c>
      <c r="AQ26" s="595">
        <f>VLOOKUP(A26,[4]CFR20152016_BenchMarkDataReport!$B$3:$BO$99,57,0)</f>
        <v>22043.759999999998</v>
      </c>
      <c r="AR26" s="595">
        <f>VLOOKUP(A26,[4]CFR20152016_BenchMarkDataReport!$B$3:$BO$99,58,0)</f>
        <v>22730.36</v>
      </c>
      <c r="AS26" s="595">
        <f>VLOOKUP(A26,[4]CFR20152016_BenchMarkDataReport!$B$3:$BO$99,59,0)</f>
        <v>168065.1</v>
      </c>
      <c r="AT26" s="595">
        <f>VLOOKUP(A26,[4]CFR20152016_BenchMarkDataReport!$B$3:$BO$99,60,0)</f>
        <v>95190.68</v>
      </c>
      <c r="AU26" s="595">
        <f>VLOOKUP(A26,[4]CFR20152016_BenchMarkDataReport!$B$3:$BO$99,61,0)</f>
        <v>320934.5</v>
      </c>
      <c r="AV26" s="595">
        <f>VLOOKUP(A26,[4]CFR20152016_BenchMarkDataReport!$B$3:$BO$99,62,0)</f>
        <v>50436.73</v>
      </c>
      <c r="AW26" s="595">
        <f>VLOOKUP(A26,[4]CFR20152016_BenchMarkDataReport!$B$3:$BO$99,63,0)</f>
        <v>0</v>
      </c>
      <c r="AX26" s="595">
        <f>VLOOKUP(A26,[4]CFR20152016_BenchMarkDataReport!$B$3:$BO$99,64,0)</f>
        <v>11625.67</v>
      </c>
      <c r="AY26" s="595">
        <f>VLOOKUP(A26,[4]CFR20152016_BenchMarkDataReport!$B$3:$BO$99,65,0)</f>
        <v>0</v>
      </c>
      <c r="AZ26" s="595">
        <f>VLOOKUP(A26,[4]CFR20152016_BenchMarkDataReport!$B$3:$BO$99,66,0)</f>
        <v>0</v>
      </c>
      <c r="BA26" s="596">
        <f t="shared" si="0"/>
        <v>3787325.98</v>
      </c>
      <c r="BB26" s="595">
        <f t="shared" si="42"/>
        <v>3644599.9799999995</v>
      </c>
      <c r="BC26" s="600">
        <f t="shared" si="43"/>
        <v>142726.00000000047</v>
      </c>
      <c r="BD26" s="595">
        <f>VLOOKUP(A26,[4]CFR20152016_BenchMarkDataReport!$B$3:$BO$99,15,0)</f>
        <v>524251</v>
      </c>
      <c r="BE26" s="600">
        <f t="shared" si="1"/>
        <v>666977.00000000047</v>
      </c>
      <c r="BF26" s="76">
        <f>VLOOKUP(A26,'OCT 15 CENSUS'!$B$9:$U$132,20,0)</f>
        <v>740</v>
      </c>
      <c r="BG26" s="73">
        <f>VLOOKUP(A26,'[2]BUDGET SHARE inc ADJUSTMENTS'!$D$4:$M$139,10,0)</f>
        <v>3563369.4746076264</v>
      </c>
      <c r="BH26" s="76">
        <f>VLOOKUP(A26,'12-13 Pupil Data'!A:CI,81,0)</f>
        <v>4108</v>
      </c>
      <c r="BI26" t="s">
        <v>210</v>
      </c>
      <c r="BJ26" s="44">
        <f t="shared" si="44"/>
        <v>0.77165472827876302</v>
      </c>
      <c r="BK26" s="45">
        <f t="shared" si="45"/>
        <v>3949.3351351351353</v>
      </c>
      <c r="BL26" s="44">
        <f t="shared" si="46"/>
        <v>0</v>
      </c>
      <c r="BM26" s="45">
        <f t="shared" si="47"/>
        <v>0</v>
      </c>
      <c r="BN26" s="44">
        <f t="shared" si="48"/>
        <v>9.431799688919304E-2</v>
      </c>
      <c r="BO26" s="45">
        <f t="shared" si="49"/>
        <v>482.72027027027025</v>
      </c>
      <c r="BP26" s="44">
        <f t="shared" si="50"/>
        <v>0</v>
      </c>
      <c r="BQ26" s="45">
        <f t="shared" si="51"/>
        <v>0</v>
      </c>
      <c r="BR26" s="44">
        <f t="shared" si="52"/>
        <v>6.2038493977220305E-2</v>
      </c>
      <c r="BS26" s="45">
        <f t="shared" si="53"/>
        <v>317.51351351351349</v>
      </c>
      <c r="BT26" s="44">
        <f t="shared" si="54"/>
        <v>2.1651159797974402E-3</v>
      </c>
      <c r="BU26" s="45">
        <f t="shared" si="55"/>
        <v>11.081081081081081</v>
      </c>
      <c r="BV26" s="44">
        <f t="shared" si="56"/>
        <v>5.6358497031195611E-4</v>
      </c>
      <c r="BW26" s="45">
        <f t="shared" si="57"/>
        <v>2.8844324324324324</v>
      </c>
      <c r="BX26" s="44">
        <f t="shared" si="58"/>
        <v>1.17148564011382E-2</v>
      </c>
      <c r="BY26" s="45">
        <f t="shared" si="59"/>
        <v>59.956729729729737</v>
      </c>
      <c r="BZ26" s="46">
        <f t="shared" si="60"/>
        <v>9.9638875024958898E-3</v>
      </c>
      <c r="CA26" s="47">
        <f t="shared" si="61"/>
        <v>50.995256756756753</v>
      </c>
      <c r="CB26" s="44">
        <f t="shared" si="62"/>
        <v>1.3100245466591707E-3</v>
      </c>
      <c r="CC26" s="48">
        <f t="shared" si="63"/>
        <v>6.7047162162162159</v>
      </c>
      <c r="CD26" s="46">
        <f t="shared" si="64"/>
        <v>0.45377403929690696</v>
      </c>
      <c r="CE26" s="49">
        <f t="shared" si="65"/>
        <v>0.42694095214904099</v>
      </c>
      <c r="CF26" s="49">
        <f t="shared" si="66"/>
        <v>0.44366036571179479</v>
      </c>
      <c r="CG26" s="47">
        <f t="shared" si="67"/>
        <v>2185.0872432432429</v>
      </c>
      <c r="CH26" s="44">
        <f t="shared" si="2"/>
        <v>0.20398611908747935</v>
      </c>
      <c r="CI26" s="50">
        <f t="shared" si="3"/>
        <v>0.19192377784180067</v>
      </c>
      <c r="CJ26" s="50">
        <f t="shared" si="4"/>
        <v>0.19943969543675411</v>
      </c>
      <c r="CK26" s="45">
        <f t="shared" si="5"/>
        <v>982.26744594594595</v>
      </c>
      <c r="CL26" s="46">
        <f t="shared" si="6"/>
        <v>2.7673518197508372E-2</v>
      </c>
      <c r="CM26" s="49">
        <f t="shared" si="68"/>
        <v>2.6037095967112924E-2</v>
      </c>
      <c r="CN26" s="49">
        <f t="shared" si="69"/>
        <v>2.7056733397666323E-2</v>
      </c>
      <c r="CO26" s="47">
        <f t="shared" si="70"/>
        <v>133.25806756756756</v>
      </c>
      <c r="CP26" s="44">
        <f t="shared" si="7"/>
        <v>2.6943607920582514E-2</v>
      </c>
      <c r="CQ26" s="50">
        <f t="shared" si="8"/>
        <v>2.5350347582174589E-2</v>
      </c>
      <c r="CR26" s="50">
        <f t="shared" si="71"/>
        <v>2.6343091293108117E-2</v>
      </c>
      <c r="CS26" s="45">
        <f t="shared" si="9"/>
        <v>129.7432837837838</v>
      </c>
      <c r="CT26" s="46">
        <f t="shared" si="10"/>
        <v>0.6981528572121859</v>
      </c>
      <c r="CU26" s="49">
        <f t="shared" si="11"/>
        <v>0.6568688814053445</v>
      </c>
      <c r="CV26" s="49">
        <f t="shared" si="12"/>
        <v>0.68259249126155142</v>
      </c>
      <c r="CW26" s="47">
        <f t="shared" si="13"/>
        <v>3361.8602432432435</v>
      </c>
      <c r="CX26" s="44">
        <f t="shared" si="14"/>
        <v>1.7142480013730896E-2</v>
      </c>
      <c r="CY26" s="50">
        <f t="shared" si="15"/>
        <v>1.6760410013501675E-2</v>
      </c>
      <c r="CZ26" s="48">
        <f t="shared" si="16"/>
        <v>14.869763875365141</v>
      </c>
      <c r="DA26" s="45">
        <f t="shared" si="17"/>
        <v>82.547283783783783</v>
      </c>
      <c r="DB26" s="51">
        <f t="shared" si="18"/>
        <v>1.0411540418216213E-3</v>
      </c>
      <c r="DC26" s="52">
        <f t="shared" si="19"/>
        <v>5.1278243243243242</v>
      </c>
      <c r="DD26" s="44">
        <f t="shared" si="20"/>
        <v>2.1542745019011197E-2</v>
      </c>
      <c r="DE26" s="50">
        <f t="shared" si="21"/>
        <v>2.1062602321585921E-2</v>
      </c>
      <c r="DF26" s="48">
        <f t="shared" si="22"/>
        <v>18.686650438169423</v>
      </c>
      <c r="DG26" s="45">
        <f t="shared" si="23"/>
        <v>103.73616216216216</v>
      </c>
      <c r="DH26" s="46">
        <f t="shared" si="24"/>
        <v>6.602060259998853E-3</v>
      </c>
      <c r="DI26" s="49">
        <f t="shared" si="25"/>
        <v>6.4549141549410877E-3</v>
      </c>
      <c r="DJ26" s="47">
        <f t="shared" si="26"/>
        <v>5.7267721518987349</v>
      </c>
      <c r="DK26" s="44">
        <f t="shared" si="27"/>
        <v>3.7817245997157925E-2</v>
      </c>
      <c r="DL26" s="50">
        <f t="shared" si="28"/>
        <v>3.5580993215693572E-2</v>
      </c>
      <c r="DM26" s="50">
        <f t="shared" si="29"/>
        <v>3.6974378735523131E-2</v>
      </c>
      <c r="DN26" s="45">
        <f t="shared" si="30"/>
        <v>182.10381081081081</v>
      </c>
      <c r="DO26" s="46">
        <f t="shared" si="31"/>
        <v>6.9658507704237482E-3</v>
      </c>
      <c r="DP26" s="49">
        <f t="shared" si="32"/>
        <v>6.8105965363035549E-3</v>
      </c>
      <c r="DQ26" s="47">
        <f t="shared" si="33"/>
        <v>33.543108108108108</v>
      </c>
      <c r="DR26" s="53">
        <f t="shared" si="34"/>
        <v>4.6113455776290717E-2</v>
      </c>
      <c r="DS26" s="45">
        <f t="shared" si="35"/>
        <v>227.11500000000001</v>
      </c>
      <c r="DT26" s="46">
        <f t="shared" si="72"/>
        <v>4.995272066745201E-5</v>
      </c>
      <c r="DU26" s="49">
        <f t="shared" si="73"/>
        <v>4.6998859073651747E-5</v>
      </c>
      <c r="DV26" s="49">
        <f t="shared" si="74"/>
        <v>4.8839379075011687E-5</v>
      </c>
      <c r="DW26" s="47">
        <f t="shared" si="75"/>
        <v>0.24054054054054055</v>
      </c>
      <c r="DY26" s="54">
        <f>VLOOKUP(A26,'[3]Barnet Schools'!$E$8:$V$130,17,0)</f>
        <v>178</v>
      </c>
    </row>
    <row r="27" spans="1:129">
      <c r="A27" s="77">
        <v>2015</v>
      </c>
      <c r="B27" s="78">
        <v>10055</v>
      </c>
      <c r="C27" s="589" t="s">
        <v>51</v>
      </c>
      <c r="D27" s="595">
        <f>VLOOKUP(A27,[4]CFR20152016_BenchMarkDataReport!$B$3:$BO$99,18,0)</f>
        <v>1440626</v>
      </c>
      <c r="E27" s="595">
        <f>VLOOKUP(A27,[4]CFR20152016_BenchMarkDataReport!$B$3:$BO$99,19,0)</f>
        <v>0</v>
      </c>
      <c r="F27" s="595">
        <f>VLOOKUP(A27,[4]CFR20152016_BenchMarkDataReport!$B$3:$BO$99,20,0)</f>
        <v>170531.91</v>
      </c>
      <c r="G27" s="595">
        <f>VLOOKUP(A27,[4]CFR20152016_BenchMarkDataReport!$B$3:$BO$99,21,0)</f>
        <v>0</v>
      </c>
      <c r="H27" s="595">
        <f>VLOOKUP(A27,[4]CFR20152016_BenchMarkDataReport!$B$3:$BO$99,22,0)</f>
        <v>132035.29</v>
      </c>
      <c r="I27" s="595">
        <f>VLOOKUP(A27,[4]CFR20152016_BenchMarkDataReport!$B$3:$BO$99,23,0)</f>
        <v>2700</v>
      </c>
      <c r="J27" s="595">
        <f>VLOOKUP(A27,[4]CFR20152016_BenchMarkDataReport!$B$3:$BO$99,24,0)</f>
        <v>15430.44</v>
      </c>
      <c r="K27" s="595">
        <f>VLOOKUP(A27,[4]CFR20152016_BenchMarkDataReport!$B$3:$BO$99,25,0)</f>
        <v>4185.84</v>
      </c>
      <c r="L27" s="595">
        <f>VLOOKUP(A27,[4]CFR20152016_BenchMarkDataReport!$B$3:$BO$99,26,0)</f>
        <v>29499.94</v>
      </c>
      <c r="M27" s="595">
        <f>VLOOKUP(A27,[4]CFR20152016_BenchMarkDataReport!$B$3:$BO$99,27,0)</f>
        <v>19528.2</v>
      </c>
      <c r="N27" s="595">
        <f>VLOOKUP(A27,[4]CFR20152016_BenchMarkDataReport!$B$3:$BO$99,28,0)</f>
        <v>3107.12</v>
      </c>
      <c r="O27" s="595">
        <f>VLOOKUP(A27,[4]CFR20152016_BenchMarkDataReport!$B$3:$BO$99,29,0)</f>
        <v>25084.27</v>
      </c>
      <c r="P27" s="595">
        <f>VLOOKUP(A27,[4]CFR20152016_BenchMarkDataReport!$B$3:$BO$99,30,0)</f>
        <v>2935.38</v>
      </c>
      <c r="Q27" s="595">
        <f>VLOOKUP(A27,[4]CFR20152016_BenchMarkDataReport!$B$3:$BO$99,31,0)</f>
        <v>0</v>
      </c>
      <c r="R27" s="595">
        <f>VLOOKUP(A27,[4]CFR20152016_BenchMarkDataReport!$B$3:$BO$99,32,0)</f>
        <v>278465</v>
      </c>
      <c r="S27" s="595">
        <f>VLOOKUP(A27,[4]CFR20152016_BenchMarkDataReport!$B$3:$BO$99,33,0)</f>
        <v>60562.38</v>
      </c>
      <c r="T27" s="595">
        <f>VLOOKUP(A27,[4]CFR20152016_BenchMarkDataReport!$B$3:$BO$99,34,0)</f>
        <v>36001.68</v>
      </c>
      <c r="U27" s="595">
        <f>VLOOKUP(A27,[4]CFR20152016_BenchMarkDataReport!$B$3:$BO$99,35,0)</f>
        <v>765232.24</v>
      </c>
      <c r="V27" s="595">
        <f>VLOOKUP(A27,[4]CFR20152016_BenchMarkDataReport!$B$3:$BO$99,36,0)</f>
        <v>0</v>
      </c>
      <c r="W27" s="595">
        <f>VLOOKUP(A27,[4]CFR20152016_BenchMarkDataReport!$B$3:$BO$99,37,0)</f>
        <v>482480.72</v>
      </c>
      <c r="X27" s="595">
        <f>VLOOKUP(A27,[4]CFR20152016_BenchMarkDataReport!$B$3:$BO$99,38,0)</f>
        <v>30059.57</v>
      </c>
      <c r="Y27" s="595">
        <f>VLOOKUP(A27,[4]CFR20152016_BenchMarkDataReport!$B$3:$BO$99,39,0)</f>
        <v>48096.35</v>
      </c>
      <c r="Z27" s="595">
        <f>VLOOKUP(A27,[4]CFR20152016_BenchMarkDataReport!$B$3:$BO$99,40,0)</f>
        <v>0</v>
      </c>
      <c r="AA27" s="595">
        <f>VLOOKUP(A27,[4]CFR20152016_BenchMarkDataReport!$B$3:$BO$99,41,0)</f>
        <v>7406.32</v>
      </c>
      <c r="AB27" s="595">
        <f>VLOOKUP(A27,[4]CFR20152016_BenchMarkDataReport!$B$3:$BO$99,42,0)</f>
        <v>6698.16</v>
      </c>
      <c r="AC27" s="595">
        <f>VLOOKUP(A27,[4]CFR20152016_BenchMarkDataReport!$B$3:$BO$99,43,0)</f>
        <v>6938.78</v>
      </c>
      <c r="AD27" s="595">
        <f>VLOOKUP(A27,[4]CFR20152016_BenchMarkDataReport!$B$3:$BO$99,44,0)</f>
        <v>16499.62</v>
      </c>
      <c r="AE27" s="595">
        <f>VLOOKUP(A27,[4]CFR20152016_BenchMarkDataReport!$B$3:$BO$99,45,0)</f>
        <v>1163.4000000000001</v>
      </c>
      <c r="AF27" s="595">
        <f>VLOOKUP(A27,[4]CFR20152016_BenchMarkDataReport!$B$3:$BO$99,46,0)</f>
        <v>22494.49</v>
      </c>
      <c r="AG27" s="595">
        <f>VLOOKUP(A27,[4]CFR20152016_BenchMarkDataReport!$B$3:$BO$99,47,0)</f>
        <v>16287.1</v>
      </c>
      <c r="AH27" s="595">
        <f>VLOOKUP(A27,[4]CFR20152016_BenchMarkDataReport!$B$3:$BO$99,48,0)</f>
        <v>27300.52</v>
      </c>
      <c r="AI27" s="595">
        <f>VLOOKUP(A27,[4]CFR20152016_BenchMarkDataReport!$B$3:$BO$99,49,0)</f>
        <v>2909.65</v>
      </c>
      <c r="AJ27" s="595">
        <f>VLOOKUP(A27,[4]CFR20152016_BenchMarkDataReport!$B$3:$BO$99,50,0)</f>
        <v>16743.03</v>
      </c>
      <c r="AK27" s="595">
        <f>VLOOKUP(A27,[4]CFR20152016_BenchMarkDataReport!$B$3:$BO$99,51,0)</f>
        <v>13355.08</v>
      </c>
      <c r="AL27" s="595">
        <f>VLOOKUP(A27,[4]CFR20152016_BenchMarkDataReport!$B$3:$BO$99,52,0)</f>
        <v>15884.29</v>
      </c>
      <c r="AM27" s="595">
        <f>VLOOKUP(A27,[4]CFR20152016_BenchMarkDataReport!$B$3:$BO$99,53,0)</f>
        <v>81072.59</v>
      </c>
      <c r="AN27" s="595">
        <f>VLOOKUP(A27,[4]CFR20152016_BenchMarkDataReport!$B$3:$BO$99,54,0)</f>
        <v>26981.05</v>
      </c>
      <c r="AO27" s="595">
        <f>VLOOKUP(A27,[4]CFR20152016_BenchMarkDataReport!$B$3:$BO$99,55,0)</f>
        <v>0</v>
      </c>
      <c r="AP27" s="595">
        <f>VLOOKUP(A27,[4]CFR20152016_BenchMarkDataReport!$B$3:$BO$99,56,0)</f>
        <v>10540.07</v>
      </c>
      <c r="AQ27" s="595">
        <f>VLOOKUP(A27,[4]CFR20152016_BenchMarkDataReport!$B$3:$BO$99,57,0)</f>
        <v>4190.05</v>
      </c>
      <c r="AR27" s="595">
        <f>VLOOKUP(A27,[4]CFR20152016_BenchMarkDataReport!$B$3:$BO$99,58,0)</f>
        <v>5471.35</v>
      </c>
      <c r="AS27" s="595">
        <f>VLOOKUP(A27,[4]CFR20152016_BenchMarkDataReport!$B$3:$BO$99,59,0)</f>
        <v>80092.350000000006</v>
      </c>
      <c r="AT27" s="595">
        <f>VLOOKUP(A27,[4]CFR20152016_BenchMarkDataReport!$B$3:$BO$99,60,0)</f>
        <v>55279.82</v>
      </c>
      <c r="AU27" s="595">
        <f>VLOOKUP(A27,[4]CFR20152016_BenchMarkDataReport!$B$3:$BO$99,61,0)</f>
        <v>54010.18</v>
      </c>
      <c r="AV27" s="595">
        <f>VLOOKUP(A27,[4]CFR20152016_BenchMarkDataReport!$B$3:$BO$99,62,0)</f>
        <v>33736.620000000003</v>
      </c>
      <c r="AW27" s="595">
        <f>VLOOKUP(A27,[4]CFR20152016_BenchMarkDataReport!$B$3:$BO$99,63,0)</f>
        <v>0</v>
      </c>
      <c r="AX27" s="595">
        <f>VLOOKUP(A27,[4]CFR20152016_BenchMarkDataReport!$B$3:$BO$99,64,0)</f>
        <v>48543.5</v>
      </c>
      <c r="AY27" s="595">
        <f>VLOOKUP(A27,[4]CFR20152016_BenchMarkDataReport!$B$3:$BO$99,65,0)</f>
        <v>266432.06</v>
      </c>
      <c r="AZ27" s="595">
        <f>VLOOKUP(A27,[4]CFR20152016_BenchMarkDataReport!$B$3:$BO$99,66,0)</f>
        <v>29907.49</v>
      </c>
      <c r="BA27" s="596">
        <f t="shared" si="0"/>
        <v>1881666.0699999998</v>
      </c>
      <c r="BB27" s="595">
        <f t="shared" si="42"/>
        <v>1879466.9000000008</v>
      </c>
      <c r="BC27" s="600">
        <f t="shared" si="43"/>
        <v>2199.1699999989942</v>
      </c>
      <c r="BD27" s="595">
        <f>VLOOKUP(A27,[4]CFR20152016_BenchMarkDataReport!$B$3:$BO$99,15,0)</f>
        <v>283048</v>
      </c>
      <c r="BE27" s="600">
        <f t="shared" si="1"/>
        <v>285247.16999999899</v>
      </c>
      <c r="BF27" s="76">
        <f>VLOOKUP(A27,'OCT 15 CENSUS'!$B$9:$U$132,20,0)</f>
        <v>281</v>
      </c>
      <c r="BG27" s="73">
        <f>VLOOKUP(A27,'[2]BUDGET SHARE inc ADJUSTMENTS'!$D$4:$M$139,10,0)</f>
        <v>1733401.257998493</v>
      </c>
      <c r="BH27" s="76">
        <f>VLOOKUP(A27,'12-13 Pupil Data'!A:CI,81,0)</f>
        <v>1895</v>
      </c>
      <c r="BI27" t="s">
        <v>210</v>
      </c>
      <c r="BJ27" s="44">
        <f t="shared" si="44"/>
        <v>0.76561193453416532</v>
      </c>
      <c r="BK27" s="45">
        <f t="shared" si="45"/>
        <v>5126.7829181494662</v>
      </c>
      <c r="BL27" s="44">
        <f t="shared" si="46"/>
        <v>0</v>
      </c>
      <c r="BM27" s="45">
        <f t="shared" si="47"/>
        <v>0</v>
      </c>
      <c r="BN27" s="44">
        <f t="shared" si="48"/>
        <v>9.0628147426817351E-2</v>
      </c>
      <c r="BO27" s="45">
        <f t="shared" si="49"/>
        <v>606.87512455516014</v>
      </c>
      <c r="BP27" s="44">
        <f t="shared" si="50"/>
        <v>0</v>
      </c>
      <c r="BQ27" s="45">
        <f t="shared" si="51"/>
        <v>0</v>
      </c>
      <c r="BR27" s="44">
        <f t="shared" si="52"/>
        <v>7.0169352631203052E-2</v>
      </c>
      <c r="BS27" s="45">
        <f t="shared" si="53"/>
        <v>469.87647686832742</v>
      </c>
      <c r="BT27" s="44">
        <f t="shared" si="54"/>
        <v>1.4348985949457016E-3</v>
      </c>
      <c r="BU27" s="45">
        <f t="shared" si="55"/>
        <v>9.6085409252669045</v>
      </c>
      <c r="BV27" s="44">
        <f t="shared" si="56"/>
        <v>8.2004135834792425E-3</v>
      </c>
      <c r="BW27" s="45">
        <f t="shared" si="57"/>
        <v>54.912597864768685</v>
      </c>
      <c r="BX27" s="44">
        <f t="shared" si="58"/>
        <v>2.224539235062043E-3</v>
      </c>
      <c r="BY27" s="45">
        <f t="shared" si="59"/>
        <v>14.896227758007118</v>
      </c>
      <c r="BZ27" s="46">
        <f t="shared" si="60"/>
        <v>1.3330882880829117E-2</v>
      </c>
      <c r="CA27" s="47">
        <f t="shared" si="61"/>
        <v>89.267864768683282</v>
      </c>
      <c r="CB27" s="44">
        <f t="shared" si="62"/>
        <v>1.5599898657895235E-3</v>
      </c>
      <c r="CC27" s="48">
        <f t="shared" si="63"/>
        <v>10.446192170818506</v>
      </c>
      <c r="CD27" s="46">
        <f t="shared" si="64"/>
        <v>0.47335379284737616</v>
      </c>
      <c r="CE27" s="49">
        <f t="shared" si="65"/>
        <v>0.43605614890000116</v>
      </c>
      <c r="CF27" s="49">
        <f t="shared" si="66"/>
        <v>0.4365663795409217</v>
      </c>
      <c r="CG27" s="47">
        <f t="shared" si="67"/>
        <v>2919.9717437722416</v>
      </c>
      <c r="CH27" s="44">
        <f t="shared" si="2"/>
        <v>0.27834335401204574</v>
      </c>
      <c r="CI27" s="50">
        <f t="shared" si="3"/>
        <v>0.25641144711718167</v>
      </c>
      <c r="CJ27" s="50">
        <f t="shared" si="4"/>
        <v>0.25671147494004803</v>
      </c>
      <c r="CK27" s="45">
        <f t="shared" si="5"/>
        <v>1717.0132384341637</v>
      </c>
      <c r="CL27" s="46">
        <f t="shared" si="6"/>
        <v>1.7341380053403729E-2</v>
      </c>
      <c r="CM27" s="49">
        <f t="shared" si="68"/>
        <v>1.5974975836174802E-2</v>
      </c>
      <c r="CN27" s="49">
        <f t="shared" si="69"/>
        <v>1.5993668204531821E-2</v>
      </c>
      <c r="CO27" s="47">
        <f t="shared" si="70"/>
        <v>106.97355871886121</v>
      </c>
      <c r="CP27" s="44">
        <f t="shared" si="7"/>
        <v>2.7746806908133564E-2</v>
      </c>
      <c r="CQ27" s="50">
        <f t="shared" si="8"/>
        <v>2.5560512976672851E-2</v>
      </c>
      <c r="CR27" s="50">
        <f t="shared" si="71"/>
        <v>2.5590421411518328E-2</v>
      </c>
      <c r="CS27" s="45">
        <f t="shared" si="9"/>
        <v>171.16138790035586</v>
      </c>
      <c r="CT27" s="46">
        <f t="shared" si="10"/>
        <v>0.76916708918250898</v>
      </c>
      <c r="CU27" s="49">
        <f t="shared" si="11"/>
        <v>0.70856100413183321</v>
      </c>
      <c r="CV27" s="49">
        <f t="shared" si="12"/>
        <v>0.70939009354195048</v>
      </c>
      <c r="CW27" s="47">
        <f t="shared" si="13"/>
        <v>4744.751601423488</v>
      </c>
      <c r="CX27" s="44">
        <f t="shared" si="14"/>
        <v>1.2977081847727353E-2</v>
      </c>
      <c r="CY27" s="50">
        <f t="shared" si="15"/>
        <v>1.1968548102656126E-2</v>
      </c>
      <c r="CZ27" s="48">
        <f t="shared" si="16"/>
        <v>11.870443271767812</v>
      </c>
      <c r="DA27" s="45">
        <f t="shared" si="17"/>
        <v>80.051565836298934</v>
      </c>
      <c r="DB27" s="51">
        <f t="shared" si="18"/>
        <v>1.5481251625128374E-3</v>
      </c>
      <c r="DC27" s="52">
        <f t="shared" si="19"/>
        <v>10.354626334519573</v>
      </c>
      <c r="DD27" s="44">
        <f t="shared" si="20"/>
        <v>9.6590618719941852E-3</v>
      </c>
      <c r="DE27" s="50">
        <f t="shared" si="21"/>
        <v>8.9083931193467639E-3</v>
      </c>
      <c r="DF27" s="48">
        <f t="shared" si="22"/>
        <v>8.8353720316622688</v>
      </c>
      <c r="DG27" s="45">
        <f t="shared" si="23"/>
        <v>59.58373665480427</v>
      </c>
      <c r="DH27" s="46">
        <f t="shared" si="24"/>
        <v>9.1636543626033365E-3</v>
      </c>
      <c r="DI27" s="49">
        <f t="shared" si="25"/>
        <v>8.4514869615421231E-3</v>
      </c>
      <c r="DJ27" s="47">
        <f t="shared" si="26"/>
        <v>8.3822110817941962</v>
      </c>
      <c r="DK27" s="44">
        <f t="shared" si="27"/>
        <v>4.6770815254635334E-2</v>
      </c>
      <c r="DL27" s="50">
        <f t="shared" si="28"/>
        <v>4.3085535362818124E-2</v>
      </c>
      <c r="DM27" s="50">
        <f t="shared" si="29"/>
        <v>4.3135949880255917E-2</v>
      </c>
      <c r="DN27" s="45">
        <f t="shared" si="30"/>
        <v>288.51455516014232</v>
      </c>
      <c r="DO27" s="46">
        <f t="shared" si="31"/>
        <v>6.0805713341700847E-3</v>
      </c>
      <c r="DP27" s="49">
        <f t="shared" si="32"/>
        <v>5.6080104416842856E-3</v>
      </c>
      <c r="DQ27" s="47">
        <f t="shared" si="33"/>
        <v>37.509145907473311</v>
      </c>
      <c r="DR27" s="53">
        <f t="shared" si="34"/>
        <v>4.2614397731612068E-2</v>
      </c>
      <c r="DS27" s="45">
        <f t="shared" si="35"/>
        <v>285.02615658362993</v>
      </c>
      <c r="DT27" s="46">
        <f t="shared" si="72"/>
        <v>5.5382445095746812E-5</v>
      </c>
      <c r="DU27" s="49">
        <f t="shared" si="73"/>
        <v>5.10186167091805E-5</v>
      </c>
      <c r="DV27" s="49">
        <f t="shared" si="74"/>
        <v>5.1078313749499899E-5</v>
      </c>
      <c r="DW27" s="47">
        <f t="shared" si="75"/>
        <v>0.34163701067615659</v>
      </c>
      <c r="DY27" s="54">
        <f>VLOOKUP(A27,'[3]Barnet Schools'!$E$8:$V$130,17,0)</f>
        <v>96</v>
      </c>
    </row>
    <row r="28" spans="1:129">
      <c r="A28" s="77">
        <v>2016</v>
      </c>
      <c r="B28" s="78">
        <v>10056</v>
      </c>
      <c r="C28" s="589" t="s">
        <v>53</v>
      </c>
      <c r="D28" s="595">
        <f>VLOOKUP(A28,[4]CFR20152016_BenchMarkDataReport!$B$3:$BO$99,18,0)</f>
        <v>921371.35</v>
      </c>
      <c r="E28" s="595">
        <f>VLOOKUP(A28,[4]CFR20152016_BenchMarkDataReport!$B$3:$BO$99,19,0)</f>
        <v>0</v>
      </c>
      <c r="F28" s="595">
        <f>VLOOKUP(A28,[4]CFR20152016_BenchMarkDataReport!$B$3:$BO$99,20,0)</f>
        <v>46315</v>
      </c>
      <c r="G28" s="595">
        <f>VLOOKUP(A28,[4]CFR20152016_BenchMarkDataReport!$B$3:$BO$99,21,0)</f>
        <v>0</v>
      </c>
      <c r="H28" s="595">
        <f>VLOOKUP(A28,[4]CFR20152016_BenchMarkDataReport!$B$3:$BO$99,22,0)</f>
        <v>44880</v>
      </c>
      <c r="I28" s="595">
        <f>VLOOKUP(A28,[4]CFR20152016_BenchMarkDataReport!$B$3:$BO$99,23,0)</f>
        <v>3202</v>
      </c>
      <c r="J28" s="595">
        <f>VLOOKUP(A28,[4]CFR20152016_BenchMarkDataReport!$B$3:$BO$99,24,0)</f>
        <v>6129.11</v>
      </c>
      <c r="K28" s="595">
        <f>VLOOKUP(A28,[4]CFR20152016_BenchMarkDataReport!$B$3:$BO$99,25,0)</f>
        <v>7938.67</v>
      </c>
      <c r="L28" s="595">
        <f>VLOOKUP(A28,[4]CFR20152016_BenchMarkDataReport!$B$3:$BO$99,26,0)</f>
        <v>26547.52</v>
      </c>
      <c r="M28" s="595">
        <f>VLOOKUP(A28,[4]CFR20152016_BenchMarkDataReport!$B$3:$BO$99,27,0)</f>
        <v>25194.37</v>
      </c>
      <c r="N28" s="595">
        <f>VLOOKUP(A28,[4]CFR20152016_BenchMarkDataReport!$B$3:$BO$99,28,0)</f>
        <v>0</v>
      </c>
      <c r="O28" s="595">
        <f>VLOOKUP(A28,[4]CFR20152016_BenchMarkDataReport!$B$3:$BO$99,29,0)</f>
        <v>28724.55</v>
      </c>
      <c r="P28" s="595">
        <f>VLOOKUP(A28,[4]CFR20152016_BenchMarkDataReport!$B$3:$BO$99,30,0)</f>
        <v>12186.35</v>
      </c>
      <c r="Q28" s="595">
        <f>VLOOKUP(A28,[4]CFR20152016_BenchMarkDataReport!$B$3:$BO$99,31,0)</f>
        <v>0</v>
      </c>
      <c r="R28" s="595">
        <f>VLOOKUP(A28,[4]CFR20152016_BenchMarkDataReport!$B$3:$BO$99,32,0)</f>
        <v>0</v>
      </c>
      <c r="S28" s="595">
        <f>VLOOKUP(A28,[4]CFR20152016_BenchMarkDataReport!$B$3:$BO$99,33,0)</f>
        <v>0</v>
      </c>
      <c r="T28" s="595">
        <f>VLOOKUP(A28,[4]CFR20152016_BenchMarkDataReport!$B$3:$BO$99,34,0)</f>
        <v>49432.76</v>
      </c>
      <c r="U28" s="595">
        <f>VLOOKUP(A28,[4]CFR20152016_BenchMarkDataReport!$B$3:$BO$99,35,0)</f>
        <v>554871.54</v>
      </c>
      <c r="V28" s="595">
        <f>VLOOKUP(A28,[4]CFR20152016_BenchMarkDataReport!$B$3:$BO$99,36,0)</f>
        <v>3900.22</v>
      </c>
      <c r="W28" s="595">
        <f>VLOOKUP(A28,[4]CFR20152016_BenchMarkDataReport!$B$3:$BO$99,37,0)</f>
        <v>208190.64</v>
      </c>
      <c r="X28" s="595">
        <f>VLOOKUP(A28,[4]CFR20152016_BenchMarkDataReport!$B$3:$BO$99,38,0)</f>
        <v>24448.15</v>
      </c>
      <c r="Y28" s="595">
        <f>VLOOKUP(A28,[4]CFR20152016_BenchMarkDataReport!$B$3:$BO$99,39,0)</f>
        <v>23294.02</v>
      </c>
      <c r="Z28" s="595">
        <f>VLOOKUP(A28,[4]CFR20152016_BenchMarkDataReport!$B$3:$BO$99,40,0)</f>
        <v>0</v>
      </c>
      <c r="AA28" s="595">
        <f>VLOOKUP(A28,[4]CFR20152016_BenchMarkDataReport!$B$3:$BO$99,41,0)</f>
        <v>24739.46</v>
      </c>
      <c r="AB28" s="595">
        <f>VLOOKUP(A28,[4]CFR20152016_BenchMarkDataReport!$B$3:$BO$99,42,0)</f>
        <v>4461.5600000000004</v>
      </c>
      <c r="AC28" s="595">
        <f>VLOOKUP(A28,[4]CFR20152016_BenchMarkDataReport!$B$3:$BO$99,43,0)</f>
        <v>1484.09</v>
      </c>
      <c r="AD28" s="595">
        <f>VLOOKUP(A28,[4]CFR20152016_BenchMarkDataReport!$B$3:$BO$99,44,0)</f>
        <v>9326.02</v>
      </c>
      <c r="AE28" s="595">
        <f>VLOOKUP(A28,[4]CFR20152016_BenchMarkDataReport!$B$3:$BO$99,45,0)</f>
        <v>899.04</v>
      </c>
      <c r="AF28" s="595">
        <f>VLOOKUP(A28,[4]CFR20152016_BenchMarkDataReport!$B$3:$BO$99,46,0)</f>
        <v>19809.169999999998</v>
      </c>
      <c r="AG28" s="595">
        <f>VLOOKUP(A28,[4]CFR20152016_BenchMarkDataReport!$B$3:$BO$99,47,0)</f>
        <v>4157.7700000000004</v>
      </c>
      <c r="AH28" s="595">
        <f>VLOOKUP(A28,[4]CFR20152016_BenchMarkDataReport!$B$3:$BO$99,48,0)</f>
        <v>12740.59</v>
      </c>
      <c r="AI28" s="595">
        <f>VLOOKUP(A28,[4]CFR20152016_BenchMarkDataReport!$B$3:$BO$99,49,0)</f>
        <v>2663.1</v>
      </c>
      <c r="AJ28" s="595">
        <f>VLOOKUP(A28,[4]CFR20152016_BenchMarkDataReport!$B$3:$BO$99,50,0)</f>
        <v>9585.35</v>
      </c>
      <c r="AK28" s="595">
        <f>VLOOKUP(A28,[4]CFR20152016_BenchMarkDataReport!$B$3:$BO$99,51,0)</f>
        <v>18788.75</v>
      </c>
      <c r="AL28" s="595">
        <f>VLOOKUP(A28,[4]CFR20152016_BenchMarkDataReport!$B$3:$BO$99,52,0)</f>
        <v>11279.85</v>
      </c>
      <c r="AM28" s="595">
        <f>VLOOKUP(A28,[4]CFR20152016_BenchMarkDataReport!$B$3:$BO$99,53,0)</f>
        <v>52107.95</v>
      </c>
      <c r="AN28" s="595">
        <f>VLOOKUP(A28,[4]CFR20152016_BenchMarkDataReport!$B$3:$BO$99,54,0)</f>
        <v>8041.41</v>
      </c>
      <c r="AO28" s="595">
        <f>VLOOKUP(A28,[4]CFR20152016_BenchMarkDataReport!$B$3:$BO$99,55,0)</f>
        <v>0</v>
      </c>
      <c r="AP28" s="595">
        <f>VLOOKUP(A28,[4]CFR20152016_BenchMarkDataReport!$B$3:$BO$99,56,0)</f>
        <v>8352.86</v>
      </c>
      <c r="AQ28" s="595">
        <f>VLOOKUP(A28,[4]CFR20152016_BenchMarkDataReport!$B$3:$BO$99,57,0)</f>
        <v>5665.74</v>
      </c>
      <c r="AR28" s="595">
        <f>VLOOKUP(A28,[4]CFR20152016_BenchMarkDataReport!$B$3:$BO$99,58,0)</f>
        <v>3010.54</v>
      </c>
      <c r="AS28" s="595">
        <f>VLOOKUP(A28,[4]CFR20152016_BenchMarkDataReport!$B$3:$BO$99,59,0)</f>
        <v>66798.13</v>
      </c>
      <c r="AT28" s="595">
        <f>VLOOKUP(A28,[4]CFR20152016_BenchMarkDataReport!$B$3:$BO$99,60,0)</f>
        <v>48180</v>
      </c>
      <c r="AU28" s="595">
        <f>VLOOKUP(A28,[4]CFR20152016_BenchMarkDataReport!$B$3:$BO$99,61,0)</f>
        <v>59490.41</v>
      </c>
      <c r="AV28" s="595">
        <f>VLOOKUP(A28,[4]CFR20152016_BenchMarkDataReport!$B$3:$BO$99,62,0)</f>
        <v>29116.32</v>
      </c>
      <c r="AW28" s="595">
        <f>VLOOKUP(A28,[4]CFR20152016_BenchMarkDataReport!$B$3:$BO$99,63,0)</f>
        <v>0</v>
      </c>
      <c r="AX28" s="595">
        <f>VLOOKUP(A28,[4]CFR20152016_BenchMarkDataReport!$B$3:$BO$99,64,0)</f>
        <v>0</v>
      </c>
      <c r="AY28" s="595">
        <f>VLOOKUP(A28,[4]CFR20152016_BenchMarkDataReport!$B$3:$BO$99,65,0)</f>
        <v>0</v>
      </c>
      <c r="AZ28" s="595">
        <f>VLOOKUP(A28,[4]CFR20152016_BenchMarkDataReport!$B$3:$BO$99,66,0)</f>
        <v>0</v>
      </c>
      <c r="BA28" s="596">
        <f t="shared" si="0"/>
        <v>1171921.6800000002</v>
      </c>
      <c r="BB28" s="595">
        <f t="shared" si="42"/>
        <v>1215402.6800000002</v>
      </c>
      <c r="BC28" s="600">
        <f t="shared" si="43"/>
        <v>-43481</v>
      </c>
      <c r="BD28" s="595">
        <f>VLOOKUP(A28,[4]CFR20152016_BenchMarkDataReport!$B$3:$BO$99,15,0)</f>
        <v>60696</v>
      </c>
      <c r="BE28" s="600">
        <f t="shared" si="1"/>
        <v>17215</v>
      </c>
      <c r="BF28" s="76">
        <f>VLOOKUP(A28,'OCT 15 CENSUS'!$B$9:$U$132,20,0)</f>
        <v>212</v>
      </c>
      <c r="BG28" s="73">
        <f>VLOOKUP(A28,'[2]BUDGET SHARE inc ADJUSTMENTS'!$D$4:$M$139,10,0)</f>
        <v>1067020.982377049</v>
      </c>
      <c r="BH28" s="76">
        <f>VLOOKUP(A28,'12-13 Pupil Data'!A:CI,81,0)</f>
        <v>1338</v>
      </c>
      <c r="BI28" t="s">
        <v>210</v>
      </c>
      <c r="BJ28" s="44">
        <f t="shared" si="44"/>
        <v>0.78620556793522234</v>
      </c>
      <c r="BK28" s="45">
        <f t="shared" si="45"/>
        <v>4346.0912735849051</v>
      </c>
      <c r="BL28" s="44">
        <f t="shared" si="46"/>
        <v>0</v>
      </c>
      <c r="BM28" s="45">
        <f t="shared" si="47"/>
        <v>0</v>
      </c>
      <c r="BN28" s="44">
        <f t="shared" si="48"/>
        <v>3.9520559087190869E-2</v>
      </c>
      <c r="BO28" s="45">
        <f t="shared" si="49"/>
        <v>218.46698113207546</v>
      </c>
      <c r="BP28" s="44">
        <f t="shared" si="50"/>
        <v>0</v>
      </c>
      <c r="BQ28" s="45">
        <f t="shared" si="51"/>
        <v>0</v>
      </c>
      <c r="BR28" s="44">
        <f t="shared" si="52"/>
        <v>3.8296074529485614E-2</v>
      </c>
      <c r="BS28" s="45">
        <f t="shared" si="53"/>
        <v>211.69811320754718</v>
      </c>
      <c r="BT28" s="44">
        <f t="shared" si="54"/>
        <v>2.732264497402249E-3</v>
      </c>
      <c r="BU28" s="45">
        <f t="shared" si="55"/>
        <v>15.10377358490566</v>
      </c>
      <c r="BV28" s="44">
        <f t="shared" si="56"/>
        <v>5.2299655383113985E-3</v>
      </c>
      <c r="BW28" s="45">
        <f t="shared" si="57"/>
        <v>28.910896226415094</v>
      </c>
      <c r="BX28" s="44">
        <f t="shared" si="58"/>
        <v>6.7740618980613098E-3</v>
      </c>
      <c r="BY28" s="45">
        <f t="shared" si="59"/>
        <v>37.446556603773587</v>
      </c>
      <c r="BZ28" s="46">
        <f t="shared" si="60"/>
        <v>2.4510639652984313E-2</v>
      </c>
      <c r="CA28" s="47">
        <f t="shared" si="61"/>
        <v>135.49316037735849</v>
      </c>
      <c r="CB28" s="44">
        <f t="shared" si="62"/>
        <v>1.0398604452816334E-2</v>
      </c>
      <c r="CC28" s="48">
        <f t="shared" si="63"/>
        <v>57.482783018867927</v>
      </c>
      <c r="CD28" s="46">
        <f t="shared" si="64"/>
        <v>0.56882832673811834</v>
      </c>
      <c r="CE28" s="49">
        <f t="shared" si="65"/>
        <v>0.51791153825228309</v>
      </c>
      <c r="CF28" s="49">
        <f t="shared" si="66"/>
        <v>0.49938326612872036</v>
      </c>
      <c r="CG28" s="47">
        <f t="shared" si="67"/>
        <v>2862.98</v>
      </c>
      <c r="CH28" s="44">
        <f t="shared" si="2"/>
        <v>0.19511391382033058</v>
      </c>
      <c r="CI28" s="50">
        <f t="shared" si="3"/>
        <v>0.17764893640332688</v>
      </c>
      <c r="CJ28" s="50">
        <f t="shared" si="4"/>
        <v>0.17129355021662448</v>
      </c>
      <c r="CK28" s="45">
        <f t="shared" si="5"/>
        <v>982.03132075471706</v>
      </c>
      <c r="CL28" s="46">
        <f t="shared" si="6"/>
        <v>2.2912529747574219E-2</v>
      </c>
      <c r="CM28" s="49">
        <f t="shared" si="68"/>
        <v>2.086159034108832E-2</v>
      </c>
      <c r="CN28" s="49">
        <f t="shared" si="69"/>
        <v>2.0115267476619351E-2</v>
      </c>
      <c r="CO28" s="47">
        <f t="shared" si="70"/>
        <v>115.32146226415095</v>
      </c>
      <c r="CP28" s="44">
        <f t="shared" si="7"/>
        <v>2.1830892161189649E-2</v>
      </c>
      <c r="CQ28" s="50">
        <f t="shared" si="8"/>
        <v>1.987677196994939E-2</v>
      </c>
      <c r="CR28" s="50">
        <f t="shared" si="71"/>
        <v>1.9165680957688853E-2</v>
      </c>
      <c r="CS28" s="45">
        <f t="shared" si="9"/>
        <v>109.87745283018869</v>
      </c>
      <c r="CT28" s="46">
        <f t="shared" si="10"/>
        <v>0.78671745341870791</v>
      </c>
      <c r="CU28" s="49">
        <f t="shared" si="11"/>
        <v>0.71629703957691093</v>
      </c>
      <c r="CV28" s="49">
        <f t="shared" si="12"/>
        <v>0.69067153118339342</v>
      </c>
      <c r="CW28" s="47">
        <f t="shared" si="13"/>
        <v>3959.6416509433961</v>
      </c>
      <c r="CX28" s="44">
        <f t="shared" si="14"/>
        <v>1.8564930143988592E-2</v>
      </c>
      <c r="CY28" s="50">
        <f t="shared" si="15"/>
        <v>1.6298441928727682E-2</v>
      </c>
      <c r="CZ28" s="48">
        <f t="shared" si="16"/>
        <v>14.805059790732436</v>
      </c>
      <c r="DA28" s="45">
        <f t="shared" si="17"/>
        <v>93.439481132075457</v>
      </c>
      <c r="DB28" s="51">
        <f t="shared" si="18"/>
        <v>2.191125660509486E-3</v>
      </c>
      <c r="DC28" s="52">
        <f t="shared" si="19"/>
        <v>12.561792452830188</v>
      </c>
      <c r="DD28" s="44">
        <f t="shared" si="20"/>
        <v>8.9832816395477993E-3</v>
      </c>
      <c r="DE28" s="50">
        <f t="shared" si="21"/>
        <v>7.8865631594625084E-3</v>
      </c>
      <c r="DF28" s="48">
        <f t="shared" si="22"/>
        <v>7.1639387144992526</v>
      </c>
      <c r="DG28" s="45">
        <f t="shared" si="23"/>
        <v>45.213915094339626</v>
      </c>
      <c r="DH28" s="46">
        <f t="shared" si="24"/>
        <v>1.0571347880030802E-2</v>
      </c>
      <c r="DI28" s="49">
        <f t="shared" si="25"/>
        <v>9.2807512979977951E-3</v>
      </c>
      <c r="DJ28" s="47">
        <f t="shared" si="26"/>
        <v>8.4303811659192824</v>
      </c>
      <c r="DK28" s="44">
        <f t="shared" si="27"/>
        <v>4.8834981561390531E-2</v>
      </c>
      <c r="DL28" s="50">
        <f t="shared" si="28"/>
        <v>4.4463679518242198E-2</v>
      </c>
      <c r="DM28" s="50">
        <f t="shared" si="29"/>
        <v>4.28729925130657E-2</v>
      </c>
      <c r="DN28" s="45">
        <f t="shared" si="30"/>
        <v>245.79221698113207</v>
      </c>
      <c r="DO28" s="46">
        <f t="shared" si="31"/>
        <v>7.828205947170758E-3</v>
      </c>
      <c r="DP28" s="49">
        <f t="shared" si="32"/>
        <v>6.8725041810834241E-3</v>
      </c>
      <c r="DQ28" s="47">
        <f t="shared" si="33"/>
        <v>39.400283018867924</v>
      </c>
      <c r="DR28" s="53">
        <f t="shared" si="34"/>
        <v>5.4959669827287193E-2</v>
      </c>
      <c r="DS28" s="45">
        <f t="shared" si="35"/>
        <v>315.08551886792458</v>
      </c>
      <c r="DT28" s="46">
        <f t="shared" si="72"/>
        <v>3.1864415565902672E-5</v>
      </c>
      <c r="DU28" s="49">
        <f t="shared" si="73"/>
        <v>2.9012177673852742E-5</v>
      </c>
      <c r="DV28" s="49">
        <f t="shared" si="74"/>
        <v>2.797426775461775E-5</v>
      </c>
      <c r="DW28" s="47">
        <f t="shared" si="75"/>
        <v>0.16037735849056603</v>
      </c>
      <c r="DY28" s="54">
        <f>VLOOKUP(A28,'[3]Barnet Schools'!$E$8:$V$130,17,0)</f>
        <v>34</v>
      </c>
    </row>
    <row r="29" spans="1:129">
      <c r="A29" s="77">
        <v>2017</v>
      </c>
      <c r="B29" s="78">
        <v>10057</v>
      </c>
      <c r="C29" s="589" t="s">
        <v>54</v>
      </c>
      <c r="D29" s="595">
        <f>VLOOKUP(A29,[4]CFR20152016_BenchMarkDataReport!$B$3:$BO$99,18,0)</f>
        <v>1708278</v>
      </c>
      <c r="E29" s="595">
        <f>VLOOKUP(A29,[4]CFR20152016_BenchMarkDataReport!$B$3:$BO$99,19,0)</f>
        <v>0</v>
      </c>
      <c r="F29" s="595">
        <f>VLOOKUP(A29,[4]CFR20152016_BenchMarkDataReport!$B$3:$BO$99,20,0)</f>
        <v>56988</v>
      </c>
      <c r="G29" s="595">
        <f>VLOOKUP(A29,[4]CFR20152016_BenchMarkDataReport!$B$3:$BO$99,21,0)</f>
        <v>0</v>
      </c>
      <c r="H29" s="595">
        <f>VLOOKUP(A29,[4]CFR20152016_BenchMarkDataReport!$B$3:$BO$99,22,0)</f>
        <v>173760.01</v>
      </c>
      <c r="I29" s="595">
        <f>VLOOKUP(A29,[4]CFR20152016_BenchMarkDataReport!$B$3:$BO$99,23,0)</f>
        <v>2000</v>
      </c>
      <c r="J29" s="595">
        <f>VLOOKUP(A29,[4]CFR20152016_BenchMarkDataReport!$B$3:$BO$99,24,0)</f>
        <v>1915</v>
      </c>
      <c r="K29" s="595">
        <f>VLOOKUP(A29,[4]CFR20152016_BenchMarkDataReport!$B$3:$BO$99,25,0)</f>
        <v>76298.12</v>
      </c>
      <c r="L29" s="595">
        <f>VLOOKUP(A29,[4]CFR20152016_BenchMarkDataReport!$B$3:$BO$99,26,0)</f>
        <v>40245.93</v>
      </c>
      <c r="M29" s="595">
        <f>VLOOKUP(A29,[4]CFR20152016_BenchMarkDataReport!$B$3:$BO$99,27,0)</f>
        <v>23078.7</v>
      </c>
      <c r="N29" s="595">
        <f>VLOOKUP(A29,[4]CFR20152016_BenchMarkDataReport!$B$3:$BO$99,28,0)</f>
        <v>0</v>
      </c>
      <c r="O29" s="595">
        <f>VLOOKUP(A29,[4]CFR20152016_BenchMarkDataReport!$B$3:$BO$99,29,0)</f>
        <v>52249.52</v>
      </c>
      <c r="P29" s="595">
        <f>VLOOKUP(A29,[4]CFR20152016_BenchMarkDataReport!$B$3:$BO$99,30,0)</f>
        <v>2221.0500000000002</v>
      </c>
      <c r="Q29" s="595">
        <f>VLOOKUP(A29,[4]CFR20152016_BenchMarkDataReport!$B$3:$BO$99,31,0)</f>
        <v>0</v>
      </c>
      <c r="R29" s="595">
        <f>VLOOKUP(A29,[4]CFR20152016_BenchMarkDataReport!$B$3:$BO$99,32,0)</f>
        <v>0</v>
      </c>
      <c r="S29" s="595">
        <f>VLOOKUP(A29,[4]CFR20152016_BenchMarkDataReport!$B$3:$BO$99,33,0)</f>
        <v>0</v>
      </c>
      <c r="T29" s="595">
        <f>VLOOKUP(A29,[4]CFR20152016_BenchMarkDataReport!$B$3:$BO$99,34,0)</f>
        <v>42964.22</v>
      </c>
      <c r="U29" s="595">
        <f>VLOOKUP(A29,[4]CFR20152016_BenchMarkDataReport!$B$3:$BO$99,35,0)</f>
        <v>942821.17</v>
      </c>
      <c r="V29" s="595">
        <f>VLOOKUP(A29,[4]CFR20152016_BenchMarkDataReport!$B$3:$BO$99,36,0)</f>
        <v>3992.25</v>
      </c>
      <c r="W29" s="595">
        <f>VLOOKUP(A29,[4]CFR20152016_BenchMarkDataReport!$B$3:$BO$99,37,0)</f>
        <v>454342.96</v>
      </c>
      <c r="X29" s="595">
        <f>VLOOKUP(A29,[4]CFR20152016_BenchMarkDataReport!$B$3:$BO$99,38,0)</f>
        <v>35219.96</v>
      </c>
      <c r="Y29" s="595">
        <f>VLOOKUP(A29,[4]CFR20152016_BenchMarkDataReport!$B$3:$BO$99,39,0)</f>
        <v>57946.6</v>
      </c>
      <c r="Z29" s="595">
        <f>VLOOKUP(A29,[4]CFR20152016_BenchMarkDataReport!$B$3:$BO$99,40,0)</f>
        <v>0</v>
      </c>
      <c r="AA29" s="595">
        <f>VLOOKUP(A29,[4]CFR20152016_BenchMarkDataReport!$B$3:$BO$99,41,0)</f>
        <v>93794.52</v>
      </c>
      <c r="AB29" s="595">
        <f>VLOOKUP(A29,[4]CFR20152016_BenchMarkDataReport!$B$3:$BO$99,42,0)</f>
        <v>13438.28</v>
      </c>
      <c r="AC29" s="595">
        <f>VLOOKUP(A29,[4]CFR20152016_BenchMarkDataReport!$B$3:$BO$99,43,0)</f>
        <v>10473.81</v>
      </c>
      <c r="AD29" s="595">
        <f>VLOOKUP(A29,[4]CFR20152016_BenchMarkDataReport!$B$3:$BO$99,44,0)</f>
        <v>19919.12</v>
      </c>
      <c r="AE29" s="595">
        <f>VLOOKUP(A29,[4]CFR20152016_BenchMarkDataReport!$B$3:$BO$99,45,0)</f>
        <v>1734.6</v>
      </c>
      <c r="AF29" s="595">
        <f>VLOOKUP(A29,[4]CFR20152016_BenchMarkDataReport!$B$3:$BO$99,46,0)</f>
        <v>66250.649999999994</v>
      </c>
      <c r="AG29" s="595">
        <f>VLOOKUP(A29,[4]CFR20152016_BenchMarkDataReport!$B$3:$BO$99,47,0)</f>
        <v>3438</v>
      </c>
      <c r="AH29" s="595">
        <f>VLOOKUP(A29,[4]CFR20152016_BenchMarkDataReport!$B$3:$BO$99,48,0)</f>
        <v>25660.09</v>
      </c>
      <c r="AI29" s="595">
        <f>VLOOKUP(A29,[4]CFR20152016_BenchMarkDataReport!$B$3:$BO$99,49,0)</f>
        <v>9999.0300000000007</v>
      </c>
      <c r="AJ29" s="595">
        <f>VLOOKUP(A29,[4]CFR20152016_BenchMarkDataReport!$B$3:$BO$99,50,0)</f>
        <v>37052.82</v>
      </c>
      <c r="AK29" s="595">
        <f>VLOOKUP(A29,[4]CFR20152016_BenchMarkDataReport!$B$3:$BO$99,51,0)</f>
        <v>11186.35</v>
      </c>
      <c r="AL29" s="595">
        <f>VLOOKUP(A29,[4]CFR20152016_BenchMarkDataReport!$B$3:$BO$99,52,0)</f>
        <v>12347.8</v>
      </c>
      <c r="AM29" s="595">
        <f>VLOOKUP(A29,[4]CFR20152016_BenchMarkDataReport!$B$3:$BO$99,53,0)</f>
        <v>103193.8</v>
      </c>
      <c r="AN29" s="595">
        <f>VLOOKUP(A29,[4]CFR20152016_BenchMarkDataReport!$B$3:$BO$99,54,0)</f>
        <v>30272.03</v>
      </c>
      <c r="AO29" s="595">
        <f>VLOOKUP(A29,[4]CFR20152016_BenchMarkDataReport!$B$3:$BO$99,55,0)</f>
        <v>0</v>
      </c>
      <c r="AP29" s="595">
        <f>VLOOKUP(A29,[4]CFR20152016_BenchMarkDataReport!$B$3:$BO$99,56,0)</f>
        <v>11820.27</v>
      </c>
      <c r="AQ29" s="595">
        <f>VLOOKUP(A29,[4]CFR20152016_BenchMarkDataReport!$B$3:$BO$99,57,0)</f>
        <v>9745.2099999999991</v>
      </c>
      <c r="AR29" s="595">
        <f>VLOOKUP(A29,[4]CFR20152016_BenchMarkDataReport!$B$3:$BO$99,58,0)</f>
        <v>13419.93</v>
      </c>
      <c r="AS29" s="595">
        <f>VLOOKUP(A29,[4]CFR20152016_BenchMarkDataReport!$B$3:$BO$99,59,0)</f>
        <v>110607.6</v>
      </c>
      <c r="AT29" s="595">
        <f>VLOOKUP(A29,[4]CFR20152016_BenchMarkDataReport!$B$3:$BO$99,60,0)</f>
        <v>60603.12</v>
      </c>
      <c r="AU29" s="595">
        <f>VLOOKUP(A29,[4]CFR20152016_BenchMarkDataReport!$B$3:$BO$99,61,0)</f>
        <v>52369.69</v>
      </c>
      <c r="AV29" s="595">
        <f>VLOOKUP(A29,[4]CFR20152016_BenchMarkDataReport!$B$3:$BO$99,62,0)</f>
        <v>53654.89</v>
      </c>
      <c r="AW29" s="595">
        <f>VLOOKUP(A29,[4]CFR20152016_BenchMarkDataReport!$B$3:$BO$99,63,0)</f>
        <v>0</v>
      </c>
      <c r="AX29" s="595">
        <f>VLOOKUP(A29,[4]CFR20152016_BenchMarkDataReport!$B$3:$BO$99,64,0)</f>
        <v>0</v>
      </c>
      <c r="AY29" s="595">
        <f>VLOOKUP(A29,[4]CFR20152016_BenchMarkDataReport!$B$3:$BO$99,65,0)</f>
        <v>0</v>
      </c>
      <c r="AZ29" s="595">
        <f>VLOOKUP(A29,[4]CFR20152016_BenchMarkDataReport!$B$3:$BO$99,66,0)</f>
        <v>0</v>
      </c>
      <c r="BA29" s="596">
        <f t="shared" si="0"/>
        <v>2179998.5499999998</v>
      </c>
      <c r="BB29" s="595">
        <f t="shared" si="42"/>
        <v>2245304.5500000007</v>
      </c>
      <c r="BC29" s="600">
        <f t="shared" si="43"/>
        <v>-65306.000000000931</v>
      </c>
      <c r="BD29" s="595">
        <f>VLOOKUP(A29,[4]CFR20152016_BenchMarkDataReport!$B$3:$BO$99,15,0)</f>
        <v>258814</v>
      </c>
      <c r="BE29" s="600">
        <f t="shared" si="1"/>
        <v>193507.99999999907</v>
      </c>
      <c r="BF29" s="76">
        <f>VLOOKUP(A29,'OCT 15 CENSUS'!$B$9:$U$132,20,0)</f>
        <v>406</v>
      </c>
      <c r="BG29" s="73">
        <f>VLOOKUP(A29,'[2]BUDGET SHARE inc ADJUSTMENTS'!$D$4:$M$139,10,0)</f>
        <v>1987570.9440745781</v>
      </c>
      <c r="BH29" s="76">
        <f>VLOOKUP(A29,'12-13 Pupil Data'!A:CI,81,0)</f>
        <v>2102</v>
      </c>
      <c r="BI29" t="s">
        <v>210</v>
      </c>
      <c r="BJ29" s="44">
        <f t="shared" si="44"/>
        <v>0.78361428267922484</v>
      </c>
      <c r="BK29" s="45">
        <f t="shared" si="45"/>
        <v>4207.5812807881775</v>
      </c>
      <c r="BL29" s="44">
        <f t="shared" si="46"/>
        <v>0</v>
      </c>
      <c r="BM29" s="45">
        <f t="shared" si="47"/>
        <v>0</v>
      </c>
      <c r="BN29" s="44">
        <f t="shared" si="48"/>
        <v>2.6141301791232845E-2</v>
      </c>
      <c r="BO29" s="45">
        <f t="shared" si="49"/>
        <v>140.36453201970443</v>
      </c>
      <c r="BP29" s="44">
        <f t="shared" si="50"/>
        <v>0</v>
      </c>
      <c r="BQ29" s="45">
        <f t="shared" si="51"/>
        <v>0</v>
      </c>
      <c r="BR29" s="44">
        <f t="shared" si="52"/>
        <v>7.9706479621282328E-2</v>
      </c>
      <c r="BS29" s="45">
        <f t="shared" si="53"/>
        <v>427.98032019704436</v>
      </c>
      <c r="BT29" s="44">
        <f t="shared" si="54"/>
        <v>9.1743180287895149E-4</v>
      </c>
      <c r="BU29" s="45">
        <f t="shared" si="55"/>
        <v>4.9261083743842367</v>
      </c>
      <c r="BV29" s="44">
        <f t="shared" si="56"/>
        <v>8.7844095125659614E-4</v>
      </c>
      <c r="BW29" s="45">
        <f t="shared" si="57"/>
        <v>4.7167487684729066</v>
      </c>
      <c r="BX29" s="44">
        <f t="shared" si="58"/>
        <v>3.4999160893937294E-2</v>
      </c>
      <c r="BY29" s="45">
        <f t="shared" si="59"/>
        <v>187.9264039408867</v>
      </c>
      <c r="BZ29" s="46">
        <f t="shared" si="60"/>
        <v>2.3967685666579915E-2</v>
      </c>
      <c r="CA29" s="47">
        <f t="shared" si="61"/>
        <v>128.69339901477832</v>
      </c>
      <c r="CB29" s="44">
        <f t="shared" si="62"/>
        <v>1.0188309528921476E-3</v>
      </c>
      <c r="CC29" s="48">
        <f t="shared" si="63"/>
        <v>5.470566502463055</v>
      </c>
      <c r="CD29" s="46">
        <f t="shared" si="64"/>
        <v>0.50685815417223146</v>
      </c>
      <c r="CE29" s="49">
        <f t="shared" si="65"/>
        <v>0.4621179862711377</v>
      </c>
      <c r="CF29" s="49">
        <f t="shared" si="66"/>
        <v>0.44867701354811745</v>
      </c>
      <c r="CG29" s="47">
        <f t="shared" si="67"/>
        <v>2481.3215270935962</v>
      </c>
      <c r="CH29" s="44">
        <f t="shared" si="2"/>
        <v>0.2285920718223943</v>
      </c>
      <c r="CI29" s="50">
        <f t="shared" si="3"/>
        <v>0.20841434045907969</v>
      </c>
      <c r="CJ29" s="50">
        <f t="shared" si="4"/>
        <v>0.20235248710470027</v>
      </c>
      <c r="CK29" s="45">
        <f t="shared" si="5"/>
        <v>1119.0713300492612</v>
      </c>
      <c r="CL29" s="46">
        <f t="shared" si="6"/>
        <v>1.7720102069814957E-2</v>
      </c>
      <c r="CM29" s="49">
        <f t="shared" si="68"/>
        <v>1.6155955700062279E-2</v>
      </c>
      <c r="CN29" s="49">
        <f t="shared" si="69"/>
        <v>1.568605025095593E-2</v>
      </c>
      <c r="CO29" s="47">
        <f t="shared" si="70"/>
        <v>86.748669950738915</v>
      </c>
      <c r="CP29" s="44">
        <f t="shared" si="7"/>
        <v>2.9154481339522798E-2</v>
      </c>
      <c r="CQ29" s="50">
        <f t="shared" si="8"/>
        <v>2.6581026854352725E-2</v>
      </c>
      <c r="CR29" s="50">
        <f t="shared" si="71"/>
        <v>2.5807902095063218E-2</v>
      </c>
      <c r="CS29" s="45">
        <f t="shared" si="9"/>
        <v>142.72561576354678</v>
      </c>
      <c r="CT29" s="46">
        <f t="shared" si="10"/>
        <v>0.7990242887855431</v>
      </c>
      <c r="CU29" s="49">
        <f t="shared" si="11"/>
        <v>0.72849473225567074</v>
      </c>
      <c r="CV29" s="49">
        <f t="shared" si="12"/>
        <v>0.70730603561107097</v>
      </c>
      <c r="CW29" s="47">
        <f t="shared" si="13"/>
        <v>3911.619359605912</v>
      </c>
      <c r="CX29" s="44">
        <f t="shared" si="14"/>
        <v>3.3332470570426147E-2</v>
      </c>
      <c r="CY29" s="50">
        <f t="shared" si="15"/>
        <v>2.9506309066179896E-2</v>
      </c>
      <c r="CZ29" s="48">
        <f t="shared" si="16"/>
        <v>31.517911512844908</v>
      </c>
      <c r="DA29" s="45">
        <f t="shared" si="17"/>
        <v>163.17894088669948</v>
      </c>
      <c r="DB29" s="51">
        <f t="shared" si="18"/>
        <v>4.4533067908315589E-3</v>
      </c>
      <c r="DC29" s="52">
        <f t="shared" si="19"/>
        <v>24.628152709359608</v>
      </c>
      <c r="DD29" s="44">
        <f t="shared" si="20"/>
        <v>1.864226286385564E-2</v>
      </c>
      <c r="DE29" s="50">
        <f t="shared" si="21"/>
        <v>1.6502358221293405E-2</v>
      </c>
      <c r="DF29" s="48">
        <f t="shared" si="22"/>
        <v>17.627411988582303</v>
      </c>
      <c r="DG29" s="45">
        <f t="shared" si="23"/>
        <v>91.263103448275857</v>
      </c>
      <c r="DH29" s="46">
        <f t="shared" si="24"/>
        <v>6.2125078034631813E-3</v>
      </c>
      <c r="DI29" s="49">
        <f t="shared" si="25"/>
        <v>5.4993875997801705E-3</v>
      </c>
      <c r="DJ29" s="47">
        <f t="shared" si="26"/>
        <v>5.8743101807802089</v>
      </c>
      <c r="DK29" s="44">
        <f t="shared" si="27"/>
        <v>5.1919555529650538E-2</v>
      </c>
      <c r="DL29" s="50">
        <f t="shared" si="28"/>
        <v>4.7336636989964972E-2</v>
      </c>
      <c r="DM29" s="50">
        <f t="shared" si="29"/>
        <v>4.5959823134015372E-2</v>
      </c>
      <c r="DN29" s="45">
        <f t="shared" si="30"/>
        <v>254.171921182266</v>
      </c>
      <c r="DO29" s="46">
        <f t="shared" si="31"/>
        <v>5.9470933780950246E-3</v>
      </c>
      <c r="DP29" s="49">
        <f t="shared" si="32"/>
        <v>5.264439516679373E-3</v>
      </c>
      <c r="DQ29" s="47">
        <f t="shared" si="33"/>
        <v>29.113965517241379</v>
      </c>
      <c r="DR29" s="53">
        <f t="shared" si="34"/>
        <v>4.9261736008150862E-2</v>
      </c>
      <c r="DS29" s="45">
        <f t="shared" si="35"/>
        <v>272.43251231527097</v>
      </c>
      <c r="DT29" s="46">
        <f t="shared" si="72"/>
        <v>6.4400216949034428E-5</v>
      </c>
      <c r="DU29" s="49">
        <f t="shared" si="73"/>
        <v>5.8715635384252898E-5</v>
      </c>
      <c r="DV29" s="49">
        <f t="shared" si="74"/>
        <v>5.7007856684742369E-5</v>
      </c>
      <c r="DW29" s="47">
        <f t="shared" si="75"/>
        <v>0.31527093596059114</v>
      </c>
      <c r="DY29" s="54">
        <f>VLOOKUP(A29,'[3]Barnet Schools'!$E$8:$V$130,17,0)</f>
        <v>128</v>
      </c>
    </row>
    <row r="30" spans="1:129">
      <c r="A30" s="77">
        <v>2073</v>
      </c>
      <c r="B30" s="78">
        <v>10083</v>
      </c>
      <c r="C30" s="589" t="s">
        <v>55</v>
      </c>
      <c r="D30" s="595">
        <f>VLOOKUP(A30,[4]CFR20152016_BenchMarkDataReport!$B$3:$BO$99,18,0)</f>
        <v>2618660</v>
      </c>
      <c r="E30" s="595">
        <f>VLOOKUP(A30,[4]CFR20152016_BenchMarkDataReport!$B$3:$BO$99,19,0)</f>
        <v>0</v>
      </c>
      <c r="F30" s="595">
        <f>VLOOKUP(A30,[4]CFR20152016_BenchMarkDataReport!$B$3:$BO$99,20,0)</f>
        <v>252735.91</v>
      </c>
      <c r="G30" s="595">
        <f>VLOOKUP(A30,[4]CFR20152016_BenchMarkDataReport!$B$3:$BO$99,21,0)</f>
        <v>0</v>
      </c>
      <c r="H30" s="595">
        <f>VLOOKUP(A30,[4]CFR20152016_BenchMarkDataReport!$B$3:$BO$99,22,0)</f>
        <v>239526.81</v>
      </c>
      <c r="I30" s="595">
        <f>VLOOKUP(A30,[4]CFR20152016_BenchMarkDataReport!$B$3:$BO$99,23,0)</f>
        <v>0</v>
      </c>
      <c r="J30" s="595">
        <f>VLOOKUP(A30,[4]CFR20152016_BenchMarkDataReport!$B$3:$BO$99,24,0)</f>
        <v>4448.46</v>
      </c>
      <c r="K30" s="595">
        <f>VLOOKUP(A30,[4]CFR20152016_BenchMarkDataReport!$B$3:$BO$99,25,0)</f>
        <v>106264.58</v>
      </c>
      <c r="L30" s="595">
        <f>VLOOKUP(A30,[4]CFR20152016_BenchMarkDataReport!$B$3:$BO$99,26,0)</f>
        <v>79278</v>
      </c>
      <c r="M30" s="595">
        <f>VLOOKUP(A30,[4]CFR20152016_BenchMarkDataReport!$B$3:$BO$99,27,0)</f>
        <v>18468</v>
      </c>
      <c r="N30" s="595">
        <f>VLOOKUP(A30,[4]CFR20152016_BenchMarkDataReport!$B$3:$BO$99,28,0)</f>
        <v>20074.87</v>
      </c>
      <c r="O30" s="595">
        <f>VLOOKUP(A30,[4]CFR20152016_BenchMarkDataReport!$B$3:$BO$99,29,0)</f>
        <v>62093.279999999999</v>
      </c>
      <c r="P30" s="595">
        <f>VLOOKUP(A30,[4]CFR20152016_BenchMarkDataReport!$B$3:$BO$99,30,0)</f>
        <v>8450</v>
      </c>
      <c r="Q30" s="595">
        <f>VLOOKUP(A30,[4]CFR20152016_BenchMarkDataReport!$B$3:$BO$99,31,0)</f>
        <v>0</v>
      </c>
      <c r="R30" s="595">
        <f>VLOOKUP(A30,[4]CFR20152016_BenchMarkDataReport!$B$3:$BO$99,32,0)</f>
        <v>0</v>
      </c>
      <c r="S30" s="595">
        <f>VLOOKUP(A30,[4]CFR20152016_BenchMarkDataReport!$B$3:$BO$99,33,0)</f>
        <v>0</v>
      </c>
      <c r="T30" s="595">
        <f>VLOOKUP(A30,[4]CFR20152016_BenchMarkDataReport!$B$3:$BO$99,34,0)</f>
        <v>113767</v>
      </c>
      <c r="U30" s="595">
        <f>VLOOKUP(A30,[4]CFR20152016_BenchMarkDataReport!$B$3:$BO$99,35,0)</f>
        <v>1339686.6499999999</v>
      </c>
      <c r="V30" s="595">
        <f>VLOOKUP(A30,[4]CFR20152016_BenchMarkDataReport!$B$3:$BO$99,36,0)</f>
        <v>0</v>
      </c>
      <c r="W30" s="595">
        <f>VLOOKUP(A30,[4]CFR20152016_BenchMarkDataReport!$B$3:$BO$99,37,0)</f>
        <v>794808.98</v>
      </c>
      <c r="X30" s="595">
        <f>VLOOKUP(A30,[4]CFR20152016_BenchMarkDataReport!$B$3:$BO$99,38,0)</f>
        <v>85255.77</v>
      </c>
      <c r="Y30" s="595">
        <f>VLOOKUP(A30,[4]CFR20152016_BenchMarkDataReport!$B$3:$BO$99,39,0)</f>
        <v>105420.04</v>
      </c>
      <c r="Z30" s="595">
        <f>VLOOKUP(A30,[4]CFR20152016_BenchMarkDataReport!$B$3:$BO$99,40,0)</f>
        <v>119094.17</v>
      </c>
      <c r="AA30" s="595">
        <f>VLOOKUP(A30,[4]CFR20152016_BenchMarkDataReport!$B$3:$BO$99,41,0)</f>
        <v>171388.58</v>
      </c>
      <c r="AB30" s="595">
        <f>VLOOKUP(A30,[4]CFR20152016_BenchMarkDataReport!$B$3:$BO$99,42,0)</f>
        <v>11954</v>
      </c>
      <c r="AC30" s="595">
        <f>VLOOKUP(A30,[4]CFR20152016_BenchMarkDataReport!$B$3:$BO$99,43,0)</f>
        <v>9847.33</v>
      </c>
      <c r="AD30" s="595">
        <f>VLOOKUP(A30,[4]CFR20152016_BenchMarkDataReport!$B$3:$BO$99,44,0)</f>
        <v>19581.97</v>
      </c>
      <c r="AE30" s="595">
        <f>VLOOKUP(A30,[4]CFR20152016_BenchMarkDataReport!$B$3:$BO$99,45,0)</f>
        <v>6959.16</v>
      </c>
      <c r="AF30" s="595">
        <f>VLOOKUP(A30,[4]CFR20152016_BenchMarkDataReport!$B$3:$BO$99,46,0)</f>
        <v>179140.85</v>
      </c>
      <c r="AG30" s="595">
        <f>VLOOKUP(A30,[4]CFR20152016_BenchMarkDataReport!$B$3:$BO$99,47,0)</f>
        <v>11525.61</v>
      </c>
      <c r="AH30" s="595">
        <f>VLOOKUP(A30,[4]CFR20152016_BenchMarkDataReport!$B$3:$BO$99,48,0)</f>
        <v>7583.95</v>
      </c>
      <c r="AI30" s="595">
        <f>VLOOKUP(A30,[4]CFR20152016_BenchMarkDataReport!$B$3:$BO$99,49,0)</f>
        <v>4547.1000000000004</v>
      </c>
      <c r="AJ30" s="595">
        <f>VLOOKUP(A30,[4]CFR20152016_BenchMarkDataReport!$B$3:$BO$99,50,0)</f>
        <v>40005.61</v>
      </c>
      <c r="AK30" s="595">
        <f>VLOOKUP(A30,[4]CFR20152016_BenchMarkDataReport!$B$3:$BO$99,51,0)</f>
        <v>37704</v>
      </c>
      <c r="AL30" s="595">
        <f>VLOOKUP(A30,[4]CFR20152016_BenchMarkDataReport!$B$3:$BO$99,52,0)</f>
        <v>16289.63</v>
      </c>
      <c r="AM30" s="595">
        <f>VLOOKUP(A30,[4]CFR20152016_BenchMarkDataReport!$B$3:$BO$99,53,0)</f>
        <v>118006.38</v>
      </c>
      <c r="AN30" s="595">
        <f>VLOOKUP(A30,[4]CFR20152016_BenchMarkDataReport!$B$3:$BO$99,54,0)</f>
        <v>30008.45</v>
      </c>
      <c r="AO30" s="595">
        <f>VLOOKUP(A30,[4]CFR20152016_BenchMarkDataReport!$B$3:$BO$99,55,0)</f>
        <v>0</v>
      </c>
      <c r="AP30" s="595">
        <f>VLOOKUP(A30,[4]CFR20152016_BenchMarkDataReport!$B$3:$BO$99,56,0)</f>
        <v>33097.79</v>
      </c>
      <c r="AQ30" s="595">
        <f>VLOOKUP(A30,[4]CFR20152016_BenchMarkDataReport!$B$3:$BO$99,57,0)</f>
        <v>14664.16</v>
      </c>
      <c r="AR30" s="595">
        <f>VLOOKUP(A30,[4]CFR20152016_BenchMarkDataReport!$B$3:$BO$99,58,0)</f>
        <v>19171.93</v>
      </c>
      <c r="AS30" s="595">
        <f>VLOOKUP(A30,[4]CFR20152016_BenchMarkDataReport!$B$3:$BO$99,59,0)</f>
        <v>131407.32999999999</v>
      </c>
      <c r="AT30" s="595">
        <f>VLOOKUP(A30,[4]CFR20152016_BenchMarkDataReport!$B$3:$BO$99,60,0)</f>
        <v>66491.25</v>
      </c>
      <c r="AU30" s="595">
        <f>VLOOKUP(A30,[4]CFR20152016_BenchMarkDataReport!$B$3:$BO$99,61,0)</f>
        <v>14756.2</v>
      </c>
      <c r="AV30" s="595">
        <f>VLOOKUP(A30,[4]CFR20152016_BenchMarkDataReport!$B$3:$BO$99,62,0)</f>
        <v>20498.79</v>
      </c>
      <c r="AW30" s="595">
        <f>VLOOKUP(A30,[4]CFR20152016_BenchMarkDataReport!$B$3:$BO$99,63,0)</f>
        <v>0</v>
      </c>
      <c r="AX30" s="595">
        <f>VLOOKUP(A30,[4]CFR20152016_BenchMarkDataReport!$B$3:$BO$99,64,0)</f>
        <v>0</v>
      </c>
      <c r="AY30" s="595">
        <f>VLOOKUP(A30,[4]CFR20152016_BenchMarkDataReport!$B$3:$BO$99,65,0)</f>
        <v>0</v>
      </c>
      <c r="AZ30" s="595">
        <f>VLOOKUP(A30,[4]CFR20152016_BenchMarkDataReport!$B$3:$BO$99,66,0)</f>
        <v>0</v>
      </c>
      <c r="BA30" s="596">
        <f t="shared" si="0"/>
        <v>3523766.91</v>
      </c>
      <c r="BB30" s="595">
        <f t="shared" si="42"/>
        <v>3408895.6800000011</v>
      </c>
      <c r="BC30" s="600">
        <f t="shared" si="43"/>
        <v>114871.22999999905</v>
      </c>
      <c r="BD30" s="595">
        <f>VLOOKUP(A30,[4]CFR20152016_BenchMarkDataReport!$B$3:$BO$99,15,0)</f>
        <v>322692</v>
      </c>
      <c r="BE30" s="600">
        <f t="shared" si="1"/>
        <v>437563.22999999905</v>
      </c>
      <c r="BF30" s="76">
        <f>VLOOKUP(A30,'OCT 15 CENSUS'!$B$9:$U$132,20,0)</f>
        <v>652</v>
      </c>
      <c r="BG30" s="73">
        <f>VLOOKUP(A30,'[2]BUDGET SHARE inc ADJUSTMENTS'!$D$4:$M$139,10,0)</f>
        <v>3189346.6171899526</v>
      </c>
      <c r="BH30" s="76">
        <f>VLOOKUP(A30,'12-13 Pupil Data'!A:CI,81,0)</f>
        <v>3721</v>
      </c>
      <c r="BI30" t="s">
        <v>210</v>
      </c>
      <c r="BJ30" s="44">
        <f t="shared" si="44"/>
        <v>0.74314223014257208</v>
      </c>
      <c r="BK30" s="45">
        <f t="shared" si="45"/>
        <v>4016.3496932515336</v>
      </c>
      <c r="BL30" s="44">
        <f t="shared" si="46"/>
        <v>0</v>
      </c>
      <c r="BM30" s="45">
        <f t="shared" si="47"/>
        <v>0</v>
      </c>
      <c r="BN30" s="44">
        <f t="shared" si="48"/>
        <v>7.1723220194493509E-2</v>
      </c>
      <c r="BO30" s="45">
        <f t="shared" si="49"/>
        <v>387.631763803681</v>
      </c>
      <c r="BP30" s="44">
        <f t="shared" si="50"/>
        <v>0</v>
      </c>
      <c r="BQ30" s="45">
        <f t="shared" si="51"/>
        <v>0</v>
      </c>
      <c r="BR30" s="44">
        <f t="shared" si="52"/>
        <v>6.7974646484208007E-2</v>
      </c>
      <c r="BS30" s="45">
        <f t="shared" si="53"/>
        <v>367.37240797546013</v>
      </c>
      <c r="BT30" s="44">
        <f t="shared" si="54"/>
        <v>0</v>
      </c>
      <c r="BU30" s="45">
        <f t="shared" si="55"/>
        <v>0</v>
      </c>
      <c r="BV30" s="44">
        <f t="shared" si="56"/>
        <v>1.2624160773449114E-3</v>
      </c>
      <c r="BW30" s="45">
        <f t="shared" si="57"/>
        <v>6.8227914110429451</v>
      </c>
      <c r="BX30" s="44">
        <f t="shared" si="58"/>
        <v>3.0156529280763351E-2</v>
      </c>
      <c r="BY30" s="45">
        <f t="shared" si="59"/>
        <v>162.9824846625767</v>
      </c>
      <c r="BZ30" s="46">
        <f t="shared" si="60"/>
        <v>1.7621279041978404E-2</v>
      </c>
      <c r="CA30" s="47">
        <f t="shared" si="61"/>
        <v>95.235092024539881</v>
      </c>
      <c r="CB30" s="44">
        <f t="shared" si="62"/>
        <v>2.3980019722700668E-3</v>
      </c>
      <c r="CC30" s="48">
        <f t="shared" si="63"/>
        <v>12.960122699386503</v>
      </c>
      <c r="CD30" s="46">
        <f t="shared" si="64"/>
        <v>0.44089842490652376</v>
      </c>
      <c r="CE30" s="49">
        <f t="shared" si="65"/>
        <v>0.39905531095415159</v>
      </c>
      <c r="CF30" s="49">
        <f t="shared" si="66"/>
        <v>0.41250247352831854</v>
      </c>
      <c r="CG30" s="47">
        <f t="shared" si="67"/>
        <v>2156.7145705521471</v>
      </c>
      <c r="CH30" s="44">
        <f t="shared" si="2"/>
        <v>0.24920746328296067</v>
      </c>
      <c r="CI30" s="50">
        <f t="shared" si="3"/>
        <v>0.22555662741040949</v>
      </c>
      <c r="CJ30" s="50">
        <f t="shared" si="4"/>
        <v>0.23315731973352724</v>
      </c>
      <c r="CK30" s="45">
        <f t="shared" si="5"/>
        <v>1219.0321779141104</v>
      </c>
      <c r="CL30" s="46">
        <f t="shared" si="6"/>
        <v>2.6731421897039389E-2</v>
      </c>
      <c r="CM30" s="49">
        <f t="shared" si="68"/>
        <v>2.4194497586674937E-2</v>
      </c>
      <c r="CN30" s="49">
        <f t="shared" si="69"/>
        <v>2.5009791440728388E-2</v>
      </c>
      <c r="CO30" s="47">
        <f t="shared" si="70"/>
        <v>130.76038343558284</v>
      </c>
      <c r="CP30" s="44">
        <f t="shared" si="7"/>
        <v>3.3053804635660065E-2</v>
      </c>
      <c r="CQ30" s="50">
        <f t="shared" si="8"/>
        <v>2.9916859625655542E-2</v>
      </c>
      <c r="CR30" s="50">
        <f t="shared" si="71"/>
        <v>3.0924982720503771E-2</v>
      </c>
      <c r="CS30" s="45">
        <f t="shared" si="9"/>
        <v>161.68717791411041</v>
      </c>
      <c r="CT30" s="46">
        <f t="shared" si="10"/>
        <v>0.82012227078177613</v>
      </c>
      <c r="CU30" s="49">
        <f t="shared" si="11"/>
        <v>0.74228921969188932</v>
      </c>
      <c r="CV30" s="49">
        <f t="shared" si="12"/>
        <v>0.76730250366593766</v>
      </c>
      <c r="CW30" s="47">
        <f t="shared" si="13"/>
        <v>4011.7395552147236</v>
      </c>
      <c r="CX30" s="44">
        <f t="shared" si="14"/>
        <v>5.6168510827410846E-2</v>
      </c>
      <c r="CY30" s="50">
        <f t="shared" si="15"/>
        <v>5.2550992114842293E-2</v>
      </c>
      <c r="CZ30" s="48">
        <f t="shared" si="16"/>
        <v>48.143200752485889</v>
      </c>
      <c r="DA30" s="45">
        <f t="shared" si="17"/>
        <v>274.75590490797549</v>
      </c>
      <c r="DB30" s="51">
        <f t="shared" si="18"/>
        <v>1.3338923882821778E-3</v>
      </c>
      <c r="DC30" s="52">
        <f t="shared" si="19"/>
        <v>6.9740797546012274</v>
      </c>
      <c r="DD30" s="44">
        <f t="shared" si="20"/>
        <v>1.2543512763516392E-2</v>
      </c>
      <c r="DE30" s="50">
        <f t="shared" si="21"/>
        <v>1.1735651001206346E-2</v>
      </c>
      <c r="DF30" s="48">
        <f t="shared" si="22"/>
        <v>10.751306100510616</v>
      </c>
      <c r="DG30" s="45">
        <f t="shared" si="23"/>
        <v>61.358297546012274</v>
      </c>
      <c r="DH30" s="46">
        <f t="shared" si="24"/>
        <v>5.1075132167203432E-3</v>
      </c>
      <c r="DI30" s="49">
        <f t="shared" si="25"/>
        <v>4.778565121711203E-3</v>
      </c>
      <c r="DJ30" s="47">
        <f t="shared" si="26"/>
        <v>4.3777559795753831</v>
      </c>
      <c r="DK30" s="44">
        <f t="shared" si="27"/>
        <v>3.7000174068246065E-2</v>
      </c>
      <c r="DL30" s="50">
        <f t="shared" si="28"/>
        <v>3.3488702009520831E-2</v>
      </c>
      <c r="DM30" s="50">
        <f t="shared" si="29"/>
        <v>3.4617187229384491E-2</v>
      </c>
      <c r="DN30" s="45">
        <f t="shared" si="30"/>
        <v>180.99138036809816</v>
      </c>
      <c r="DO30" s="46">
        <f t="shared" si="31"/>
        <v>1.0377608323162308E-2</v>
      </c>
      <c r="DP30" s="49">
        <f t="shared" si="32"/>
        <v>9.709241087717882E-3</v>
      </c>
      <c r="DQ30" s="47">
        <f t="shared" si="33"/>
        <v>50.763481595092024</v>
      </c>
      <c r="DR30" s="53">
        <f t="shared" si="34"/>
        <v>3.8548357689842813E-2</v>
      </c>
      <c r="DS30" s="45">
        <f t="shared" si="35"/>
        <v>201.54498466257667</v>
      </c>
      <c r="DT30" s="46">
        <f t="shared" si="72"/>
        <v>5.4556628954085493E-5</v>
      </c>
      <c r="DU30" s="49">
        <f t="shared" si="73"/>
        <v>4.9378975523667651E-5</v>
      </c>
      <c r="DV30" s="49">
        <f t="shared" si="74"/>
        <v>5.1042923085284896E-5</v>
      </c>
      <c r="DW30" s="47">
        <f t="shared" si="75"/>
        <v>0.26687116564417179</v>
      </c>
      <c r="DY30" s="54">
        <f>VLOOKUP(A30,'[3]Barnet Schools'!$E$8:$V$130,17,0)</f>
        <v>174</v>
      </c>
    </row>
    <row r="31" spans="1:129">
      <c r="A31" s="77">
        <v>2019</v>
      </c>
      <c r="B31" s="78">
        <v>10059</v>
      </c>
      <c r="C31" s="589" t="s">
        <v>56</v>
      </c>
      <c r="D31" s="595">
        <f>VLOOKUP(A31,[4]CFR20152016_BenchMarkDataReport!$B$3:$BO$99,18,0)</f>
        <v>1579659</v>
      </c>
      <c r="E31" s="595">
        <f>VLOOKUP(A31,[4]CFR20152016_BenchMarkDataReport!$B$3:$BO$99,19,0)</f>
        <v>0</v>
      </c>
      <c r="F31" s="595">
        <f>VLOOKUP(A31,[4]CFR20152016_BenchMarkDataReport!$B$3:$BO$99,20,0)</f>
        <v>30498</v>
      </c>
      <c r="G31" s="595">
        <f>VLOOKUP(A31,[4]CFR20152016_BenchMarkDataReport!$B$3:$BO$99,21,0)</f>
        <v>0</v>
      </c>
      <c r="H31" s="595">
        <f>VLOOKUP(A31,[4]CFR20152016_BenchMarkDataReport!$B$3:$BO$99,22,0)</f>
        <v>130680</v>
      </c>
      <c r="I31" s="595">
        <f>VLOOKUP(A31,[4]CFR20152016_BenchMarkDataReport!$B$3:$BO$99,23,0)</f>
        <v>13900</v>
      </c>
      <c r="J31" s="595">
        <f>VLOOKUP(A31,[4]CFR20152016_BenchMarkDataReport!$B$3:$BO$99,24,0)</f>
        <v>1472</v>
      </c>
      <c r="K31" s="595">
        <f>VLOOKUP(A31,[4]CFR20152016_BenchMarkDataReport!$B$3:$BO$99,25,0)</f>
        <v>16338</v>
      </c>
      <c r="L31" s="595">
        <f>VLOOKUP(A31,[4]CFR20152016_BenchMarkDataReport!$B$3:$BO$99,26,0)</f>
        <v>78.47</v>
      </c>
      <c r="M31" s="595">
        <f>VLOOKUP(A31,[4]CFR20152016_BenchMarkDataReport!$B$3:$BO$99,27,0)</f>
        <v>17177.740000000002</v>
      </c>
      <c r="N31" s="595">
        <f>VLOOKUP(A31,[4]CFR20152016_BenchMarkDataReport!$B$3:$BO$99,28,0)</f>
        <v>1704.54</v>
      </c>
      <c r="O31" s="595">
        <f>VLOOKUP(A31,[4]CFR20152016_BenchMarkDataReport!$B$3:$BO$99,29,0)</f>
        <v>8194.7999999999993</v>
      </c>
      <c r="P31" s="595">
        <f>VLOOKUP(A31,[4]CFR20152016_BenchMarkDataReport!$B$3:$BO$99,30,0)</f>
        <v>1241.97</v>
      </c>
      <c r="Q31" s="595">
        <f>VLOOKUP(A31,[4]CFR20152016_BenchMarkDataReport!$B$3:$BO$99,31,0)</f>
        <v>0</v>
      </c>
      <c r="R31" s="595">
        <f>VLOOKUP(A31,[4]CFR20152016_BenchMarkDataReport!$B$3:$BO$99,32,0)</f>
        <v>0</v>
      </c>
      <c r="S31" s="595">
        <f>VLOOKUP(A31,[4]CFR20152016_BenchMarkDataReport!$B$3:$BO$99,33,0)</f>
        <v>0</v>
      </c>
      <c r="T31" s="595">
        <f>VLOOKUP(A31,[4]CFR20152016_BenchMarkDataReport!$B$3:$BO$99,34,0)</f>
        <v>23927.32</v>
      </c>
      <c r="U31" s="595">
        <f>VLOOKUP(A31,[4]CFR20152016_BenchMarkDataReport!$B$3:$BO$99,35,0)</f>
        <v>712952.5</v>
      </c>
      <c r="V31" s="595">
        <f>VLOOKUP(A31,[4]CFR20152016_BenchMarkDataReport!$B$3:$BO$99,36,0)</f>
        <v>0</v>
      </c>
      <c r="W31" s="595">
        <f>VLOOKUP(A31,[4]CFR20152016_BenchMarkDataReport!$B$3:$BO$99,37,0)</f>
        <v>473842.78</v>
      </c>
      <c r="X31" s="595">
        <f>VLOOKUP(A31,[4]CFR20152016_BenchMarkDataReport!$B$3:$BO$99,38,0)</f>
        <v>34741.81</v>
      </c>
      <c r="Y31" s="595">
        <f>VLOOKUP(A31,[4]CFR20152016_BenchMarkDataReport!$B$3:$BO$99,39,0)</f>
        <v>77202.84</v>
      </c>
      <c r="Z31" s="595">
        <f>VLOOKUP(A31,[4]CFR20152016_BenchMarkDataReport!$B$3:$BO$99,40,0)</f>
        <v>0</v>
      </c>
      <c r="AA31" s="595">
        <f>VLOOKUP(A31,[4]CFR20152016_BenchMarkDataReport!$B$3:$BO$99,41,0)</f>
        <v>48998.23</v>
      </c>
      <c r="AB31" s="595">
        <f>VLOOKUP(A31,[4]CFR20152016_BenchMarkDataReport!$B$3:$BO$99,42,0)</f>
        <v>13297.61</v>
      </c>
      <c r="AC31" s="595">
        <f>VLOOKUP(A31,[4]CFR20152016_BenchMarkDataReport!$B$3:$BO$99,43,0)</f>
        <v>6364.2</v>
      </c>
      <c r="AD31" s="595">
        <f>VLOOKUP(A31,[4]CFR20152016_BenchMarkDataReport!$B$3:$BO$99,44,0)</f>
        <v>15896.05</v>
      </c>
      <c r="AE31" s="595">
        <f>VLOOKUP(A31,[4]CFR20152016_BenchMarkDataReport!$B$3:$BO$99,45,0)</f>
        <v>1549.8</v>
      </c>
      <c r="AF31" s="595">
        <f>VLOOKUP(A31,[4]CFR20152016_BenchMarkDataReport!$B$3:$BO$99,46,0)</f>
        <v>28934.55</v>
      </c>
      <c r="AG31" s="595">
        <f>VLOOKUP(A31,[4]CFR20152016_BenchMarkDataReport!$B$3:$BO$99,47,0)</f>
        <v>8265.89</v>
      </c>
      <c r="AH31" s="595">
        <f>VLOOKUP(A31,[4]CFR20152016_BenchMarkDataReport!$B$3:$BO$99,48,0)</f>
        <v>2798.13</v>
      </c>
      <c r="AI31" s="595">
        <f>VLOOKUP(A31,[4]CFR20152016_BenchMarkDataReport!$B$3:$BO$99,49,0)</f>
        <v>4662.12</v>
      </c>
      <c r="AJ31" s="595">
        <f>VLOOKUP(A31,[4]CFR20152016_BenchMarkDataReport!$B$3:$BO$99,50,0)</f>
        <v>24886.94</v>
      </c>
      <c r="AK31" s="595">
        <f>VLOOKUP(A31,[4]CFR20152016_BenchMarkDataReport!$B$3:$BO$99,51,0)</f>
        <v>14790</v>
      </c>
      <c r="AL31" s="595">
        <f>VLOOKUP(A31,[4]CFR20152016_BenchMarkDataReport!$B$3:$BO$99,52,0)</f>
        <v>7289.22</v>
      </c>
      <c r="AM31" s="595">
        <f>VLOOKUP(A31,[4]CFR20152016_BenchMarkDataReport!$B$3:$BO$99,53,0)</f>
        <v>37274.639999999999</v>
      </c>
      <c r="AN31" s="595">
        <f>VLOOKUP(A31,[4]CFR20152016_BenchMarkDataReport!$B$3:$BO$99,54,0)</f>
        <v>22674.02</v>
      </c>
      <c r="AO31" s="595">
        <f>VLOOKUP(A31,[4]CFR20152016_BenchMarkDataReport!$B$3:$BO$99,55,0)</f>
        <v>0</v>
      </c>
      <c r="AP31" s="595">
        <f>VLOOKUP(A31,[4]CFR20152016_BenchMarkDataReport!$B$3:$BO$99,56,0)</f>
        <v>20368.8</v>
      </c>
      <c r="AQ31" s="595">
        <f>VLOOKUP(A31,[4]CFR20152016_BenchMarkDataReport!$B$3:$BO$99,57,0)</f>
        <v>6448.36</v>
      </c>
      <c r="AR31" s="595">
        <f>VLOOKUP(A31,[4]CFR20152016_BenchMarkDataReport!$B$3:$BO$99,58,0)</f>
        <v>2265.85</v>
      </c>
      <c r="AS31" s="595">
        <f>VLOOKUP(A31,[4]CFR20152016_BenchMarkDataReport!$B$3:$BO$99,59,0)</f>
        <v>89225.85</v>
      </c>
      <c r="AT31" s="595">
        <f>VLOOKUP(A31,[4]CFR20152016_BenchMarkDataReport!$B$3:$BO$99,60,0)</f>
        <v>130605.54</v>
      </c>
      <c r="AU31" s="595">
        <f>VLOOKUP(A31,[4]CFR20152016_BenchMarkDataReport!$B$3:$BO$99,61,0)</f>
        <v>49315.99</v>
      </c>
      <c r="AV31" s="595">
        <f>VLOOKUP(A31,[4]CFR20152016_BenchMarkDataReport!$B$3:$BO$99,62,0)</f>
        <v>56652.12</v>
      </c>
      <c r="AW31" s="595">
        <f>VLOOKUP(A31,[4]CFR20152016_BenchMarkDataReport!$B$3:$BO$99,63,0)</f>
        <v>0</v>
      </c>
      <c r="AX31" s="595">
        <f>VLOOKUP(A31,[4]CFR20152016_BenchMarkDataReport!$B$3:$BO$99,64,0)</f>
        <v>0</v>
      </c>
      <c r="AY31" s="595">
        <f>VLOOKUP(A31,[4]CFR20152016_BenchMarkDataReport!$B$3:$BO$99,65,0)</f>
        <v>0</v>
      </c>
      <c r="AZ31" s="595">
        <f>VLOOKUP(A31,[4]CFR20152016_BenchMarkDataReport!$B$3:$BO$99,66,0)</f>
        <v>0</v>
      </c>
      <c r="BA31" s="596">
        <f t="shared" si="0"/>
        <v>1824871.84</v>
      </c>
      <c r="BB31" s="595">
        <f t="shared" si="42"/>
        <v>1891303.8400000005</v>
      </c>
      <c r="BC31" s="600">
        <f t="shared" si="43"/>
        <v>-66432.000000000466</v>
      </c>
      <c r="BD31" s="595">
        <f>VLOOKUP(A31,[4]CFR20152016_BenchMarkDataReport!$B$3:$BO$99,15,0)</f>
        <v>142628</v>
      </c>
      <c r="BE31" s="600">
        <f t="shared" si="1"/>
        <v>76195.999999999534</v>
      </c>
      <c r="BF31" s="76">
        <f>VLOOKUP(A31,'OCT 15 CENSUS'!$B$9:$U$132,20,0)</f>
        <v>329</v>
      </c>
      <c r="BG31" s="73">
        <f>VLOOKUP(A31,'[2]BUDGET SHARE inc ADJUSTMENTS'!$D$4:$M$139,10,0)</f>
        <v>1765600.0591489493</v>
      </c>
      <c r="BH31" s="76">
        <f>VLOOKUP(A31,'12-13 Pupil Data'!A:CI,81,0)</f>
        <v>1179</v>
      </c>
      <c r="BI31" t="s">
        <v>210</v>
      </c>
      <c r="BJ31" s="44">
        <f t="shared" si="44"/>
        <v>0.86562736372763571</v>
      </c>
      <c r="BK31" s="45">
        <f t="shared" si="45"/>
        <v>4801.3951367781156</v>
      </c>
      <c r="BL31" s="44">
        <f t="shared" si="46"/>
        <v>0</v>
      </c>
      <c r="BM31" s="45">
        <f t="shared" si="47"/>
        <v>0</v>
      </c>
      <c r="BN31" s="44">
        <f t="shared" si="48"/>
        <v>1.6712406499735346E-2</v>
      </c>
      <c r="BO31" s="45">
        <f t="shared" si="49"/>
        <v>92.699088145896653</v>
      </c>
      <c r="BP31" s="44">
        <f t="shared" si="50"/>
        <v>0</v>
      </c>
      <c r="BQ31" s="45">
        <f t="shared" si="51"/>
        <v>0</v>
      </c>
      <c r="BR31" s="44">
        <f t="shared" si="52"/>
        <v>7.1610508275474286E-2</v>
      </c>
      <c r="BS31" s="45">
        <f t="shared" si="53"/>
        <v>397.20364741641339</v>
      </c>
      <c r="BT31" s="44">
        <f t="shared" si="54"/>
        <v>7.6169732555026988E-3</v>
      </c>
      <c r="BU31" s="45">
        <f t="shared" si="55"/>
        <v>42.249240121580549</v>
      </c>
      <c r="BV31" s="44">
        <f t="shared" si="56"/>
        <v>8.0663198792086126E-4</v>
      </c>
      <c r="BW31" s="45">
        <f t="shared" si="57"/>
        <v>4.4741641337386016</v>
      </c>
      <c r="BX31" s="44">
        <f t="shared" si="58"/>
        <v>8.9529574854966248E-3</v>
      </c>
      <c r="BY31" s="45">
        <f t="shared" si="59"/>
        <v>49.659574468085104</v>
      </c>
      <c r="BZ31" s="46">
        <f t="shared" si="60"/>
        <v>4.4906167218844249E-3</v>
      </c>
      <c r="CA31" s="47">
        <f t="shared" si="61"/>
        <v>24.90820668693009</v>
      </c>
      <c r="CB31" s="44">
        <f t="shared" si="62"/>
        <v>6.8057930029760336E-4</v>
      </c>
      <c r="CC31" s="48">
        <f t="shared" si="63"/>
        <v>3.7749848024316108</v>
      </c>
      <c r="CD31" s="46">
        <f t="shared" si="64"/>
        <v>0.47777413442464994</v>
      </c>
      <c r="CE31" s="49">
        <f t="shared" si="65"/>
        <v>0.46225604533412057</v>
      </c>
      <c r="CF31" s="49">
        <f t="shared" si="66"/>
        <v>0.44601931332196726</v>
      </c>
      <c r="CG31" s="47">
        <f t="shared" si="67"/>
        <v>2564.0062006079029</v>
      </c>
      <c r="CH31" s="44">
        <f t="shared" si="2"/>
        <v>0.26837492304367089</v>
      </c>
      <c r="CI31" s="50">
        <f t="shared" si="3"/>
        <v>0.2596581138541762</v>
      </c>
      <c r="CJ31" s="50">
        <f t="shared" si="4"/>
        <v>0.25053762910987371</v>
      </c>
      <c r="CK31" s="45">
        <f t="shared" si="5"/>
        <v>1440.2516109422493</v>
      </c>
      <c r="CL31" s="46">
        <f t="shared" si="6"/>
        <v>1.9677055299118063E-2</v>
      </c>
      <c r="CM31" s="49">
        <f t="shared" si="68"/>
        <v>1.9037945152356558E-2</v>
      </c>
      <c r="CN31" s="49">
        <f t="shared" si="69"/>
        <v>1.8369237805809131E-2</v>
      </c>
      <c r="CO31" s="47">
        <f t="shared" si="70"/>
        <v>105.59820668693008</v>
      </c>
      <c r="CP31" s="44">
        <f t="shared" si="7"/>
        <v>4.3726119966949445E-2</v>
      </c>
      <c r="CQ31" s="50">
        <f t="shared" si="8"/>
        <v>4.2305896944521866E-2</v>
      </c>
      <c r="CR31" s="50">
        <f t="shared" si="71"/>
        <v>4.081990337417174E-2</v>
      </c>
      <c r="CS31" s="45">
        <f t="shared" si="9"/>
        <v>234.65908814589665</v>
      </c>
      <c r="CT31" s="46">
        <f t="shared" si="10"/>
        <v>0.76333151044956005</v>
      </c>
      <c r="CU31" s="49">
        <f t="shared" si="11"/>
        <v>0.73853852662880703</v>
      </c>
      <c r="CV31" s="49">
        <f t="shared" si="12"/>
        <v>0.71259737938246859</v>
      </c>
      <c r="CW31" s="47">
        <f t="shared" si="13"/>
        <v>4096.4685714285715</v>
      </c>
      <c r="CX31" s="44">
        <f t="shared" si="14"/>
        <v>1.6387941227158188E-2</v>
      </c>
      <c r="CY31" s="50">
        <f t="shared" si="15"/>
        <v>1.5298731694004275E-2</v>
      </c>
      <c r="CZ31" s="48">
        <f t="shared" si="16"/>
        <v>24.541603053435114</v>
      </c>
      <c r="DA31" s="45">
        <f t="shared" si="17"/>
        <v>87.946960486322183</v>
      </c>
      <c r="DB31" s="51">
        <f t="shared" si="18"/>
        <v>2.4650296273918625E-3</v>
      </c>
      <c r="DC31" s="52">
        <f t="shared" si="19"/>
        <v>14.170577507598784</v>
      </c>
      <c r="DD31" s="44">
        <f t="shared" si="20"/>
        <v>1.4095457162589781E-2</v>
      </c>
      <c r="DE31" s="50">
        <f t="shared" si="21"/>
        <v>1.3158615487186866E-2</v>
      </c>
      <c r="DF31" s="48">
        <f t="shared" si="22"/>
        <v>21.108515691263783</v>
      </c>
      <c r="DG31" s="45">
        <f t="shared" si="23"/>
        <v>75.644194528875374</v>
      </c>
      <c r="DH31" s="46">
        <f t="shared" si="24"/>
        <v>4.128466105463054E-3</v>
      </c>
      <c r="DI31" s="49">
        <f t="shared" si="25"/>
        <v>3.8540713796679006E-3</v>
      </c>
      <c r="DJ31" s="47">
        <f t="shared" si="26"/>
        <v>6.1825445292620866</v>
      </c>
      <c r="DK31" s="44">
        <f t="shared" si="27"/>
        <v>2.1111598749020796E-2</v>
      </c>
      <c r="DL31" s="50">
        <f t="shared" si="28"/>
        <v>2.0425894675431013E-2</v>
      </c>
      <c r="DM31" s="50">
        <f t="shared" si="29"/>
        <v>1.9708435636655815E-2</v>
      </c>
      <c r="DN31" s="45">
        <f t="shared" si="30"/>
        <v>113.29677811550152</v>
      </c>
      <c r="DO31" s="46">
        <f t="shared" si="31"/>
        <v>1.1536474466260566E-2</v>
      </c>
      <c r="DP31" s="49">
        <f t="shared" si="32"/>
        <v>1.0769713236557482E-2</v>
      </c>
      <c r="DQ31" s="47">
        <f t="shared" si="33"/>
        <v>61.911246200607899</v>
      </c>
      <c r="DR31" s="53">
        <f t="shared" si="34"/>
        <v>4.717689887416502E-2</v>
      </c>
      <c r="DS31" s="45">
        <f t="shared" si="35"/>
        <v>271.2031914893617</v>
      </c>
      <c r="DT31" s="46">
        <f t="shared" si="72"/>
        <v>5.6071588515759203E-5</v>
      </c>
      <c r="DU31" s="49">
        <f t="shared" si="73"/>
        <v>5.4250385057177493E-5</v>
      </c>
      <c r="DV31" s="49">
        <f t="shared" si="74"/>
        <v>5.2344841641097696E-5</v>
      </c>
      <c r="DW31" s="47">
        <f t="shared" si="75"/>
        <v>0.30091185410334348</v>
      </c>
      <c r="DY31" s="54">
        <f>VLOOKUP(A31,'[3]Barnet Schools'!$E$8:$V$130,17,0)</f>
        <v>99</v>
      </c>
    </row>
    <row r="32" spans="1:129">
      <c r="A32" s="79">
        <v>2021</v>
      </c>
      <c r="B32" s="80">
        <v>10061</v>
      </c>
      <c r="C32" s="573" t="s">
        <v>58</v>
      </c>
      <c r="D32" s="595">
        <f>VLOOKUP(A32,[4]CFR20152016_BenchMarkDataReport!$B$3:$BO$99,18,0)</f>
        <v>1383992</v>
      </c>
      <c r="E32" s="595">
        <f>VLOOKUP(A32,[4]CFR20152016_BenchMarkDataReport!$B$3:$BO$99,19,0)</f>
        <v>0</v>
      </c>
      <c r="F32" s="595">
        <f>VLOOKUP(A32,[4]CFR20152016_BenchMarkDataReport!$B$3:$BO$99,20,0)</f>
        <v>89459</v>
      </c>
      <c r="G32" s="595">
        <f>VLOOKUP(A32,[4]CFR20152016_BenchMarkDataReport!$B$3:$BO$99,21,0)</f>
        <v>0</v>
      </c>
      <c r="H32" s="595">
        <f>VLOOKUP(A32,[4]CFR20152016_BenchMarkDataReport!$B$3:$BO$99,22,0)</f>
        <v>116739.99</v>
      </c>
      <c r="I32" s="595">
        <f>VLOOKUP(A32,[4]CFR20152016_BenchMarkDataReport!$B$3:$BO$99,23,0)</f>
        <v>2259.6</v>
      </c>
      <c r="J32" s="595">
        <f>VLOOKUP(A32,[4]CFR20152016_BenchMarkDataReport!$B$3:$BO$99,24,0)</f>
        <v>76640.490000000005</v>
      </c>
      <c r="K32" s="595">
        <f>VLOOKUP(A32,[4]CFR20152016_BenchMarkDataReport!$B$3:$BO$99,25,0)</f>
        <v>27752.63</v>
      </c>
      <c r="L32" s="595">
        <f>VLOOKUP(A32,[4]CFR20152016_BenchMarkDataReport!$B$3:$BO$99,26,0)</f>
        <v>1702.57</v>
      </c>
      <c r="M32" s="595">
        <f>VLOOKUP(A32,[4]CFR20152016_BenchMarkDataReport!$B$3:$BO$99,27,0)</f>
        <v>0</v>
      </c>
      <c r="N32" s="595">
        <f>VLOOKUP(A32,[4]CFR20152016_BenchMarkDataReport!$B$3:$BO$99,28,0)</f>
        <v>3760</v>
      </c>
      <c r="O32" s="595">
        <f>VLOOKUP(A32,[4]CFR20152016_BenchMarkDataReport!$B$3:$BO$99,29,0)</f>
        <v>6527.1</v>
      </c>
      <c r="P32" s="595">
        <f>VLOOKUP(A32,[4]CFR20152016_BenchMarkDataReport!$B$3:$BO$99,30,0)</f>
        <v>10098.75</v>
      </c>
      <c r="Q32" s="595">
        <f>VLOOKUP(A32,[4]CFR20152016_BenchMarkDataReport!$B$3:$BO$99,31,0)</f>
        <v>0</v>
      </c>
      <c r="R32" s="595">
        <f>VLOOKUP(A32,[4]CFR20152016_BenchMarkDataReport!$B$3:$BO$99,32,0)</f>
        <v>0</v>
      </c>
      <c r="S32" s="595">
        <f>VLOOKUP(A32,[4]CFR20152016_BenchMarkDataReport!$B$3:$BO$99,33,0)</f>
        <v>0</v>
      </c>
      <c r="T32" s="595">
        <f>VLOOKUP(A32,[4]CFR20152016_BenchMarkDataReport!$B$3:$BO$99,34,0)</f>
        <v>95741.9</v>
      </c>
      <c r="U32" s="595">
        <f>VLOOKUP(A32,[4]CFR20152016_BenchMarkDataReport!$B$3:$BO$99,35,0)</f>
        <v>709062.14</v>
      </c>
      <c r="V32" s="595">
        <f>VLOOKUP(A32,[4]CFR20152016_BenchMarkDataReport!$B$3:$BO$99,36,0)</f>
        <v>10403.44</v>
      </c>
      <c r="W32" s="595">
        <f>VLOOKUP(A32,[4]CFR20152016_BenchMarkDataReport!$B$3:$BO$99,37,0)</f>
        <v>554718.71999999997</v>
      </c>
      <c r="X32" s="595">
        <f>VLOOKUP(A32,[4]CFR20152016_BenchMarkDataReport!$B$3:$BO$99,38,0)</f>
        <v>42431</v>
      </c>
      <c r="Y32" s="595">
        <f>VLOOKUP(A32,[4]CFR20152016_BenchMarkDataReport!$B$3:$BO$99,39,0)</f>
        <v>75838.850000000006</v>
      </c>
      <c r="Z32" s="595">
        <f>VLOOKUP(A32,[4]CFR20152016_BenchMarkDataReport!$B$3:$BO$99,40,0)</f>
        <v>0</v>
      </c>
      <c r="AA32" s="595">
        <f>VLOOKUP(A32,[4]CFR20152016_BenchMarkDataReport!$B$3:$BO$99,41,0)</f>
        <v>0</v>
      </c>
      <c r="AB32" s="595">
        <f>VLOOKUP(A32,[4]CFR20152016_BenchMarkDataReport!$B$3:$BO$99,42,0)</f>
        <v>9251.76</v>
      </c>
      <c r="AC32" s="595">
        <f>VLOOKUP(A32,[4]CFR20152016_BenchMarkDataReport!$B$3:$BO$99,43,0)</f>
        <v>7095.29</v>
      </c>
      <c r="AD32" s="595">
        <f>VLOOKUP(A32,[4]CFR20152016_BenchMarkDataReport!$B$3:$BO$99,44,0)</f>
        <v>14239.38</v>
      </c>
      <c r="AE32" s="595">
        <f>VLOOKUP(A32,[4]CFR20152016_BenchMarkDataReport!$B$3:$BO$99,45,0)</f>
        <v>6334.2</v>
      </c>
      <c r="AF32" s="595">
        <f>VLOOKUP(A32,[4]CFR20152016_BenchMarkDataReport!$B$3:$BO$99,46,0)</f>
        <v>19686.490000000002</v>
      </c>
      <c r="AG32" s="595">
        <f>VLOOKUP(A32,[4]CFR20152016_BenchMarkDataReport!$B$3:$BO$99,47,0)</f>
        <v>5075.5</v>
      </c>
      <c r="AH32" s="595">
        <f>VLOOKUP(A32,[4]CFR20152016_BenchMarkDataReport!$B$3:$BO$99,48,0)</f>
        <v>26738.32</v>
      </c>
      <c r="AI32" s="595">
        <f>VLOOKUP(A32,[4]CFR20152016_BenchMarkDataReport!$B$3:$BO$99,49,0)</f>
        <v>2956.69</v>
      </c>
      <c r="AJ32" s="595">
        <f>VLOOKUP(A32,[4]CFR20152016_BenchMarkDataReport!$B$3:$BO$99,50,0)</f>
        <v>20268.29</v>
      </c>
      <c r="AK32" s="595">
        <f>VLOOKUP(A32,[4]CFR20152016_BenchMarkDataReport!$B$3:$BO$99,51,0)</f>
        <v>14905.75</v>
      </c>
      <c r="AL32" s="595">
        <f>VLOOKUP(A32,[4]CFR20152016_BenchMarkDataReport!$B$3:$BO$99,52,0)</f>
        <v>11231.02</v>
      </c>
      <c r="AM32" s="595">
        <f>VLOOKUP(A32,[4]CFR20152016_BenchMarkDataReport!$B$3:$BO$99,53,0)</f>
        <v>42222.29</v>
      </c>
      <c r="AN32" s="595">
        <f>VLOOKUP(A32,[4]CFR20152016_BenchMarkDataReport!$B$3:$BO$99,54,0)</f>
        <v>11983.16</v>
      </c>
      <c r="AO32" s="595">
        <f>VLOOKUP(A32,[4]CFR20152016_BenchMarkDataReport!$B$3:$BO$99,55,0)</f>
        <v>0</v>
      </c>
      <c r="AP32" s="595">
        <f>VLOOKUP(A32,[4]CFR20152016_BenchMarkDataReport!$B$3:$BO$99,56,0)</f>
        <v>11543.54</v>
      </c>
      <c r="AQ32" s="595">
        <f>VLOOKUP(A32,[4]CFR20152016_BenchMarkDataReport!$B$3:$BO$99,57,0)</f>
        <v>4435.72</v>
      </c>
      <c r="AR32" s="595">
        <f>VLOOKUP(A32,[4]CFR20152016_BenchMarkDataReport!$B$3:$BO$99,58,0)</f>
        <v>1015.55</v>
      </c>
      <c r="AS32" s="595">
        <f>VLOOKUP(A32,[4]CFR20152016_BenchMarkDataReport!$B$3:$BO$99,59,0)</f>
        <v>99842.4</v>
      </c>
      <c r="AT32" s="595">
        <f>VLOOKUP(A32,[4]CFR20152016_BenchMarkDataReport!$B$3:$BO$99,60,0)</f>
        <v>29991</v>
      </c>
      <c r="AU32" s="595">
        <f>VLOOKUP(A32,[4]CFR20152016_BenchMarkDataReport!$B$3:$BO$99,61,0)</f>
        <v>79056.53</v>
      </c>
      <c r="AV32" s="595">
        <f>VLOOKUP(A32,[4]CFR20152016_BenchMarkDataReport!$B$3:$BO$99,62,0)</f>
        <v>20207</v>
      </c>
      <c r="AW32" s="595">
        <f>VLOOKUP(A32,[4]CFR20152016_BenchMarkDataReport!$B$3:$BO$99,63,0)</f>
        <v>0</v>
      </c>
      <c r="AX32" s="595">
        <f>VLOOKUP(A32,[4]CFR20152016_BenchMarkDataReport!$B$3:$BO$99,64,0)</f>
        <v>1892</v>
      </c>
      <c r="AY32" s="595">
        <f>VLOOKUP(A32,[4]CFR20152016_BenchMarkDataReport!$B$3:$BO$99,65,0)</f>
        <v>0</v>
      </c>
      <c r="AZ32" s="595">
        <f>VLOOKUP(A32,[4]CFR20152016_BenchMarkDataReport!$B$3:$BO$99,66,0)</f>
        <v>0</v>
      </c>
      <c r="BA32" s="596">
        <f t="shared" si="0"/>
        <v>1814674.03</v>
      </c>
      <c r="BB32" s="595">
        <f t="shared" si="42"/>
        <v>1832426.0299999998</v>
      </c>
      <c r="BC32" s="601">
        <f t="shared" si="43"/>
        <v>-17751.999999999767</v>
      </c>
      <c r="BD32" s="595">
        <f>VLOOKUP(A32,[4]CFR20152016_BenchMarkDataReport!$B$3:$BO$99,15,0)</f>
        <v>58532</v>
      </c>
      <c r="BE32" s="601">
        <f t="shared" si="1"/>
        <v>40780.000000000233</v>
      </c>
      <c r="BF32" s="76">
        <f>VLOOKUP(A32,'OCT 15 CENSUS'!$B$9:$U$132,20,0)</f>
        <v>297</v>
      </c>
      <c r="BG32" s="73">
        <f>VLOOKUP(A32,'[2]BUDGET SHARE inc ADJUSTMENTS'!$D$4:$M$139,10,0)</f>
        <v>1689911.7097087828</v>
      </c>
      <c r="BH32" s="76">
        <f>VLOOKUP(A32,'12-13 Pupil Data'!A:CI,81,0)</f>
        <v>1844.48</v>
      </c>
      <c r="BI32" t="s">
        <v>210</v>
      </c>
      <c r="BJ32" s="44">
        <f t="shared" si="44"/>
        <v>0.76266700086075512</v>
      </c>
      <c r="BK32" s="45">
        <f t="shared" si="45"/>
        <v>4659.9057239057238</v>
      </c>
      <c r="BL32" s="44">
        <f t="shared" si="46"/>
        <v>0</v>
      </c>
      <c r="BM32" s="45">
        <f t="shared" si="47"/>
        <v>0</v>
      </c>
      <c r="BN32" s="44">
        <f t="shared" si="48"/>
        <v>4.9297558967105512E-2</v>
      </c>
      <c r="BO32" s="45">
        <f t="shared" si="49"/>
        <v>301.20875420875421</v>
      </c>
      <c r="BP32" s="44">
        <f t="shared" si="50"/>
        <v>0</v>
      </c>
      <c r="BQ32" s="45">
        <f t="shared" si="51"/>
        <v>0</v>
      </c>
      <c r="BR32" s="44">
        <f t="shared" si="52"/>
        <v>6.4331107444128691E-2</v>
      </c>
      <c r="BS32" s="45">
        <f t="shared" si="53"/>
        <v>393.06393939393939</v>
      </c>
      <c r="BT32" s="44">
        <f t="shared" si="54"/>
        <v>1.2451823096845662E-3</v>
      </c>
      <c r="BU32" s="45">
        <f t="shared" si="55"/>
        <v>7.6080808080808078</v>
      </c>
      <c r="BV32" s="44">
        <f t="shared" si="56"/>
        <v>4.2233750377746911E-2</v>
      </c>
      <c r="BW32" s="45">
        <f t="shared" si="57"/>
        <v>258.04878787878789</v>
      </c>
      <c r="BX32" s="44">
        <f t="shared" si="58"/>
        <v>1.5293451904417237E-2</v>
      </c>
      <c r="BY32" s="45">
        <f t="shared" si="59"/>
        <v>93.44319865319865</v>
      </c>
      <c r="BZ32" s="46">
        <f t="shared" si="60"/>
        <v>3.5968443324226117E-3</v>
      </c>
      <c r="CA32" s="47">
        <f t="shared" si="61"/>
        <v>21.976767676767679</v>
      </c>
      <c r="CB32" s="44">
        <f t="shared" si="62"/>
        <v>5.5650490573229839E-3</v>
      </c>
      <c r="CC32" s="48">
        <f t="shared" si="63"/>
        <v>34.002525252525253</v>
      </c>
      <c r="CD32" s="46">
        <f t="shared" si="64"/>
        <v>0.44348860102824628</v>
      </c>
      <c r="CE32" s="49">
        <f t="shared" si="65"/>
        <v>0.41299790905146749</v>
      </c>
      <c r="CF32" s="49">
        <f t="shared" si="66"/>
        <v>0.40899690777695408</v>
      </c>
      <c r="CG32" s="47">
        <f t="shared" si="67"/>
        <v>2523.422828282828</v>
      </c>
      <c r="CH32" s="44">
        <f t="shared" si="2"/>
        <v>0.32825307784605678</v>
      </c>
      <c r="CI32" s="50">
        <f t="shared" si="3"/>
        <v>0.30568504912146671</v>
      </c>
      <c r="CJ32" s="50">
        <f t="shared" si="4"/>
        <v>0.30272366301192527</v>
      </c>
      <c r="CK32" s="45">
        <f t="shared" si="5"/>
        <v>1867.7397979797979</v>
      </c>
      <c r="CL32" s="46">
        <f t="shared" si="6"/>
        <v>2.5108412324873468E-2</v>
      </c>
      <c r="CM32" s="49">
        <f t="shared" si="68"/>
        <v>2.3382160817058698E-2</v>
      </c>
      <c r="CN32" s="49">
        <f t="shared" si="69"/>
        <v>2.3155641376694482E-2</v>
      </c>
      <c r="CO32" s="47">
        <f t="shared" si="70"/>
        <v>142.86531986531986</v>
      </c>
      <c r="CP32" s="44">
        <f t="shared" si="7"/>
        <v>4.4877403691740252E-2</v>
      </c>
      <c r="CQ32" s="50">
        <f t="shared" si="8"/>
        <v>4.1791996108524243E-2</v>
      </c>
      <c r="CR32" s="50">
        <f t="shared" si="71"/>
        <v>4.1387127643018704E-2</v>
      </c>
      <c r="CS32" s="45">
        <f t="shared" si="9"/>
        <v>255.34966329966332</v>
      </c>
      <c r="CT32" s="46">
        <f t="shared" si="10"/>
        <v>0.82398041388798771</v>
      </c>
      <c r="CU32" s="49">
        <f t="shared" si="11"/>
        <v>0.76733017995523967</v>
      </c>
      <c r="CV32" s="49">
        <f t="shared" si="12"/>
        <v>0.75989651271216663</v>
      </c>
      <c r="CW32" s="47">
        <f t="shared" si="13"/>
        <v>4688.3978114478114</v>
      </c>
      <c r="CX32" s="44">
        <f t="shared" si="14"/>
        <v>1.1649419248886388E-2</v>
      </c>
      <c r="CY32" s="50">
        <f t="shared" si="15"/>
        <v>1.0743402286203064E-2</v>
      </c>
      <c r="CZ32" s="48">
        <f t="shared" si="16"/>
        <v>10.673192444482998</v>
      </c>
      <c r="DA32" s="45">
        <f t="shared" si="17"/>
        <v>66.284478114478119</v>
      </c>
      <c r="DB32" s="51">
        <f t="shared" si="18"/>
        <v>1.6135385284829207E-3</v>
      </c>
      <c r="DC32" s="52">
        <f t="shared" si="19"/>
        <v>9.9551851851851847</v>
      </c>
      <c r="DD32" s="44">
        <f t="shared" si="20"/>
        <v>1.1993697589972183E-2</v>
      </c>
      <c r="DE32" s="50">
        <f t="shared" si="21"/>
        <v>1.106090487046836E-2</v>
      </c>
      <c r="DF32" s="48">
        <f t="shared" si="22"/>
        <v>10.98862009888966</v>
      </c>
      <c r="DG32" s="45">
        <f t="shared" si="23"/>
        <v>68.243400673400672</v>
      </c>
      <c r="DH32" s="46">
        <f t="shared" si="24"/>
        <v>6.6459211658669477E-3</v>
      </c>
      <c r="DI32" s="49">
        <f t="shared" si="25"/>
        <v>6.1290441284552162E-3</v>
      </c>
      <c r="DJ32" s="47">
        <f t="shared" si="26"/>
        <v>6.0889898507980567</v>
      </c>
      <c r="DK32" s="44">
        <f t="shared" si="27"/>
        <v>2.4984908831288018E-2</v>
      </c>
      <c r="DL32" s="50">
        <f t="shared" si="28"/>
        <v>2.3267148425549465E-2</v>
      </c>
      <c r="DM32" s="50">
        <f t="shared" si="29"/>
        <v>2.3041743191128977E-2</v>
      </c>
      <c r="DN32" s="45">
        <f t="shared" si="30"/>
        <v>142.1625925925926</v>
      </c>
      <c r="DO32" s="46">
        <f t="shared" si="31"/>
        <v>6.8308539041896238E-3</v>
      </c>
      <c r="DP32" s="49">
        <f t="shared" si="32"/>
        <v>6.2995939868852454E-3</v>
      </c>
      <c r="DQ32" s="47">
        <f t="shared" si="33"/>
        <v>38.867138047138049</v>
      </c>
      <c r="DR32" s="53">
        <f t="shared" si="34"/>
        <v>5.4486455859830807E-2</v>
      </c>
      <c r="DS32" s="45">
        <f t="shared" si="35"/>
        <v>336.16969696969693</v>
      </c>
      <c r="DT32" s="46">
        <f t="shared" si="72"/>
        <v>5.0890232611513244E-5</v>
      </c>
      <c r="DU32" s="49">
        <f t="shared" si="73"/>
        <v>4.7391431506847541E-5</v>
      </c>
      <c r="DV32" s="49">
        <f t="shared" si="74"/>
        <v>4.6932317371632193E-5</v>
      </c>
      <c r="DW32" s="47">
        <f t="shared" si="75"/>
        <v>0.28956228956228958</v>
      </c>
      <c r="DY32" s="54">
        <f>VLOOKUP(A32,'[3]Barnet Schools'!$E$8:$V$130,17,0)</f>
        <v>86</v>
      </c>
    </row>
    <row r="33" spans="1:129">
      <c r="A33" s="79">
        <v>5200</v>
      </c>
      <c r="B33" s="80">
        <v>10060</v>
      </c>
      <c r="C33" s="573" t="s">
        <v>59</v>
      </c>
      <c r="D33" s="595">
        <f>VLOOKUP(A33,[4]CFR20152016_BenchMarkDataReport!$B$3:$BO$99,18,0)</f>
        <v>1596120</v>
      </c>
      <c r="E33" s="595">
        <f>VLOOKUP(A33,[4]CFR20152016_BenchMarkDataReport!$B$3:$BO$99,19,0)</f>
        <v>0</v>
      </c>
      <c r="F33" s="595">
        <f>VLOOKUP(A33,[4]CFR20152016_BenchMarkDataReport!$B$3:$BO$99,20,0)</f>
        <v>116774</v>
      </c>
      <c r="G33" s="595">
        <f>VLOOKUP(A33,[4]CFR20152016_BenchMarkDataReport!$B$3:$BO$99,21,0)</f>
        <v>0</v>
      </c>
      <c r="H33" s="595">
        <f>VLOOKUP(A33,[4]CFR20152016_BenchMarkDataReport!$B$3:$BO$99,22,0)</f>
        <v>251986.53</v>
      </c>
      <c r="I33" s="595">
        <f>VLOOKUP(A33,[4]CFR20152016_BenchMarkDataReport!$B$3:$BO$99,23,0)</f>
        <v>0</v>
      </c>
      <c r="J33" s="595">
        <f>VLOOKUP(A33,[4]CFR20152016_BenchMarkDataReport!$B$3:$BO$99,24,0)</f>
        <v>3037.49</v>
      </c>
      <c r="K33" s="595">
        <f>VLOOKUP(A33,[4]CFR20152016_BenchMarkDataReport!$B$3:$BO$99,25,0)</f>
        <v>26225.7</v>
      </c>
      <c r="L33" s="595">
        <f>VLOOKUP(A33,[4]CFR20152016_BenchMarkDataReport!$B$3:$BO$99,26,0)</f>
        <v>57881.3</v>
      </c>
      <c r="M33" s="595">
        <f>VLOOKUP(A33,[4]CFR20152016_BenchMarkDataReport!$B$3:$BO$99,27,0)</f>
        <v>0</v>
      </c>
      <c r="N33" s="595">
        <f>VLOOKUP(A33,[4]CFR20152016_BenchMarkDataReport!$B$3:$BO$99,28,0)</f>
        <v>1184</v>
      </c>
      <c r="O33" s="595">
        <f>VLOOKUP(A33,[4]CFR20152016_BenchMarkDataReport!$B$3:$BO$99,29,0)</f>
        <v>28159.64</v>
      </c>
      <c r="P33" s="595">
        <f>VLOOKUP(A33,[4]CFR20152016_BenchMarkDataReport!$B$3:$BO$99,30,0)</f>
        <v>58908.32</v>
      </c>
      <c r="Q33" s="595">
        <f>VLOOKUP(A33,[4]CFR20152016_BenchMarkDataReport!$B$3:$BO$99,31,0)</f>
        <v>0</v>
      </c>
      <c r="R33" s="595">
        <f>VLOOKUP(A33,[4]CFR20152016_BenchMarkDataReport!$B$3:$BO$99,32,0)</f>
        <v>0</v>
      </c>
      <c r="S33" s="595">
        <f>VLOOKUP(A33,[4]CFR20152016_BenchMarkDataReport!$B$3:$BO$99,33,0)</f>
        <v>0</v>
      </c>
      <c r="T33" s="595">
        <f>VLOOKUP(A33,[4]CFR20152016_BenchMarkDataReport!$B$3:$BO$99,34,0)</f>
        <v>9716</v>
      </c>
      <c r="U33" s="595">
        <f>VLOOKUP(A33,[4]CFR20152016_BenchMarkDataReport!$B$3:$BO$99,35,0)</f>
        <v>881872.4</v>
      </c>
      <c r="V33" s="595">
        <f>VLOOKUP(A33,[4]CFR20152016_BenchMarkDataReport!$B$3:$BO$99,36,0)</f>
        <v>0</v>
      </c>
      <c r="W33" s="595">
        <f>VLOOKUP(A33,[4]CFR20152016_BenchMarkDataReport!$B$3:$BO$99,37,0)</f>
        <v>397915.11</v>
      </c>
      <c r="X33" s="595">
        <f>VLOOKUP(A33,[4]CFR20152016_BenchMarkDataReport!$B$3:$BO$99,38,0)</f>
        <v>65337.02</v>
      </c>
      <c r="Y33" s="595">
        <f>VLOOKUP(A33,[4]CFR20152016_BenchMarkDataReport!$B$3:$BO$99,39,0)</f>
        <v>112392.98</v>
      </c>
      <c r="Z33" s="595">
        <f>VLOOKUP(A33,[4]CFR20152016_BenchMarkDataReport!$B$3:$BO$99,40,0)</f>
        <v>0</v>
      </c>
      <c r="AA33" s="595">
        <f>VLOOKUP(A33,[4]CFR20152016_BenchMarkDataReport!$B$3:$BO$99,41,0)</f>
        <v>23344.17</v>
      </c>
      <c r="AB33" s="595">
        <f>VLOOKUP(A33,[4]CFR20152016_BenchMarkDataReport!$B$3:$BO$99,42,0)</f>
        <v>11899.03</v>
      </c>
      <c r="AC33" s="595">
        <f>VLOOKUP(A33,[4]CFR20152016_BenchMarkDataReport!$B$3:$BO$99,43,0)</f>
        <v>4618.22</v>
      </c>
      <c r="AD33" s="595">
        <f>VLOOKUP(A33,[4]CFR20152016_BenchMarkDataReport!$B$3:$BO$99,44,0)</f>
        <v>559</v>
      </c>
      <c r="AE33" s="595">
        <f>VLOOKUP(A33,[4]CFR20152016_BenchMarkDataReport!$B$3:$BO$99,45,0)</f>
        <v>997.2</v>
      </c>
      <c r="AF33" s="595">
        <f>VLOOKUP(A33,[4]CFR20152016_BenchMarkDataReport!$B$3:$BO$99,46,0)</f>
        <v>20818.009999999998</v>
      </c>
      <c r="AG33" s="595">
        <f>VLOOKUP(A33,[4]CFR20152016_BenchMarkDataReport!$B$3:$BO$99,47,0)</f>
        <v>3107</v>
      </c>
      <c r="AH33" s="595">
        <f>VLOOKUP(A33,[4]CFR20152016_BenchMarkDataReport!$B$3:$BO$99,48,0)</f>
        <v>1837.1</v>
      </c>
      <c r="AI33" s="595">
        <f>VLOOKUP(A33,[4]CFR20152016_BenchMarkDataReport!$B$3:$BO$99,49,0)</f>
        <v>6085.65</v>
      </c>
      <c r="AJ33" s="595">
        <f>VLOOKUP(A33,[4]CFR20152016_BenchMarkDataReport!$B$3:$BO$99,50,0)</f>
        <v>29339.9</v>
      </c>
      <c r="AK33" s="595">
        <f>VLOOKUP(A33,[4]CFR20152016_BenchMarkDataReport!$B$3:$BO$99,51,0)</f>
        <v>0</v>
      </c>
      <c r="AL33" s="595">
        <f>VLOOKUP(A33,[4]CFR20152016_BenchMarkDataReport!$B$3:$BO$99,52,0)</f>
        <v>9353.83</v>
      </c>
      <c r="AM33" s="595">
        <f>VLOOKUP(A33,[4]CFR20152016_BenchMarkDataReport!$B$3:$BO$99,53,0)</f>
        <v>96407.39</v>
      </c>
      <c r="AN33" s="595">
        <f>VLOOKUP(A33,[4]CFR20152016_BenchMarkDataReport!$B$3:$BO$99,54,0)</f>
        <v>15487.71</v>
      </c>
      <c r="AO33" s="595">
        <f>VLOOKUP(A33,[4]CFR20152016_BenchMarkDataReport!$B$3:$BO$99,55,0)</f>
        <v>0</v>
      </c>
      <c r="AP33" s="595">
        <f>VLOOKUP(A33,[4]CFR20152016_BenchMarkDataReport!$B$3:$BO$99,56,0)</f>
        <v>9842.65</v>
      </c>
      <c r="AQ33" s="595">
        <f>VLOOKUP(A33,[4]CFR20152016_BenchMarkDataReport!$B$3:$BO$99,57,0)</f>
        <v>3765.07</v>
      </c>
      <c r="AR33" s="595">
        <f>VLOOKUP(A33,[4]CFR20152016_BenchMarkDataReport!$B$3:$BO$99,58,0)</f>
        <v>0</v>
      </c>
      <c r="AS33" s="595">
        <f>VLOOKUP(A33,[4]CFR20152016_BenchMarkDataReport!$B$3:$BO$99,59,0)</f>
        <v>48551.05</v>
      </c>
      <c r="AT33" s="595">
        <f>VLOOKUP(A33,[4]CFR20152016_BenchMarkDataReport!$B$3:$BO$99,60,0)</f>
        <v>114929.27</v>
      </c>
      <c r="AU33" s="595">
        <f>VLOOKUP(A33,[4]CFR20152016_BenchMarkDataReport!$B$3:$BO$99,61,0)</f>
        <v>285115.59000000003</v>
      </c>
      <c r="AV33" s="595">
        <f>VLOOKUP(A33,[4]CFR20152016_BenchMarkDataReport!$B$3:$BO$99,62,0)</f>
        <v>23965.63</v>
      </c>
      <c r="AW33" s="595">
        <f>VLOOKUP(A33,[4]CFR20152016_BenchMarkDataReport!$B$3:$BO$99,63,0)</f>
        <v>0</v>
      </c>
      <c r="AX33" s="595">
        <f>VLOOKUP(A33,[4]CFR20152016_BenchMarkDataReport!$B$3:$BO$99,64,0)</f>
        <v>0</v>
      </c>
      <c r="AY33" s="595">
        <f>VLOOKUP(A33,[4]CFR20152016_BenchMarkDataReport!$B$3:$BO$99,65,0)</f>
        <v>0</v>
      </c>
      <c r="AZ33" s="595">
        <f>VLOOKUP(A33,[4]CFR20152016_BenchMarkDataReport!$B$3:$BO$99,66,0)</f>
        <v>0</v>
      </c>
      <c r="BA33" s="596">
        <f t="shared" si="0"/>
        <v>2149992.98</v>
      </c>
      <c r="BB33" s="595">
        <f t="shared" si="42"/>
        <v>2167540.9799999995</v>
      </c>
      <c r="BC33" s="601">
        <f t="shared" si="43"/>
        <v>-17547.999999999534</v>
      </c>
      <c r="BD33" s="595">
        <f>VLOOKUP(A33,[4]CFR20152016_BenchMarkDataReport!$B$3:$BO$99,15,0)</f>
        <v>60708</v>
      </c>
      <c r="BE33" s="601">
        <f t="shared" si="1"/>
        <v>43160.000000000466</v>
      </c>
      <c r="BF33" s="76">
        <f>VLOOKUP(A33,'OCT 15 CENSUS'!$B$9:$U$132,20,0)</f>
        <v>343</v>
      </c>
      <c r="BG33" s="73">
        <f>VLOOKUP(A33,'[2]BUDGET SHARE inc ADJUSTMENTS'!$D$4:$M$139,10,0)</f>
        <v>1968647.7642381226</v>
      </c>
      <c r="BH33" s="76">
        <f>VLOOKUP(A33,'12-13 Pupil Data'!A:CI,81,0)</f>
        <v>3002</v>
      </c>
      <c r="BI33" t="s">
        <v>210</v>
      </c>
      <c r="BJ33" s="44">
        <f t="shared" si="44"/>
        <v>0.74238381931833097</v>
      </c>
      <c r="BK33" s="45">
        <f t="shared" si="45"/>
        <v>4653.4110787172012</v>
      </c>
      <c r="BL33" s="44">
        <f t="shared" si="46"/>
        <v>0</v>
      </c>
      <c r="BM33" s="45">
        <f t="shared" si="47"/>
        <v>0</v>
      </c>
      <c r="BN33" s="44">
        <f t="shared" si="48"/>
        <v>5.4313665712527118E-2</v>
      </c>
      <c r="BO33" s="45">
        <f t="shared" si="49"/>
        <v>340.44897959183675</v>
      </c>
      <c r="BP33" s="44">
        <f t="shared" si="50"/>
        <v>0</v>
      </c>
      <c r="BQ33" s="45">
        <f t="shared" si="51"/>
        <v>0</v>
      </c>
      <c r="BR33" s="44">
        <f t="shared" si="52"/>
        <v>0.11720341989209658</v>
      </c>
      <c r="BS33" s="45">
        <f t="shared" si="53"/>
        <v>734.6546064139942</v>
      </c>
      <c r="BT33" s="44">
        <f t="shared" si="54"/>
        <v>0</v>
      </c>
      <c r="BU33" s="45">
        <f t="shared" si="55"/>
        <v>0</v>
      </c>
      <c r="BV33" s="44">
        <f t="shared" si="56"/>
        <v>1.4127906594374089E-3</v>
      </c>
      <c r="BW33" s="45">
        <f t="shared" si="57"/>
        <v>8.8556559766763847</v>
      </c>
      <c r="BX33" s="44">
        <f t="shared" si="58"/>
        <v>1.2198039828018415E-2</v>
      </c>
      <c r="BY33" s="45">
        <f t="shared" si="59"/>
        <v>76.459766763848393</v>
      </c>
      <c r="BZ33" s="46">
        <f t="shared" si="60"/>
        <v>1.3097549741767064E-2</v>
      </c>
      <c r="CA33" s="47">
        <f t="shared" si="61"/>
        <v>82.098075801749275</v>
      </c>
      <c r="CB33" s="44">
        <f t="shared" si="62"/>
        <v>2.7399308066577966E-2</v>
      </c>
      <c r="CC33" s="48">
        <f t="shared" si="63"/>
        <v>171.74437317784256</v>
      </c>
      <c r="CD33" s="46">
        <f t="shared" si="64"/>
        <v>0.50633825314391256</v>
      </c>
      <c r="CE33" s="49">
        <f t="shared" si="65"/>
        <v>0.46363019752743567</v>
      </c>
      <c r="CF33" s="49">
        <f t="shared" si="66"/>
        <v>0.45987673552543412</v>
      </c>
      <c r="CG33" s="47">
        <f t="shared" si="67"/>
        <v>2906.1273177842568</v>
      </c>
      <c r="CH33" s="44">
        <f t="shared" si="2"/>
        <v>0.20212610769097908</v>
      </c>
      <c r="CI33" s="50">
        <f t="shared" si="3"/>
        <v>0.18507739964806769</v>
      </c>
      <c r="CJ33" s="50">
        <f t="shared" si="4"/>
        <v>0.18357904818021023</v>
      </c>
      <c r="CK33" s="45">
        <f t="shared" si="5"/>
        <v>1160.102361516035</v>
      </c>
      <c r="CL33" s="46">
        <f t="shared" si="6"/>
        <v>3.3188781247155089E-2</v>
      </c>
      <c r="CM33" s="49">
        <f t="shared" si="68"/>
        <v>3.0389410852867064E-2</v>
      </c>
      <c r="CN33" s="49">
        <f t="shared" si="69"/>
        <v>3.0143383955767246E-2</v>
      </c>
      <c r="CO33" s="47">
        <f t="shared" si="70"/>
        <v>190.4869387755102</v>
      </c>
      <c r="CP33" s="44">
        <f t="shared" si="7"/>
        <v>5.7091462496083795E-2</v>
      </c>
      <c r="CQ33" s="50">
        <f t="shared" si="8"/>
        <v>5.2275975338300869E-2</v>
      </c>
      <c r="CR33" s="50">
        <f t="shared" si="71"/>
        <v>5.1852758972981458E-2</v>
      </c>
      <c r="CS33" s="45">
        <f t="shared" si="9"/>
        <v>327.67632653061224</v>
      </c>
      <c r="CT33" s="46">
        <f t="shared" si="10"/>
        <v>0.75222277286008121</v>
      </c>
      <c r="CU33" s="49">
        <f t="shared" si="11"/>
        <v>0.68877512334947244</v>
      </c>
      <c r="CV33" s="49">
        <f t="shared" si="12"/>
        <v>0.68319893079945382</v>
      </c>
      <c r="CW33" s="47">
        <f t="shared" si="13"/>
        <v>4317.3809912536444</v>
      </c>
      <c r="CX33" s="44">
        <f t="shared" si="14"/>
        <v>1.057477644207047E-2</v>
      </c>
      <c r="CY33" s="50">
        <f t="shared" si="15"/>
        <v>9.6044366367643037E-3</v>
      </c>
      <c r="CZ33" s="48">
        <f t="shared" si="16"/>
        <v>6.9347135243171216</v>
      </c>
      <c r="DA33" s="45">
        <f t="shared" si="17"/>
        <v>60.693906705539355</v>
      </c>
      <c r="DB33" s="51">
        <f t="shared" si="18"/>
        <v>2.8076285782610674E-3</v>
      </c>
      <c r="DC33" s="52">
        <f t="shared" si="19"/>
        <v>17.742419825072886</v>
      </c>
      <c r="DD33" s="44">
        <f t="shared" si="20"/>
        <v>1.4903580281338293E-2</v>
      </c>
      <c r="DE33" s="50">
        <f t="shared" si="21"/>
        <v>1.3536030123868758E-2</v>
      </c>
      <c r="DF33" s="48">
        <f t="shared" si="22"/>
        <v>9.7734510326449033</v>
      </c>
      <c r="DG33" s="45">
        <f t="shared" si="23"/>
        <v>85.539067055393588</v>
      </c>
      <c r="DH33" s="46">
        <f t="shared" si="24"/>
        <v>4.7513984827143429E-3</v>
      </c>
      <c r="DI33" s="49">
        <f t="shared" si="25"/>
        <v>4.315410913246033E-3</v>
      </c>
      <c r="DJ33" s="47">
        <f t="shared" si="26"/>
        <v>3.1158660892738173</v>
      </c>
      <c r="DK33" s="44">
        <f t="shared" si="27"/>
        <v>4.8971376063970583E-2</v>
      </c>
      <c r="DL33" s="50">
        <f t="shared" si="28"/>
        <v>4.4840792922030845E-2</v>
      </c>
      <c r="DM33" s="50">
        <f t="shared" si="29"/>
        <v>4.4477770381070265E-2</v>
      </c>
      <c r="DN33" s="45">
        <f t="shared" si="30"/>
        <v>281.07110787172013</v>
      </c>
      <c r="DO33" s="46">
        <f t="shared" si="31"/>
        <v>4.9997009006886297E-3</v>
      </c>
      <c r="DP33" s="49">
        <f t="shared" si="32"/>
        <v>4.5409291408183674E-3</v>
      </c>
      <c r="DQ33" s="47">
        <f t="shared" si="33"/>
        <v>28.695772594752185</v>
      </c>
      <c r="DR33" s="53">
        <f t="shared" si="34"/>
        <v>2.2399138216062708E-2</v>
      </c>
      <c r="DS33" s="45">
        <f t="shared" si="35"/>
        <v>141.548250728863</v>
      </c>
      <c r="DT33" s="46">
        <f t="shared" si="72"/>
        <v>9.2957208152887624E-5</v>
      </c>
      <c r="DU33" s="49">
        <f t="shared" si="73"/>
        <v>8.5116556985223273E-5</v>
      </c>
      <c r="DV33" s="49">
        <f t="shared" si="74"/>
        <v>8.4427469509711434E-5</v>
      </c>
      <c r="DW33" s="47">
        <f t="shared" si="75"/>
        <v>0.53352769679300294</v>
      </c>
      <c r="DY33" s="54">
        <f>VLOOKUP(A33,'[3]Barnet Schools'!$E$8:$V$130,17,0)</f>
        <v>183</v>
      </c>
    </row>
    <row r="34" spans="1:129">
      <c r="A34" s="79">
        <v>2023</v>
      </c>
      <c r="B34" s="80">
        <v>10063</v>
      </c>
      <c r="C34" s="609" t="s">
        <v>1586</v>
      </c>
      <c r="D34" s="595">
        <f>VLOOKUP(A34,[4]CFR20152016_BenchMarkDataReport!$B$3:$BO$99,18,0)</f>
        <v>2806533</v>
      </c>
      <c r="E34" s="595">
        <f>VLOOKUP(A34,[4]CFR20152016_BenchMarkDataReport!$B$3:$BO$99,19,0)</f>
        <v>0</v>
      </c>
      <c r="F34" s="595">
        <f>VLOOKUP(A34,[4]CFR20152016_BenchMarkDataReport!$B$3:$BO$99,20,0)</f>
        <v>146598.07999999999</v>
      </c>
      <c r="G34" s="595">
        <f>VLOOKUP(A34,[4]CFR20152016_BenchMarkDataReport!$B$3:$BO$99,21,0)</f>
        <v>0</v>
      </c>
      <c r="H34" s="595">
        <f>VLOOKUP(A34,[4]CFR20152016_BenchMarkDataReport!$B$3:$BO$99,22,0)</f>
        <v>270042.99</v>
      </c>
      <c r="I34" s="595">
        <f>VLOOKUP(A34,[4]CFR20152016_BenchMarkDataReport!$B$3:$BO$99,23,0)</f>
        <v>10000</v>
      </c>
      <c r="J34" s="595">
        <f>VLOOKUP(A34,[4]CFR20152016_BenchMarkDataReport!$B$3:$BO$99,24,0)</f>
        <v>14896.96</v>
      </c>
      <c r="K34" s="595">
        <f>VLOOKUP(A34,[4]CFR20152016_BenchMarkDataReport!$B$3:$BO$99,25,0)</f>
        <v>42001.19</v>
      </c>
      <c r="L34" s="595">
        <f>VLOOKUP(A34,[4]CFR20152016_BenchMarkDataReport!$B$3:$BO$99,26,0)</f>
        <v>44869.84</v>
      </c>
      <c r="M34" s="595">
        <f>VLOOKUP(A34,[4]CFR20152016_BenchMarkDataReport!$B$3:$BO$99,27,0)</f>
        <v>20998</v>
      </c>
      <c r="N34" s="595">
        <f>VLOOKUP(A34,[4]CFR20152016_BenchMarkDataReport!$B$3:$BO$99,28,0)</f>
        <v>8401</v>
      </c>
      <c r="O34" s="595">
        <f>VLOOKUP(A34,[4]CFR20152016_BenchMarkDataReport!$B$3:$BO$99,29,0)</f>
        <v>22954.28</v>
      </c>
      <c r="P34" s="595">
        <f>VLOOKUP(A34,[4]CFR20152016_BenchMarkDataReport!$B$3:$BO$99,30,0)</f>
        <v>3101.28</v>
      </c>
      <c r="Q34" s="595">
        <f>VLOOKUP(A34,[4]CFR20152016_BenchMarkDataReport!$B$3:$BO$99,31,0)</f>
        <v>0</v>
      </c>
      <c r="R34" s="595">
        <f>VLOOKUP(A34,[4]CFR20152016_BenchMarkDataReport!$B$3:$BO$99,32,0)</f>
        <v>0</v>
      </c>
      <c r="S34" s="595">
        <f>VLOOKUP(A34,[4]CFR20152016_BenchMarkDataReport!$B$3:$BO$99,33,0)</f>
        <v>0</v>
      </c>
      <c r="T34" s="595">
        <f>VLOOKUP(A34,[4]CFR20152016_BenchMarkDataReport!$B$3:$BO$99,34,0)</f>
        <v>104708.16</v>
      </c>
      <c r="U34" s="595">
        <f>VLOOKUP(A34,[4]CFR20152016_BenchMarkDataReport!$B$3:$BO$99,35,0)</f>
        <v>1492933.39</v>
      </c>
      <c r="V34" s="595">
        <f>VLOOKUP(A34,[4]CFR20152016_BenchMarkDataReport!$B$3:$BO$99,36,0)</f>
        <v>0</v>
      </c>
      <c r="W34" s="595">
        <f>VLOOKUP(A34,[4]CFR20152016_BenchMarkDataReport!$B$3:$BO$99,37,0)</f>
        <v>772091.78</v>
      </c>
      <c r="X34" s="595">
        <f>VLOOKUP(A34,[4]CFR20152016_BenchMarkDataReport!$B$3:$BO$99,38,0)</f>
        <v>56261.06</v>
      </c>
      <c r="Y34" s="595">
        <f>VLOOKUP(A34,[4]CFR20152016_BenchMarkDataReport!$B$3:$BO$99,39,0)</f>
        <v>201832.77</v>
      </c>
      <c r="Z34" s="595">
        <f>VLOOKUP(A34,[4]CFR20152016_BenchMarkDataReport!$B$3:$BO$99,40,0)</f>
        <v>0</v>
      </c>
      <c r="AA34" s="595">
        <f>VLOOKUP(A34,[4]CFR20152016_BenchMarkDataReport!$B$3:$BO$99,41,0)</f>
        <v>128752.27</v>
      </c>
      <c r="AB34" s="595">
        <f>VLOOKUP(A34,[4]CFR20152016_BenchMarkDataReport!$B$3:$BO$99,42,0)</f>
        <v>51269.440000000002</v>
      </c>
      <c r="AC34" s="595">
        <f>VLOOKUP(A34,[4]CFR20152016_BenchMarkDataReport!$B$3:$BO$99,43,0)</f>
        <v>16056.47</v>
      </c>
      <c r="AD34" s="595">
        <f>VLOOKUP(A34,[4]CFR20152016_BenchMarkDataReport!$B$3:$BO$99,44,0)</f>
        <v>29584.400000000001</v>
      </c>
      <c r="AE34" s="595">
        <f>VLOOKUP(A34,[4]CFR20152016_BenchMarkDataReport!$B$3:$BO$99,45,0)</f>
        <v>2772</v>
      </c>
      <c r="AF34" s="595">
        <f>VLOOKUP(A34,[4]CFR20152016_BenchMarkDataReport!$B$3:$BO$99,46,0)</f>
        <v>29758.28</v>
      </c>
      <c r="AG34" s="595">
        <f>VLOOKUP(A34,[4]CFR20152016_BenchMarkDataReport!$B$3:$BO$99,47,0)</f>
        <v>11302</v>
      </c>
      <c r="AH34" s="595">
        <f>VLOOKUP(A34,[4]CFR20152016_BenchMarkDataReport!$B$3:$BO$99,48,0)</f>
        <v>47924.21</v>
      </c>
      <c r="AI34" s="595">
        <f>VLOOKUP(A34,[4]CFR20152016_BenchMarkDataReport!$B$3:$BO$99,49,0)</f>
        <v>15100.08</v>
      </c>
      <c r="AJ34" s="595">
        <f>VLOOKUP(A34,[4]CFR20152016_BenchMarkDataReport!$B$3:$BO$99,50,0)</f>
        <v>36403.81</v>
      </c>
      <c r="AK34" s="595">
        <f>VLOOKUP(A34,[4]CFR20152016_BenchMarkDataReport!$B$3:$BO$99,51,0)</f>
        <v>16009.4</v>
      </c>
      <c r="AL34" s="595">
        <f>VLOOKUP(A34,[4]CFR20152016_BenchMarkDataReport!$B$3:$BO$99,52,0)</f>
        <v>12234.8</v>
      </c>
      <c r="AM34" s="595">
        <f>VLOOKUP(A34,[4]CFR20152016_BenchMarkDataReport!$B$3:$BO$99,53,0)</f>
        <v>136894.98000000001</v>
      </c>
      <c r="AN34" s="595">
        <f>VLOOKUP(A34,[4]CFR20152016_BenchMarkDataReport!$B$3:$BO$99,54,0)</f>
        <v>25846.59</v>
      </c>
      <c r="AO34" s="595">
        <f>VLOOKUP(A34,[4]CFR20152016_BenchMarkDataReport!$B$3:$BO$99,55,0)</f>
        <v>0</v>
      </c>
      <c r="AP34" s="595">
        <f>VLOOKUP(A34,[4]CFR20152016_BenchMarkDataReport!$B$3:$BO$99,56,0)</f>
        <v>14494.82</v>
      </c>
      <c r="AQ34" s="595">
        <f>VLOOKUP(A34,[4]CFR20152016_BenchMarkDataReport!$B$3:$BO$99,57,0)</f>
        <v>12523.3</v>
      </c>
      <c r="AR34" s="595">
        <f>VLOOKUP(A34,[4]CFR20152016_BenchMarkDataReport!$B$3:$BO$99,58,0)</f>
        <v>12245.69</v>
      </c>
      <c r="AS34" s="595">
        <f>VLOOKUP(A34,[4]CFR20152016_BenchMarkDataReport!$B$3:$BO$99,59,0)</f>
        <v>175993.27</v>
      </c>
      <c r="AT34" s="595">
        <f>VLOOKUP(A34,[4]CFR20152016_BenchMarkDataReport!$B$3:$BO$99,60,0)</f>
        <v>155911.31</v>
      </c>
      <c r="AU34" s="595">
        <f>VLOOKUP(A34,[4]CFR20152016_BenchMarkDataReport!$B$3:$BO$99,61,0)</f>
        <v>109449.60000000001</v>
      </c>
      <c r="AV34" s="595">
        <f>VLOOKUP(A34,[4]CFR20152016_BenchMarkDataReport!$B$3:$BO$99,62,0)</f>
        <v>73162.06</v>
      </c>
      <c r="AW34" s="595">
        <f>VLOOKUP(A34,[4]CFR20152016_BenchMarkDataReport!$B$3:$BO$99,63,0)</f>
        <v>0</v>
      </c>
      <c r="AX34" s="595">
        <f>VLOOKUP(A34,[4]CFR20152016_BenchMarkDataReport!$B$3:$BO$99,64,0)</f>
        <v>0</v>
      </c>
      <c r="AY34" s="595">
        <f>VLOOKUP(A34,[4]CFR20152016_BenchMarkDataReport!$B$3:$BO$99,65,0)</f>
        <v>0</v>
      </c>
      <c r="AZ34" s="595">
        <f>VLOOKUP(A34,[4]CFR20152016_BenchMarkDataReport!$B$3:$BO$99,66,0)</f>
        <v>0</v>
      </c>
      <c r="BA34" s="596">
        <f t="shared" si="0"/>
        <v>3495104.78</v>
      </c>
      <c r="BB34" s="595">
        <f t="shared" si="42"/>
        <v>3636807.7799999993</v>
      </c>
      <c r="BC34" s="601">
        <f t="shared" si="43"/>
        <v>-141702.99999999953</v>
      </c>
      <c r="BD34" s="595">
        <f>VLOOKUP(A34,[4]CFR20152016_BenchMarkDataReport!$B$3:$BO$99,15,0)</f>
        <v>205917</v>
      </c>
      <c r="BE34" s="601">
        <f t="shared" si="1"/>
        <v>64214.000000000466</v>
      </c>
      <c r="BF34" s="76">
        <f>VLOOKUP(A34,'OCT 15 CENSUS'!$B$9:$U$132,20,0)</f>
        <v>671</v>
      </c>
      <c r="BG34" s="73">
        <f>VLOOKUP(A34,'[2]BUDGET SHARE inc ADJUSTMENTS'!$D$4:$M$139,10,0)</f>
        <v>3312220.2610288113</v>
      </c>
      <c r="BH34" s="76">
        <f>VLOOKUP(A34,'12-13 Pupil Data'!A:CI,81,0)</f>
        <v>1360</v>
      </c>
      <c r="BI34" t="s">
        <v>210</v>
      </c>
      <c r="BJ34" s="44">
        <f t="shared" si="44"/>
        <v>0.80298966029853913</v>
      </c>
      <c r="BK34" s="45">
        <f t="shared" si="45"/>
        <v>4182.6125186289119</v>
      </c>
      <c r="BL34" s="44">
        <f t="shared" si="46"/>
        <v>0</v>
      </c>
      <c r="BM34" s="45">
        <f t="shared" si="47"/>
        <v>0</v>
      </c>
      <c r="BN34" s="44">
        <f t="shared" si="48"/>
        <v>4.1943829792707957E-2</v>
      </c>
      <c r="BO34" s="45">
        <f t="shared" si="49"/>
        <v>218.47701937406853</v>
      </c>
      <c r="BP34" s="44">
        <f t="shared" si="50"/>
        <v>0</v>
      </c>
      <c r="BQ34" s="45">
        <f t="shared" si="51"/>
        <v>0</v>
      </c>
      <c r="BR34" s="44">
        <f t="shared" si="52"/>
        <v>7.7263202964690525E-2</v>
      </c>
      <c r="BS34" s="45">
        <f t="shared" si="53"/>
        <v>402.4485692995529</v>
      </c>
      <c r="BT34" s="44">
        <f t="shared" si="54"/>
        <v>2.8611445520096827E-3</v>
      </c>
      <c r="BU34" s="45">
        <f t="shared" si="55"/>
        <v>14.903129657228018</v>
      </c>
      <c r="BV34" s="44">
        <f t="shared" si="56"/>
        <v>4.2622355945506158E-3</v>
      </c>
      <c r="BW34" s="45">
        <f t="shared" si="57"/>
        <v>22.201132637853949</v>
      </c>
      <c r="BX34" s="44">
        <f t="shared" si="58"/>
        <v>1.2017147594642357E-2</v>
      </c>
      <c r="BY34" s="45">
        <f t="shared" si="59"/>
        <v>62.594918032786886</v>
      </c>
      <c r="BZ34" s="46">
        <f t="shared" si="60"/>
        <v>6.5675513167304817E-3</v>
      </c>
      <c r="CA34" s="47">
        <f t="shared" si="61"/>
        <v>34.209061102831591</v>
      </c>
      <c r="CB34" s="44">
        <f t="shared" si="62"/>
        <v>8.8732103762565893E-4</v>
      </c>
      <c r="CC34" s="48">
        <f t="shared" si="63"/>
        <v>4.621877794336811</v>
      </c>
      <c r="CD34" s="46">
        <f t="shared" si="64"/>
        <v>0.49780647724431559</v>
      </c>
      <c r="CE34" s="49">
        <f t="shared" si="65"/>
        <v>0.47175830305150396</v>
      </c>
      <c r="CF34" s="49">
        <f t="shared" si="66"/>
        <v>0.45337691727001317</v>
      </c>
      <c r="CG34" s="47">
        <f t="shared" si="67"/>
        <v>2457.2946348733235</v>
      </c>
      <c r="CH34" s="44">
        <f t="shared" si="2"/>
        <v>0.23310399645951685</v>
      </c>
      <c r="CI34" s="50">
        <f t="shared" si="3"/>
        <v>0.22090661899984584</v>
      </c>
      <c r="CJ34" s="50">
        <f t="shared" si="4"/>
        <v>0.21229930936850344</v>
      </c>
      <c r="CK34" s="45">
        <f t="shared" si="5"/>
        <v>1150.658390461997</v>
      </c>
      <c r="CL34" s="46">
        <f t="shared" si="6"/>
        <v>1.6985905394626355E-2</v>
      </c>
      <c r="CM34" s="49">
        <f t="shared" si="68"/>
        <v>1.6097102530928987E-2</v>
      </c>
      <c r="CN34" s="49">
        <f t="shared" si="69"/>
        <v>1.5469902013902975E-2</v>
      </c>
      <c r="CO34" s="47">
        <f t="shared" si="70"/>
        <v>83.846587183308486</v>
      </c>
      <c r="CP34" s="44">
        <f t="shared" si="7"/>
        <v>6.0935793544511604E-2</v>
      </c>
      <c r="CQ34" s="50">
        <f t="shared" si="8"/>
        <v>5.774727303025233E-2</v>
      </c>
      <c r="CR34" s="50">
        <f t="shared" si="71"/>
        <v>5.5497233345667786E-2</v>
      </c>
      <c r="CS34" s="45">
        <f t="shared" si="9"/>
        <v>300.79399403874811</v>
      </c>
      <c r="CT34" s="46">
        <f t="shared" si="10"/>
        <v>0.8006325247150986</v>
      </c>
      <c r="CU34" s="49">
        <f t="shared" si="11"/>
        <v>0.75873870367914986</v>
      </c>
      <c r="CV34" s="49">
        <f t="shared" si="12"/>
        <v>0.72917553811436264</v>
      </c>
      <c r="CW34" s="47">
        <f t="shared" si="13"/>
        <v>3952.1181371087928</v>
      </c>
      <c r="CX34" s="44">
        <f t="shared" si="14"/>
        <v>8.9843904253990511E-3</v>
      </c>
      <c r="CY34" s="50">
        <f t="shared" si="15"/>
        <v>8.1825275901714015E-3</v>
      </c>
      <c r="CZ34" s="48">
        <f t="shared" si="16"/>
        <v>21.881088235294119</v>
      </c>
      <c r="DA34" s="45">
        <f t="shared" si="17"/>
        <v>44.349150521609538</v>
      </c>
      <c r="DB34" s="51">
        <f t="shared" si="18"/>
        <v>4.1520148749791784E-3</v>
      </c>
      <c r="DC34" s="52">
        <f t="shared" si="19"/>
        <v>22.503845007451563</v>
      </c>
      <c r="DD34" s="44">
        <f t="shared" si="20"/>
        <v>1.0990757597954124E-2</v>
      </c>
      <c r="DE34" s="50">
        <f t="shared" si="21"/>
        <v>1.0009825154960487E-2</v>
      </c>
      <c r="DF34" s="48">
        <f t="shared" si="22"/>
        <v>26.767507352941173</v>
      </c>
      <c r="DG34" s="45">
        <f t="shared" si="23"/>
        <v>54.253070044709382</v>
      </c>
      <c r="DH34" s="46">
        <f t="shared" si="24"/>
        <v>3.6938364709476592E-3</v>
      </c>
      <c r="DI34" s="49">
        <f t="shared" si="25"/>
        <v>3.3641591032892043E-3</v>
      </c>
      <c r="DJ34" s="47">
        <f t="shared" si="26"/>
        <v>8.9961764705882352</v>
      </c>
      <c r="DK34" s="44">
        <f t="shared" si="27"/>
        <v>4.1330276736330017E-2</v>
      </c>
      <c r="DL34" s="50">
        <f t="shared" si="28"/>
        <v>3.9167632622447449E-2</v>
      </c>
      <c r="DM34" s="50">
        <f t="shared" si="29"/>
        <v>3.7641521983325731E-2</v>
      </c>
      <c r="DN34" s="45">
        <f t="shared" si="30"/>
        <v>204.01636363636365</v>
      </c>
      <c r="DO34" s="46">
        <f t="shared" si="31"/>
        <v>4.3761642818698756E-3</v>
      </c>
      <c r="DP34" s="49">
        <f t="shared" si="32"/>
        <v>3.9855887021887099E-3</v>
      </c>
      <c r="DQ34" s="47">
        <f t="shared" si="33"/>
        <v>21.601818181818182</v>
      </c>
      <c r="DR34" s="53">
        <f t="shared" si="34"/>
        <v>4.839223864616788E-2</v>
      </c>
      <c r="DS34" s="45">
        <f t="shared" si="35"/>
        <v>262.2850521609538</v>
      </c>
      <c r="DT34" s="46">
        <f t="shared" si="72"/>
        <v>6.0231501614579565E-5</v>
      </c>
      <c r="DU34" s="49">
        <f t="shared" si="73"/>
        <v>5.7079833812593169E-5</v>
      </c>
      <c r="DV34" s="49">
        <f t="shared" si="74"/>
        <v>5.4855799940023234E-5</v>
      </c>
      <c r="DW34" s="47">
        <f t="shared" si="75"/>
        <v>0.29731743666169896</v>
      </c>
      <c r="DY34" s="54">
        <f>VLOOKUP(A34,'[3]Barnet Schools'!$E$8:$V$130,17,0)</f>
        <v>199.5</v>
      </c>
    </row>
    <row r="35" spans="1:129">
      <c r="A35" s="79">
        <v>3524</v>
      </c>
      <c r="B35" s="80">
        <v>11278</v>
      </c>
      <c r="C35" s="132" t="s">
        <v>456</v>
      </c>
      <c r="D35" s="595">
        <f>VLOOKUP(A35,[4]CFR20152016_BenchMarkDataReport!$B$3:$BO$99,18,0)</f>
        <v>941679</v>
      </c>
      <c r="E35" s="595">
        <f>VLOOKUP(A35,[4]CFR20152016_BenchMarkDataReport!$B$3:$BO$99,19,0)</f>
        <v>0</v>
      </c>
      <c r="F35" s="595">
        <f>VLOOKUP(A35,[4]CFR20152016_BenchMarkDataReport!$B$3:$BO$99,20,0)</f>
        <v>86297</v>
      </c>
      <c r="G35" s="595">
        <f>VLOOKUP(A35,[4]CFR20152016_BenchMarkDataReport!$B$3:$BO$99,21,0)</f>
        <v>0</v>
      </c>
      <c r="H35" s="595">
        <f>VLOOKUP(A35,[4]CFR20152016_BenchMarkDataReport!$B$3:$BO$99,22,0)</f>
        <v>22854</v>
      </c>
      <c r="I35" s="595">
        <f>VLOOKUP(A35,[4]CFR20152016_BenchMarkDataReport!$B$3:$BO$99,23,0)</f>
        <v>0</v>
      </c>
      <c r="J35" s="595">
        <f>VLOOKUP(A35,[4]CFR20152016_BenchMarkDataReport!$B$3:$BO$99,24,0)</f>
        <v>585</v>
      </c>
      <c r="K35" s="595">
        <f>VLOOKUP(A35,[4]CFR20152016_BenchMarkDataReport!$B$3:$BO$99,25,0)</f>
        <v>0</v>
      </c>
      <c r="L35" s="595">
        <f>VLOOKUP(A35,[4]CFR20152016_BenchMarkDataReport!$B$3:$BO$99,26,0)</f>
        <v>25998.02</v>
      </c>
      <c r="M35" s="595">
        <f>VLOOKUP(A35,[4]CFR20152016_BenchMarkDataReport!$B$3:$BO$99,27,0)</f>
        <v>0</v>
      </c>
      <c r="N35" s="595">
        <f>VLOOKUP(A35,[4]CFR20152016_BenchMarkDataReport!$B$3:$BO$99,28,0)</f>
        <v>0</v>
      </c>
      <c r="O35" s="595">
        <f>VLOOKUP(A35,[4]CFR20152016_BenchMarkDataReport!$B$3:$BO$99,29,0)</f>
        <v>26500.5</v>
      </c>
      <c r="P35" s="595">
        <f>VLOOKUP(A35,[4]CFR20152016_BenchMarkDataReport!$B$3:$BO$99,30,0)</f>
        <v>165134</v>
      </c>
      <c r="Q35" s="595">
        <f>VLOOKUP(A35,[4]CFR20152016_BenchMarkDataReport!$B$3:$BO$99,31,0)</f>
        <v>12000</v>
      </c>
      <c r="R35" s="595">
        <f>VLOOKUP(A35,[4]CFR20152016_BenchMarkDataReport!$B$3:$BO$99,32,0)</f>
        <v>0</v>
      </c>
      <c r="S35" s="595">
        <f>VLOOKUP(A35,[4]CFR20152016_BenchMarkDataReport!$B$3:$BO$99,33,0)</f>
        <v>0</v>
      </c>
      <c r="T35" s="595">
        <f>VLOOKUP(A35,[4]CFR20152016_BenchMarkDataReport!$B$3:$BO$99,34,0)</f>
        <v>48564.62</v>
      </c>
      <c r="U35" s="595">
        <f>VLOOKUP(A35,[4]CFR20152016_BenchMarkDataReport!$B$3:$BO$99,35,0)</f>
        <v>488312.6</v>
      </c>
      <c r="V35" s="595">
        <f>VLOOKUP(A35,[4]CFR20152016_BenchMarkDataReport!$B$3:$BO$99,36,0)</f>
        <v>0</v>
      </c>
      <c r="W35" s="595">
        <f>VLOOKUP(A35,[4]CFR20152016_BenchMarkDataReport!$B$3:$BO$99,37,0)</f>
        <v>236098.03</v>
      </c>
      <c r="X35" s="595">
        <f>VLOOKUP(A35,[4]CFR20152016_BenchMarkDataReport!$B$3:$BO$99,38,0)</f>
        <v>0</v>
      </c>
      <c r="Y35" s="595">
        <f>VLOOKUP(A35,[4]CFR20152016_BenchMarkDataReport!$B$3:$BO$99,39,0)</f>
        <v>69827.89</v>
      </c>
      <c r="Z35" s="595">
        <f>VLOOKUP(A35,[4]CFR20152016_BenchMarkDataReport!$B$3:$BO$99,40,0)</f>
        <v>0</v>
      </c>
      <c r="AA35" s="595">
        <f>VLOOKUP(A35,[4]CFR20152016_BenchMarkDataReport!$B$3:$BO$99,41,0)</f>
        <v>0</v>
      </c>
      <c r="AB35" s="595">
        <f>VLOOKUP(A35,[4]CFR20152016_BenchMarkDataReport!$B$3:$BO$99,42,0)</f>
        <v>24510.36</v>
      </c>
      <c r="AC35" s="595">
        <f>VLOOKUP(A35,[4]CFR20152016_BenchMarkDataReport!$B$3:$BO$99,43,0)</f>
        <v>9924.2999999999993</v>
      </c>
      <c r="AD35" s="595">
        <f>VLOOKUP(A35,[4]CFR20152016_BenchMarkDataReport!$B$3:$BO$99,44,0)</f>
        <v>346</v>
      </c>
      <c r="AE35" s="595">
        <f>VLOOKUP(A35,[4]CFR20152016_BenchMarkDataReport!$B$3:$BO$99,45,0)</f>
        <v>4946.3100000000004</v>
      </c>
      <c r="AF35" s="595">
        <f>VLOOKUP(A35,[4]CFR20152016_BenchMarkDataReport!$B$3:$BO$99,46,0)</f>
        <v>38138.120000000003</v>
      </c>
      <c r="AG35" s="595">
        <f>VLOOKUP(A35,[4]CFR20152016_BenchMarkDataReport!$B$3:$BO$99,47,0)</f>
        <v>1587</v>
      </c>
      <c r="AH35" s="595">
        <f>VLOOKUP(A35,[4]CFR20152016_BenchMarkDataReport!$B$3:$BO$99,48,0)</f>
        <v>56325.67</v>
      </c>
      <c r="AI35" s="595">
        <f>VLOOKUP(A35,[4]CFR20152016_BenchMarkDataReport!$B$3:$BO$99,49,0)</f>
        <v>3303.59</v>
      </c>
      <c r="AJ35" s="595">
        <f>VLOOKUP(A35,[4]CFR20152016_BenchMarkDataReport!$B$3:$BO$99,50,0)</f>
        <v>19474.04</v>
      </c>
      <c r="AK35" s="595">
        <f>VLOOKUP(A35,[4]CFR20152016_BenchMarkDataReport!$B$3:$BO$99,51,0)</f>
        <v>0</v>
      </c>
      <c r="AL35" s="595">
        <f>VLOOKUP(A35,[4]CFR20152016_BenchMarkDataReport!$B$3:$BO$99,52,0)</f>
        <v>9208.75</v>
      </c>
      <c r="AM35" s="595">
        <f>VLOOKUP(A35,[4]CFR20152016_BenchMarkDataReport!$B$3:$BO$99,53,0)</f>
        <v>79149.33</v>
      </c>
      <c r="AN35" s="595">
        <f>VLOOKUP(A35,[4]CFR20152016_BenchMarkDataReport!$B$3:$BO$99,54,0)</f>
        <v>18458.38</v>
      </c>
      <c r="AO35" s="595">
        <f>VLOOKUP(A35,[4]CFR20152016_BenchMarkDataReport!$B$3:$BO$99,55,0)</f>
        <v>0</v>
      </c>
      <c r="AP35" s="595">
        <f>VLOOKUP(A35,[4]CFR20152016_BenchMarkDataReport!$B$3:$BO$99,56,0)</f>
        <v>13280.26</v>
      </c>
      <c r="AQ35" s="595">
        <f>VLOOKUP(A35,[4]CFR20152016_BenchMarkDataReport!$B$3:$BO$99,57,0)</f>
        <v>10355.31</v>
      </c>
      <c r="AR35" s="595">
        <f>VLOOKUP(A35,[4]CFR20152016_BenchMarkDataReport!$B$3:$BO$99,58,0)</f>
        <v>0</v>
      </c>
      <c r="AS35" s="595">
        <f>VLOOKUP(A35,[4]CFR20152016_BenchMarkDataReport!$B$3:$BO$99,59,0)</f>
        <v>63358.49</v>
      </c>
      <c r="AT35" s="595">
        <f>VLOOKUP(A35,[4]CFR20152016_BenchMarkDataReport!$B$3:$BO$99,60,0)</f>
        <v>47542.53</v>
      </c>
      <c r="AU35" s="595">
        <f>VLOOKUP(A35,[4]CFR20152016_BenchMarkDataReport!$B$3:$BO$99,61,0)</f>
        <v>26751.56</v>
      </c>
      <c r="AV35" s="595">
        <f>VLOOKUP(A35,[4]CFR20152016_BenchMarkDataReport!$B$3:$BO$99,62,0)</f>
        <v>34791.620000000003</v>
      </c>
      <c r="AW35" s="595">
        <f>VLOOKUP(A35,[4]CFR20152016_BenchMarkDataReport!$B$3:$BO$99,63,0)</f>
        <v>0</v>
      </c>
      <c r="AX35" s="595">
        <f>VLOOKUP(A35,[4]CFR20152016_BenchMarkDataReport!$B$3:$BO$99,64,0)</f>
        <v>0</v>
      </c>
      <c r="AY35" s="595">
        <f>VLOOKUP(A35,[4]CFR20152016_BenchMarkDataReport!$B$3:$BO$99,65,0)</f>
        <v>0</v>
      </c>
      <c r="AZ35" s="595">
        <f>VLOOKUP(A35,[4]CFR20152016_BenchMarkDataReport!$B$3:$BO$99,66,0)</f>
        <v>0</v>
      </c>
      <c r="BA35" s="596">
        <f t="shared" si="0"/>
        <v>1329612.1400000001</v>
      </c>
      <c r="BB35" s="595">
        <f t="shared" si="42"/>
        <v>1255690.1400000004</v>
      </c>
      <c r="BC35" s="601">
        <f t="shared" si="43"/>
        <v>73921.999999999767</v>
      </c>
      <c r="BD35" s="595">
        <f>VLOOKUP(A35,[4]CFR20152016_BenchMarkDataReport!$B$3:$BO$99,15,0)</f>
        <v>26670</v>
      </c>
      <c r="BE35" s="601">
        <f t="shared" si="1"/>
        <v>100591.99999999977</v>
      </c>
      <c r="BF35" s="76">
        <f>VLOOKUP(A35,'OCT 15 CENSUS'!$B$9:$U$132,20,0)</f>
        <v>239</v>
      </c>
      <c r="BG35" s="73">
        <f>VLOOKUP(A35,'[2]BUDGET SHARE inc ADJUSTMENTS'!$D$4:$M$139,10,0)</f>
        <v>1097829.321879789</v>
      </c>
      <c r="BH35" s="76">
        <f>VLOOKUP(A35,'12-13 Pupil Data'!A:CI,81,0)</f>
        <v>1799</v>
      </c>
      <c r="BI35" t="s">
        <v>210</v>
      </c>
      <c r="BJ35" s="44">
        <f t="shared" si="44"/>
        <v>0.70823586192586951</v>
      </c>
      <c r="BK35" s="45">
        <f t="shared" si="45"/>
        <v>3940.0794979079496</v>
      </c>
      <c r="BL35" s="44">
        <f t="shared" si="46"/>
        <v>0</v>
      </c>
      <c r="BM35" s="45">
        <f t="shared" si="47"/>
        <v>0</v>
      </c>
      <c r="BN35" s="44">
        <f t="shared" si="48"/>
        <v>6.4903889941919451E-2</v>
      </c>
      <c r="BO35" s="45">
        <f t="shared" si="49"/>
        <v>361.07531380753136</v>
      </c>
      <c r="BP35" s="44">
        <f t="shared" si="50"/>
        <v>0</v>
      </c>
      <c r="BQ35" s="45">
        <f t="shared" si="51"/>
        <v>0</v>
      </c>
      <c r="BR35" s="44">
        <f t="shared" si="52"/>
        <v>1.7188471218381022E-2</v>
      </c>
      <c r="BS35" s="45">
        <f t="shared" si="53"/>
        <v>95.623430962343093</v>
      </c>
      <c r="BT35" s="44">
        <f t="shared" si="54"/>
        <v>0</v>
      </c>
      <c r="BU35" s="45">
        <f t="shared" si="55"/>
        <v>0</v>
      </c>
      <c r="BV35" s="44">
        <f t="shared" si="56"/>
        <v>4.3997793221111828E-4</v>
      </c>
      <c r="BW35" s="45">
        <f t="shared" si="57"/>
        <v>2.4476987447698746</v>
      </c>
      <c r="BX35" s="44">
        <f t="shared" si="58"/>
        <v>0</v>
      </c>
      <c r="BY35" s="45">
        <f t="shared" si="59"/>
        <v>0</v>
      </c>
      <c r="BZ35" s="46">
        <f t="shared" si="60"/>
        <v>1.9931000329163659E-2</v>
      </c>
      <c r="CA35" s="47">
        <f t="shared" si="61"/>
        <v>110.88075313807532</v>
      </c>
      <c r="CB35" s="44">
        <f t="shared" si="62"/>
        <v>0.12419712112436036</v>
      </c>
      <c r="CC35" s="48">
        <f t="shared" si="63"/>
        <v>690.93723849372384</v>
      </c>
      <c r="CD35" s="46">
        <f t="shared" si="64"/>
        <v>0.4881042246917463</v>
      </c>
      <c r="CE35" s="49">
        <f t="shared" si="65"/>
        <v>0.40301612318311109</v>
      </c>
      <c r="CF35" s="49">
        <f t="shared" si="66"/>
        <v>0.4267415287660058</v>
      </c>
      <c r="CG35" s="47">
        <f t="shared" si="67"/>
        <v>2242.0716736401673</v>
      </c>
      <c r="CH35" s="44">
        <f>W35/BG35</f>
        <v>0.21505895797694174</v>
      </c>
      <c r="CI35" s="50">
        <f>W35/BA35</f>
        <v>0.17756909921114286</v>
      </c>
      <c r="CJ35" s="50">
        <f>W35/BB35</f>
        <v>0.18802252441036124</v>
      </c>
      <c r="CK35" s="45">
        <f>W35/BF35</f>
        <v>987.85786610878665</v>
      </c>
      <c r="CL35" s="46">
        <f>X35/BG35</f>
        <v>0</v>
      </c>
      <c r="CM35" s="49">
        <f>X35/BA35</f>
        <v>0</v>
      </c>
      <c r="CN35" s="49">
        <f>X35/BB35</f>
        <v>0</v>
      </c>
      <c r="CO35" s="47">
        <f>X35/BF35</f>
        <v>0</v>
      </c>
      <c r="CP35" s="44">
        <f>Y35/BG35</f>
        <v>6.360541534856734E-2</v>
      </c>
      <c r="CQ35" s="50">
        <f>Y35/BA35</f>
        <v>5.2517488295496455E-2</v>
      </c>
      <c r="CR35" s="50">
        <f>Y35/BB35</f>
        <v>5.560917281710915E-2</v>
      </c>
      <c r="CS35" s="45">
        <f>Y35/BF35</f>
        <v>292.16690376569039</v>
      </c>
      <c r="CT35" s="46">
        <f>(U35+V35+W35+X35+Y35+Z35+AA35)/BG35</f>
        <v>0.72346265869456183</v>
      </c>
      <c r="CU35" s="49">
        <f>(U35+V35+W35+X35+Y35+Z35+AA35)/BA35</f>
        <v>0.59734602002054515</v>
      </c>
      <c r="CV35" s="49">
        <f>(U35+V35+W35+X35+Y35+Z35+AA35)/BB35</f>
        <v>0.6325115525714009</v>
      </c>
      <c r="CW35" s="47">
        <f>(U35+V35+W35+X35+Y35+Z35+AA35)/BF35</f>
        <v>3323.1737238493724</v>
      </c>
      <c r="CX35" s="44">
        <f>AF35/BG35</f>
        <v>3.4739571297564671E-2</v>
      </c>
      <c r="CY35" s="50">
        <f>AF35/BB35</f>
        <v>3.0372238170158754E-2</v>
      </c>
      <c r="CZ35" s="48">
        <f>AF35/BH35</f>
        <v>21.199622012229018</v>
      </c>
      <c r="DA35" s="45">
        <f>AF35/BF35</f>
        <v>159.57372384937239</v>
      </c>
      <c r="DB35" s="51">
        <f>AI35/BB35</f>
        <v>2.6308958673514782E-3</v>
      </c>
      <c r="DC35" s="52">
        <f>AI35/BF35</f>
        <v>13.82255230125523</v>
      </c>
      <c r="DD35" s="44">
        <f>AJ35/BG35</f>
        <v>1.7738677235050553E-2</v>
      </c>
      <c r="DE35" s="50">
        <f>AJ35/BB35</f>
        <v>1.5508634956709937E-2</v>
      </c>
      <c r="DF35" s="48">
        <f>AJ35/BH35</f>
        <v>10.824924958310174</v>
      </c>
      <c r="DG35" s="45">
        <f>AJ35/BF35</f>
        <v>81.481338912133893</v>
      </c>
      <c r="DH35" s="46">
        <f>AL35/BG35</f>
        <v>8.3881435998011608E-3</v>
      </c>
      <c r="DI35" s="49">
        <f>AL35/BB35</f>
        <v>7.3336165560717054E-3</v>
      </c>
      <c r="DJ35" s="47">
        <f>AL35/BH35</f>
        <v>5.1188160088938295</v>
      </c>
      <c r="DK35" s="44">
        <f>AM35/BG35</f>
        <v>7.2096206962731099E-2</v>
      </c>
      <c r="DL35" s="50">
        <f>AM35/BA35</f>
        <v>5.9528134272299887E-2</v>
      </c>
      <c r="DM35" s="50">
        <f>AM35/BB35</f>
        <v>6.3032532850819376E-2</v>
      </c>
      <c r="DN35" s="45">
        <f>AM35/BF35</f>
        <v>331.16874476987448</v>
      </c>
      <c r="DO35" s="46">
        <f>AP35/BG35</f>
        <v>1.2096834849756521E-2</v>
      </c>
      <c r="DP35" s="49">
        <f>AP35/BB35</f>
        <v>1.0576064569560128E-2</v>
      </c>
      <c r="DQ35" s="47">
        <f>AP35/BF35</f>
        <v>55.565941422594143</v>
      </c>
      <c r="DR35" s="53">
        <f>AS35/BB35</f>
        <v>5.0457105604094318E-2</v>
      </c>
      <c r="DS35" s="45">
        <f>AS35/BF35</f>
        <v>265.09828451882845</v>
      </c>
      <c r="DT35" s="46">
        <f t="shared" si="72"/>
        <v>1.5485102885475196E-5</v>
      </c>
      <c r="DU35" s="49">
        <f t="shared" si="73"/>
        <v>1.2785683500152156E-5</v>
      </c>
      <c r="DV35" s="49">
        <f t="shared" si="74"/>
        <v>1.3538371815199565E-5</v>
      </c>
      <c r="DW35" s="47">
        <f t="shared" si="75"/>
        <v>7.1129707112970716E-2</v>
      </c>
      <c r="DY35" s="54">
        <f>VLOOKUP(A35,'[3]Barnet Schools'!$E$8:$V$130,17,0)</f>
        <v>17</v>
      </c>
    </row>
    <row r="36" spans="1:129">
      <c r="A36" s="79">
        <v>2024</v>
      </c>
      <c r="B36" s="80">
        <v>10064</v>
      </c>
      <c r="C36" s="573" t="s">
        <v>62</v>
      </c>
      <c r="D36" s="595">
        <f>VLOOKUP(A36,[4]CFR20152016_BenchMarkDataReport!$B$3:$BO$99,18,0)</f>
        <v>1264844</v>
      </c>
      <c r="E36" s="595">
        <f>VLOOKUP(A36,[4]CFR20152016_BenchMarkDataReport!$B$3:$BO$99,19,0)</f>
        <v>0</v>
      </c>
      <c r="F36" s="595">
        <f>VLOOKUP(A36,[4]CFR20152016_BenchMarkDataReport!$B$3:$BO$99,20,0)</f>
        <v>61401</v>
      </c>
      <c r="G36" s="595">
        <f>VLOOKUP(A36,[4]CFR20152016_BenchMarkDataReport!$B$3:$BO$99,21,0)</f>
        <v>0</v>
      </c>
      <c r="H36" s="595">
        <f>VLOOKUP(A36,[4]CFR20152016_BenchMarkDataReport!$B$3:$BO$99,22,0)</f>
        <v>111480</v>
      </c>
      <c r="I36" s="595">
        <f>VLOOKUP(A36,[4]CFR20152016_BenchMarkDataReport!$B$3:$BO$99,23,0)</f>
        <v>19630.72</v>
      </c>
      <c r="J36" s="595">
        <f>VLOOKUP(A36,[4]CFR20152016_BenchMarkDataReport!$B$3:$BO$99,24,0)</f>
        <v>6763.5</v>
      </c>
      <c r="K36" s="595">
        <f>VLOOKUP(A36,[4]CFR20152016_BenchMarkDataReport!$B$3:$BO$99,25,0)</f>
        <v>27161.81</v>
      </c>
      <c r="L36" s="595">
        <f>VLOOKUP(A36,[4]CFR20152016_BenchMarkDataReport!$B$3:$BO$99,26,0)</f>
        <v>27512.3</v>
      </c>
      <c r="M36" s="595">
        <f>VLOOKUP(A36,[4]CFR20152016_BenchMarkDataReport!$B$3:$BO$99,27,0)</f>
        <v>0</v>
      </c>
      <c r="N36" s="595">
        <f>VLOOKUP(A36,[4]CFR20152016_BenchMarkDataReport!$B$3:$BO$99,28,0)</f>
        <v>3308.49</v>
      </c>
      <c r="O36" s="595">
        <f>VLOOKUP(A36,[4]CFR20152016_BenchMarkDataReport!$B$3:$BO$99,29,0)</f>
        <v>23044.32</v>
      </c>
      <c r="P36" s="595">
        <f>VLOOKUP(A36,[4]CFR20152016_BenchMarkDataReport!$B$3:$BO$99,30,0)</f>
        <v>1768.03</v>
      </c>
      <c r="Q36" s="595">
        <f>VLOOKUP(A36,[4]CFR20152016_BenchMarkDataReport!$B$3:$BO$99,31,0)</f>
        <v>0</v>
      </c>
      <c r="R36" s="595">
        <f>VLOOKUP(A36,[4]CFR20152016_BenchMarkDataReport!$B$3:$BO$99,32,0)</f>
        <v>452199.77</v>
      </c>
      <c r="S36" s="595">
        <f>VLOOKUP(A36,[4]CFR20152016_BenchMarkDataReport!$B$3:$BO$99,33,0)</f>
        <v>169985.27</v>
      </c>
      <c r="T36" s="595">
        <f>VLOOKUP(A36,[4]CFR20152016_BenchMarkDataReport!$B$3:$BO$99,34,0)</f>
        <v>37235.42</v>
      </c>
      <c r="U36" s="595">
        <f>VLOOKUP(A36,[4]CFR20152016_BenchMarkDataReport!$B$3:$BO$99,35,0)</f>
        <v>517076.06</v>
      </c>
      <c r="V36" s="595">
        <f>VLOOKUP(A36,[4]CFR20152016_BenchMarkDataReport!$B$3:$BO$99,36,0)</f>
        <v>0</v>
      </c>
      <c r="W36" s="595">
        <f>VLOOKUP(A36,[4]CFR20152016_BenchMarkDataReport!$B$3:$BO$99,37,0)</f>
        <v>307598.53000000003</v>
      </c>
      <c r="X36" s="595">
        <f>VLOOKUP(A36,[4]CFR20152016_BenchMarkDataReport!$B$3:$BO$99,38,0)</f>
        <v>36563.43</v>
      </c>
      <c r="Y36" s="595">
        <f>VLOOKUP(A36,[4]CFR20152016_BenchMarkDataReport!$B$3:$BO$99,39,0)</f>
        <v>52590.93</v>
      </c>
      <c r="Z36" s="595">
        <f>VLOOKUP(A36,[4]CFR20152016_BenchMarkDataReport!$B$3:$BO$99,40,0)</f>
        <v>7481.17</v>
      </c>
      <c r="AA36" s="595">
        <f>VLOOKUP(A36,[4]CFR20152016_BenchMarkDataReport!$B$3:$BO$99,41,0)</f>
        <v>27988.19</v>
      </c>
      <c r="AB36" s="595">
        <f>VLOOKUP(A36,[4]CFR20152016_BenchMarkDataReport!$B$3:$BO$99,42,0)</f>
        <v>11027.36</v>
      </c>
      <c r="AC36" s="595">
        <f>VLOOKUP(A36,[4]CFR20152016_BenchMarkDataReport!$B$3:$BO$99,43,0)</f>
        <v>10339.19</v>
      </c>
      <c r="AD36" s="595">
        <f>VLOOKUP(A36,[4]CFR20152016_BenchMarkDataReport!$B$3:$BO$99,44,0)</f>
        <v>12909.18</v>
      </c>
      <c r="AE36" s="595">
        <f>VLOOKUP(A36,[4]CFR20152016_BenchMarkDataReport!$B$3:$BO$99,45,0)</f>
        <v>436.06</v>
      </c>
      <c r="AF36" s="595">
        <f>VLOOKUP(A36,[4]CFR20152016_BenchMarkDataReport!$B$3:$BO$99,46,0)</f>
        <v>36721.620000000003</v>
      </c>
      <c r="AG36" s="595">
        <f>VLOOKUP(A36,[4]CFR20152016_BenchMarkDataReport!$B$3:$BO$99,47,0)</f>
        <v>2783.3</v>
      </c>
      <c r="AH36" s="595">
        <f>VLOOKUP(A36,[4]CFR20152016_BenchMarkDataReport!$B$3:$BO$99,48,0)</f>
        <v>23796.639999999999</v>
      </c>
      <c r="AI36" s="595">
        <f>VLOOKUP(A36,[4]CFR20152016_BenchMarkDataReport!$B$3:$BO$99,49,0)</f>
        <v>2472.19</v>
      </c>
      <c r="AJ36" s="595">
        <f>VLOOKUP(A36,[4]CFR20152016_BenchMarkDataReport!$B$3:$BO$99,50,0)</f>
        <v>30576.97</v>
      </c>
      <c r="AK36" s="595">
        <f>VLOOKUP(A36,[4]CFR20152016_BenchMarkDataReport!$B$3:$BO$99,51,0)</f>
        <v>47709</v>
      </c>
      <c r="AL36" s="595">
        <f>VLOOKUP(A36,[4]CFR20152016_BenchMarkDataReport!$B$3:$BO$99,52,0)</f>
        <v>4874.42</v>
      </c>
      <c r="AM36" s="595">
        <f>VLOOKUP(A36,[4]CFR20152016_BenchMarkDataReport!$B$3:$BO$99,53,0)</f>
        <v>57651.53</v>
      </c>
      <c r="AN36" s="595">
        <f>VLOOKUP(A36,[4]CFR20152016_BenchMarkDataReport!$B$3:$BO$99,54,0)</f>
        <v>17408.009999999998</v>
      </c>
      <c r="AO36" s="595">
        <f>VLOOKUP(A36,[4]CFR20152016_BenchMarkDataReport!$B$3:$BO$99,55,0)</f>
        <v>0</v>
      </c>
      <c r="AP36" s="595">
        <f>VLOOKUP(A36,[4]CFR20152016_BenchMarkDataReport!$B$3:$BO$99,56,0)</f>
        <v>27908.33</v>
      </c>
      <c r="AQ36" s="595">
        <f>VLOOKUP(A36,[4]CFR20152016_BenchMarkDataReport!$B$3:$BO$99,57,0)</f>
        <v>4342.47</v>
      </c>
      <c r="AR36" s="595">
        <f>VLOOKUP(A36,[4]CFR20152016_BenchMarkDataReport!$B$3:$BO$99,58,0)</f>
        <v>18504.54</v>
      </c>
      <c r="AS36" s="595">
        <f>VLOOKUP(A36,[4]CFR20152016_BenchMarkDataReport!$B$3:$BO$99,59,0)</f>
        <v>69968.17</v>
      </c>
      <c r="AT36" s="595">
        <f>VLOOKUP(A36,[4]CFR20152016_BenchMarkDataReport!$B$3:$BO$99,60,0)</f>
        <v>138620.64000000001</v>
      </c>
      <c r="AU36" s="595">
        <f>VLOOKUP(A36,[4]CFR20152016_BenchMarkDataReport!$B$3:$BO$99,61,0)</f>
        <v>90903.87</v>
      </c>
      <c r="AV36" s="595">
        <f>VLOOKUP(A36,[4]CFR20152016_BenchMarkDataReport!$B$3:$BO$99,62,0)</f>
        <v>30146.85</v>
      </c>
      <c r="AW36" s="595">
        <f>VLOOKUP(A36,[4]CFR20152016_BenchMarkDataReport!$B$3:$BO$99,63,0)</f>
        <v>0</v>
      </c>
      <c r="AX36" s="595">
        <f>VLOOKUP(A36,[4]CFR20152016_BenchMarkDataReport!$B$3:$BO$99,64,0)</f>
        <v>0</v>
      </c>
      <c r="AY36" s="595">
        <f>VLOOKUP(A36,[4]CFR20152016_BenchMarkDataReport!$B$3:$BO$99,65,0)</f>
        <v>517260.9</v>
      </c>
      <c r="AZ36" s="595">
        <f>VLOOKUP(A36,[4]CFR20152016_BenchMarkDataReport!$B$3:$BO$99,66,0)</f>
        <v>104804.08</v>
      </c>
      <c r="BA36" s="596">
        <f t="shared" si="0"/>
        <v>1584149.59</v>
      </c>
      <c r="BB36" s="595">
        <f t="shared" si="42"/>
        <v>1588398.6500000004</v>
      </c>
      <c r="BC36" s="601">
        <f t="shared" si="43"/>
        <v>-4249.0600000002887</v>
      </c>
      <c r="BD36" s="595">
        <f>VLOOKUP(A36,[4]CFR20152016_BenchMarkDataReport!$B$3:$BO$99,15,0)</f>
        <v>94844</v>
      </c>
      <c r="BE36" s="601">
        <f t="shared" si="1"/>
        <v>90594.939999999711</v>
      </c>
      <c r="BF36" s="76">
        <f>VLOOKUP(A36,'OCT 15 CENSUS'!$B$9:$U$132,20,0)</f>
        <v>273</v>
      </c>
      <c r="BG36" s="73">
        <f>VLOOKUP(A36,'[2]BUDGET SHARE inc ADJUSTMENTS'!$D$4:$M$139,10,0)</f>
        <v>1477321.4709393193</v>
      </c>
      <c r="BH36" s="76">
        <f>VLOOKUP(A36,'12-13 Pupil Data'!A:CI,81,0)</f>
        <v>1771</v>
      </c>
      <c r="BI36" t="s">
        <v>210</v>
      </c>
      <c r="BJ36" s="44">
        <f t="shared" si="44"/>
        <v>0.79843722334328282</v>
      </c>
      <c r="BK36" s="45">
        <f t="shared" si="45"/>
        <v>4633.1282051282051</v>
      </c>
      <c r="BL36" s="44">
        <f t="shared" si="46"/>
        <v>0</v>
      </c>
      <c r="BM36" s="45">
        <f t="shared" si="47"/>
        <v>0</v>
      </c>
      <c r="BN36" s="44">
        <f t="shared" si="48"/>
        <v>3.8759597191828331E-2</v>
      </c>
      <c r="BO36" s="45">
        <f t="shared" si="49"/>
        <v>224.91208791208791</v>
      </c>
      <c r="BP36" s="44">
        <f t="shared" si="50"/>
        <v>0</v>
      </c>
      <c r="BQ36" s="45">
        <f t="shared" si="51"/>
        <v>0</v>
      </c>
      <c r="BR36" s="44">
        <f t="shared" si="52"/>
        <v>7.0372142065194737E-2</v>
      </c>
      <c r="BS36" s="45">
        <f t="shared" si="53"/>
        <v>408.35164835164835</v>
      </c>
      <c r="BT36" s="44">
        <f t="shared" si="54"/>
        <v>1.2391961039487439E-2</v>
      </c>
      <c r="BU36" s="45">
        <f t="shared" si="55"/>
        <v>71.907399267399271</v>
      </c>
      <c r="BV36" s="44">
        <f t="shared" si="56"/>
        <v>4.2694831616249063E-3</v>
      </c>
      <c r="BW36" s="45">
        <f t="shared" si="57"/>
        <v>24.774725274725274</v>
      </c>
      <c r="BX36" s="44">
        <f t="shared" si="58"/>
        <v>1.714598808815776E-2</v>
      </c>
      <c r="BY36" s="45">
        <f t="shared" si="59"/>
        <v>99.493809523809531</v>
      </c>
      <c r="BZ36" s="46">
        <f t="shared" si="60"/>
        <v>1.4546808044813495E-2</v>
      </c>
      <c r="CA36" s="47">
        <f t="shared" si="61"/>
        <v>84.411428571428573</v>
      </c>
      <c r="CB36" s="44">
        <f t="shared" si="62"/>
        <v>1.1160751555034647E-3</v>
      </c>
      <c r="CC36" s="48">
        <f t="shared" si="63"/>
        <v>6.4763003663003662</v>
      </c>
      <c r="CD36" s="46">
        <f t="shared" si="64"/>
        <v>0.44384158282292546</v>
      </c>
      <c r="CE36" s="49">
        <f t="shared" si="65"/>
        <v>0.41391084790168076</v>
      </c>
      <c r="CF36" s="49">
        <f t="shared" si="66"/>
        <v>0.41280361198997478</v>
      </c>
      <c r="CG36" s="47">
        <f t="shared" si="67"/>
        <v>2401.8194139194138</v>
      </c>
      <c r="CH36" s="44">
        <f t="shared" si="2"/>
        <v>0.20821367322605885</v>
      </c>
      <c r="CI36" s="50">
        <f t="shared" si="3"/>
        <v>0.19417265385903362</v>
      </c>
      <c r="CJ36" s="50">
        <f t="shared" si="4"/>
        <v>0.19365323056652053</v>
      </c>
      <c r="CK36" s="45">
        <f t="shared" si="5"/>
        <v>1126.7345421245423</v>
      </c>
      <c r="CL36" s="46">
        <f t="shared" si="6"/>
        <v>2.4749812900743955E-2</v>
      </c>
      <c r="CM36" s="49">
        <f t="shared" si="68"/>
        <v>2.3080793777814884E-2</v>
      </c>
      <c r="CN36" s="49">
        <f t="shared" si="69"/>
        <v>2.3019051294207529E-2</v>
      </c>
      <c r="CO36" s="47">
        <f t="shared" si="70"/>
        <v>133.93197802197801</v>
      </c>
      <c r="CP36" s="44">
        <f t="shared" si="7"/>
        <v>3.559883954476159E-2</v>
      </c>
      <c r="CQ36" s="50">
        <f t="shared" si="8"/>
        <v>3.3198209520099678E-2</v>
      </c>
      <c r="CR36" s="50">
        <f t="shared" si="71"/>
        <v>3.3109402353118336E-2</v>
      </c>
      <c r="CS36" s="45">
        <f t="shared" si="9"/>
        <v>192.64076923076922</v>
      </c>
      <c r="CT36" s="46">
        <f t="shared" si="10"/>
        <v>0.64258073051386144</v>
      </c>
      <c r="CU36" s="49">
        <f t="shared" si="11"/>
        <v>0.59924789678479806</v>
      </c>
      <c r="CV36" s="49">
        <f t="shared" si="12"/>
        <v>0.59764487334461025</v>
      </c>
      <c r="CW36" s="47">
        <f t="shared" si="13"/>
        <v>3477.2831868131875</v>
      </c>
      <c r="CX36" s="44">
        <f t="shared" si="14"/>
        <v>2.4856891829136852E-2</v>
      </c>
      <c r="CY36" s="50">
        <f t="shared" si="15"/>
        <v>2.3118642162029031E-2</v>
      </c>
      <c r="CZ36" s="48">
        <f t="shared" si="16"/>
        <v>20.734963297571994</v>
      </c>
      <c r="DA36" s="45">
        <f t="shared" si="17"/>
        <v>134.51142857142858</v>
      </c>
      <c r="DB36" s="51">
        <f t="shared" si="18"/>
        <v>1.556403992159021E-3</v>
      </c>
      <c r="DC36" s="52">
        <f t="shared" si="19"/>
        <v>9.0556410256410267</v>
      </c>
      <c r="DD36" s="44">
        <f t="shared" si="20"/>
        <v>2.0697573684188297E-2</v>
      </c>
      <c r="DE36" s="50">
        <f t="shared" si="21"/>
        <v>1.9250186343333895E-2</v>
      </c>
      <c r="DF36" s="48">
        <f t="shared" si="22"/>
        <v>17.265369847543763</v>
      </c>
      <c r="DG36" s="45">
        <f t="shared" si="23"/>
        <v>112.00355311355312</v>
      </c>
      <c r="DH36" s="46">
        <f t="shared" si="24"/>
        <v>3.2994985153100885E-3</v>
      </c>
      <c r="DI36" s="49">
        <f t="shared" si="25"/>
        <v>3.068763625554579E-3</v>
      </c>
      <c r="DJ36" s="47">
        <f t="shared" si="26"/>
        <v>2.7523546019198193</v>
      </c>
      <c r="DK36" s="44">
        <f t="shared" si="27"/>
        <v>3.9024363440235972E-2</v>
      </c>
      <c r="DL36" s="50">
        <f t="shared" si="28"/>
        <v>3.6392731067777503E-2</v>
      </c>
      <c r="DM36" s="50">
        <f t="shared" si="29"/>
        <v>3.629537836738906E-2</v>
      </c>
      <c r="DN36" s="45">
        <f t="shared" si="30"/>
        <v>211.17776556776556</v>
      </c>
      <c r="DO36" s="46">
        <f t="shared" si="31"/>
        <v>1.8891169287788907E-2</v>
      </c>
      <c r="DP36" s="49">
        <f t="shared" si="32"/>
        <v>1.7570104331176558E-2</v>
      </c>
      <c r="DQ36" s="47">
        <f t="shared" si="33"/>
        <v>102.22831501831503</v>
      </c>
      <c r="DR36" s="53">
        <f t="shared" si="34"/>
        <v>4.4049502308504219E-2</v>
      </c>
      <c r="DS36" s="45">
        <f t="shared" si="35"/>
        <v>256.29366300366297</v>
      </c>
      <c r="DT36" s="46">
        <f t="shared" si="72"/>
        <v>5.5505860852250572E-5</v>
      </c>
      <c r="DU36" s="49">
        <f t="shared" si="73"/>
        <v>5.176278838666997E-5</v>
      </c>
      <c r="DV36" s="49">
        <f t="shared" si="74"/>
        <v>5.162431987712907E-5</v>
      </c>
      <c r="DW36" s="47">
        <f t="shared" si="75"/>
        <v>0.30036630036630035</v>
      </c>
      <c r="DY36" s="54">
        <f>VLOOKUP(A36,'[3]Barnet Schools'!$E$8:$V$130,17,0)</f>
        <v>82</v>
      </c>
    </row>
    <row r="37" spans="1:129">
      <c r="A37" s="79">
        <v>2025</v>
      </c>
      <c r="B37" s="80">
        <v>10065</v>
      </c>
      <c r="C37" s="573" t="s">
        <v>63</v>
      </c>
      <c r="D37" s="595">
        <f>VLOOKUP(A37,[4]CFR20152016_BenchMarkDataReport!$B$3:$BO$99,18,0)</f>
        <v>1226945</v>
      </c>
      <c r="E37" s="595">
        <f>VLOOKUP(A37,[4]CFR20152016_BenchMarkDataReport!$B$3:$BO$99,19,0)</f>
        <v>0</v>
      </c>
      <c r="F37" s="595">
        <f>VLOOKUP(A37,[4]CFR20152016_BenchMarkDataReport!$B$3:$BO$99,20,0)</f>
        <v>69535</v>
      </c>
      <c r="G37" s="595">
        <f>VLOOKUP(A37,[4]CFR20152016_BenchMarkDataReport!$B$3:$BO$99,21,0)</f>
        <v>0</v>
      </c>
      <c r="H37" s="595">
        <f>VLOOKUP(A37,[4]CFR20152016_BenchMarkDataReport!$B$3:$BO$99,22,0)</f>
        <v>38004</v>
      </c>
      <c r="I37" s="595">
        <f>VLOOKUP(A37,[4]CFR20152016_BenchMarkDataReport!$B$3:$BO$99,23,0)</f>
        <v>3603</v>
      </c>
      <c r="J37" s="595">
        <f>VLOOKUP(A37,[4]CFR20152016_BenchMarkDataReport!$B$3:$BO$99,24,0)</f>
        <v>8052.88</v>
      </c>
      <c r="K37" s="595">
        <f>VLOOKUP(A37,[4]CFR20152016_BenchMarkDataReport!$B$3:$BO$99,25,0)</f>
        <v>44274.65</v>
      </c>
      <c r="L37" s="595">
        <f>VLOOKUP(A37,[4]CFR20152016_BenchMarkDataReport!$B$3:$BO$99,26,0)</f>
        <v>42241.16</v>
      </c>
      <c r="M37" s="595">
        <f>VLOOKUP(A37,[4]CFR20152016_BenchMarkDataReport!$B$3:$BO$99,27,0)</f>
        <v>2199.65</v>
      </c>
      <c r="N37" s="595">
        <f>VLOOKUP(A37,[4]CFR20152016_BenchMarkDataReport!$B$3:$BO$99,28,0)</f>
        <v>1902.5</v>
      </c>
      <c r="O37" s="595">
        <f>VLOOKUP(A37,[4]CFR20152016_BenchMarkDataReport!$B$3:$BO$99,29,0)</f>
        <v>52426.5</v>
      </c>
      <c r="P37" s="595">
        <f>VLOOKUP(A37,[4]CFR20152016_BenchMarkDataReport!$B$3:$BO$99,30,0)</f>
        <v>15252.33</v>
      </c>
      <c r="Q37" s="595">
        <f>VLOOKUP(A37,[4]CFR20152016_BenchMarkDataReport!$B$3:$BO$99,31,0)</f>
        <v>0</v>
      </c>
      <c r="R37" s="595">
        <f>VLOOKUP(A37,[4]CFR20152016_BenchMarkDataReport!$B$3:$BO$99,32,0)</f>
        <v>0</v>
      </c>
      <c r="S37" s="595">
        <f>VLOOKUP(A37,[4]CFR20152016_BenchMarkDataReport!$B$3:$BO$99,33,0)</f>
        <v>0</v>
      </c>
      <c r="T37" s="595">
        <f>VLOOKUP(A37,[4]CFR20152016_BenchMarkDataReport!$B$3:$BO$99,34,0)</f>
        <v>56759.67</v>
      </c>
      <c r="U37" s="595">
        <f>VLOOKUP(A37,[4]CFR20152016_BenchMarkDataReport!$B$3:$BO$99,35,0)</f>
        <v>725755.15</v>
      </c>
      <c r="V37" s="595">
        <f>VLOOKUP(A37,[4]CFR20152016_BenchMarkDataReport!$B$3:$BO$99,36,0)</f>
        <v>10773.43</v>
      </c>
      <c r="W37" s="595">
        <f>VLOOKUP(A37,[4]CFR20152016_BenchMarkDataReport!$B$3:$BO$99,37,0)</f>
        <v>289954.40000000002</v>
      </c>
      <c r="X37" s="595">
        <f>VLOOKUP(A37,[4]CFR20152016_BenchMarkDataReport!$B$3:$BO$99,38,0)</f>
        <v>50602.21</v>
      </c>
      <c r="Y37" s="595">
        <f>VLOOKUP(A37,[4]CFR20152016_BenchMarkDataReport!$B$3:$BO$99,39,0)</f>
        <v>45515.49</v>
      </c>
      <c r="Z37" s="595">
        <f>VLOOKUP(A37,[4]CFR20152016_BenchMarkDataReport!$B$3:$BO$99,40,0)</f>
        <v>0</v>
      </c>
      <c r="AA37" s="595">
        <f>VLOOKUP(A37,[4]CFR20152016_BenchMarkDataReport!$B$3:$BO$99,41,0)</f>
        <v>33638.17</v>
      </c>
      <c r="AB37" s="595">
        <f>VLOOKUP(A37,[4]CFR20152016_BenchMarkDataReport!$B$3:$BO$99,42,0)</f>
        <v>13634.62</v>
      </c>
      <c r="AC37" s="595">
        <f>VLOOKUP(A37,[4]CFR20152016_BenchMarkDataReport!$B$3:$BO$99,43,0)</f>
        <v>5645.17</v>
      </c>
      <c r="AD37" s="595">
        <f>VLOOKUP(A37,[4]CFR20152016_BenchMarkDataReport!$B$3:$BO$99,44,0)</f>
        <v>12678.38</v>
      </c>
      <c r="AE37" s="595">
        <f>VLOOKUP(A37,[4]CFR20152016_BenchMarkDataReport!$B$3:$BO$99,45,0)</f>
        <v>1327.4</v>
      </c>
      <c r="AF37" s="595">
        <f>VLOOKUP(A37,[4]CFR20152016_BenchMarkDataReport!$B$3:$BO$99,46,0)</f>
        <v>15907.3</v>
      </c>
      <c r="AG37" s="595">
        <f>VLOOKUP(A37,[4]CFR20152016_BenchMarkDataReport!$B$3:$BO$99,47,0)</f>
        <v>0</v>
      </c>
      <c r="AH37" s="595">
        <f>VLOOKUP(A37,[4]CFR20152016_BenchMarkDataReport!$B$3:$BO$99,48,0)</f>
        <v>2103.15</v>
      </c>
      <c r="AI37" s="595">
        <f>VLOOKUP(A37,[4]CFR20152016_BenchMarkDataReport!$B$3:$BO$99,49,0)</f>
        <v>4607.4799999999996</v>
      </c>
      <c r="AJ37" s="595">
        <f>VLOOKUP(A37,[4]CFR20152016_BenchMarkDataReport!$B$3:$BO$99,50,0)</f>
        <v>24785.42</v>
      </c>
      <c r="AK37" s="595">
        <f>VLOOKUP(A37,[4]CFR20152016_BenchMarkDataReport!$B$3:$BO$99,51,0)</f>
        <v>16631.25</v>
      </c>
      <c r="AL37" s="595">
        <f>VLOOKUP(A37,[4]CFR20152016_BenchMarkDataReport!$B$3:$BO$99,52,0)</f>
        <v>3936.05</v>
      </c>
      <c r="AM37" s="595">
        <f>VLOOKUP(A37,[4]CFR20152016_BenchMarkDataReport!$B$3:$BO$99,53,0)</f>
        <v>62468.800000000003</v>
      </c>
      <c r="AN37" s="595">
        <f>VLOOKUP(A37,[4]CFR20152016_BenchMarkDataReport!$B$3:$BO$99,54,0)</f>
        <v>14613.85</v>
      </c>
      <c r="AO37" s="595">
        <f>VLOOKUP(A37,[4]CFR20152016_BenchMarkDataReport!$B$3:$BO$99,55,0)</f>
        <v>0</v>
      </c>
      <c r="AP37" s="595">
        <f>VLOOKUP(A37,[4]CFR20152016_BenchMarkDataReport!$B$3:$BO$99,56,0)</f>
        <v>9475.2800000000007</v>
      </c>
      <c r="AQ37" s="595">
        <f>VLOOKUP(A37,[4]CFR20152016_BenchMarkDataReport!$B$3:$BO$99,57,0)</f>
        <v>7204.54</v>
      </c>
      <c r="AR37" s="595">
        <f>VLOOKUP(A37,[4]CFR20152016_BenchMarkDataReport!$B$3:$BO$99,58,0)</f>
        <v>11424.15</v>
      </c>
      <c r="AS37" s="595">
        <f>VLOOKUP(A37,[4]CFR20152016_BenchMarkDataReport!$B$3:$BO$99,59,0)</f>
        <v>91169.85</v>
      </c>
      <c r="AT37" s="595">
        <f>VLOOKUP(A37,[4]CFR20152016_BenchMarkDataReport!$B$3:$BO$99,60,0)</f>
        <v>18271.55</v>
      </c>
      <c r="AU37" s="595">
        <f>VLOOKUP(A37,[4]CFR20152016_BenchMarkDataReport!$B$3:$BO$99,61,0)</f>
        <v>40989.82</v>
      </c>
      <c r="AV37" s="595">
        <f>VLOOKUP(A37,[4]CFR20152016_BenchMarkDataReport!$B$3:$BO$99,62,0)</f>
        <v>35348.43</v>
      </c>
      <c r="AW37" s="595">
        <f>VLOOKUP(A37,[4]CFR20152016_BenchMarkDataReport!$B$3:$BO$99,63,0)</f>
        <v>0</v>
      </c>
      <c r="AX37" s="595">
        <f>VLOOKUP(A37,[4]CFR20152016_BenchMarkDataReport!$B$3:$BO$99,64,0)</f>
        <v>0</v>
      </c>
      <c r="AY37" s="595">
        <f>VLOOKUP(A37,[4]CFR20152016_BenchMarkDataReport!$B$3:$BO$99,65,0)</f>
        <v>0</v>
      </c>
      <c r="AZ37" s="595">
        <f>VLOOKUP(A37,[4]CFR20152016_BenchMarkDataReport!$B$3:$BO$99,66,0)</f>
        <v>0</v>
      </c>
      <c r="BA37" s="596">
        <f t="shared" si="0"/>
        <v>1561196.3399999996</v>
      </c>
      <c r="BB37" s="595">
        <f t="shared" si="42"/>
        <v>1548461.34</v>
      </c>
      <c r="BC37" s="601">
        <f t="shared" si="43"/>
        <v>12734.999999999534</v>
      </c>
      <c r="BD37" s="595">
        <f>VLOOKUP(A37,[4]CFR20152016_BenchMarkDataReport!$B$3:$BO$99,15,0)</f>
        <v>49146</v>
      </c>
      <c r="BE37" s="601">
        <f t="shared" si="1"/>
        <v>61880.999999999534</v>
      </c>
      <c r="BF37" s="76">
        <f>VLOOKUP(A37,'OCT 15 CENSUS'!$B$9:$U$132,20,0)</f>
        <v>315</v>
      </c>
      <c r="BG37" s="73">
        <f>VLOOKUP(A37,'[2]BUDGET SHARE inc ADJUSTMENTS'!$D$4:$M$139,10,0)</f>
        <v>1393574.8841857172</v>
      </c>
      <c r="BH37" s="76">
        <f>VLOOKUP(A37,'12-13 Pupil Data'!A:CI,81,0)</f>
        <v>2037.31</v>
      </c>
      <c r="BI37" t="s">
        <v>210</v>
      </c>
      <c r="BJ37" s="44">
        <f t="shared" si="44"/>
        <v>0.78590051011777307</v>
      </c>
      <c r="BK37" s="45">
        <f t="shared" si="45"/>
        <v>3895.063492063492</v>
      </c>
      <c r="BL37" s="44">
        <f t="shared" si="46"/>
        <v>0</v>
      </c>
      <c r="BM37" s="45">
        <f t="shared" si="47"/>
        <v>0</v>
      </c>
      <c r="BN37" s="44">
        <f t="shared" si="48"/>
        <v>4.4539561244423632E-2</v>
      </c>
      <c r="BO37" s="45">
        <f t="shared" si="49"/>
        <v>220.74603174603175</v>
      </c>
      <c r="BP37" s="44">
        <f t="shared" si="50"/>
        <v>0</v>
      </c>
      <c r="BQ37" s="45">
        <f t="shared" si="51"/>
        <v>0</v>
      </c>
      <c r="BR37" s="44">
        <f t="shared" si="52"/>
        <v>2.4342870288819669E-2</v>
      </c>
      <c r="BS37" s="45">
        <f t="shared" si="53"/>
        <v>120.64761904761905</v>
      </c>
      <c r="BT37" s="44">
        <f t="shared" si="54"/>
        <v>2.3078455333811511E-3</v>
      </c>
      <c r="BU37" s="45">
        <f t="shared" si="55"/>
        <v>11.438095238095238</v>
      </c>
      <c r="BV37" s="44">
        <f t="shared" si="56"/>
        <v>5.1581468606312526E-3</v>
      </c>
      <c r="BW37" s="45">
        <f t="shared" si="57"/>
        <v>25.564698412698412</v>
      </c>
      <c r="BX37" s="44">
        <f t="shared" si="58"/>
        <v>2.8359437481130664E-2</v>
      </c>
      <c r="BY37" s="45">
        <f t="shared" si="59"/>
        <v>140.55444444444444</v>
      </c>
      <c r="BZ37" s="46">
        <f t="shared" si="60"/>
        <v>3.358097803380708E-2</v>
      </c>
      <c r="CA37" s="47">
        <f t="shared" si="61"/>
        <v>166.43333333333334</v>
      </c>
      <c r="CB37" s="44">
        <f t="shared" si="62"/>
        <v>9.7696424269096121E-3</v>
      </c>
      <c r="CC37" s="48">
        <f t="shared" si="63"/>
        <v>48.420095238095236</v>
      </c>
      <c r="CD37" s="46">
        <f t="shared" si="64"/>
        <v>0.54162868358598404</v>
      </c>
      <c r="CE37" s="49">
        <f t="shared" si="65"/>
        <v>0.48347546728171314</v>
      </c>
      <c r="CF37" s="49">
        <f t="shared" si="66"/>
        <v>0.48745171125809322</v>
      </c>
      <c r="CG37" s="47">
        <f t="shared" si="67"/>
        <v>2396.1908888888893</v>
      </c>
      <c r="CH37" s="44">
        <f t="shared" si="2"/>
        <v>0.20806517345454595</v>
      </c>
      <c r="CI37" s="50">
        <f t="shared" si="3"/>
        <v>0.1857257748887626</v>
      </c>
      <c r="CJ37" s="50">
        <f t="shared" si="4"/>
        <v>0.18725323810796593</v>
      </c>
      <c r="CK37" s="45">
        <f t="shared" si="5"/>
        <v>920.49015873015878</v>
      </c>
      <c r="CL37" s="46">
        <f t="shared" si="6"/>
        <v>3.6311080641760765E-2</v>
      </c>
      <c r="CM37" s="49">
        <f t="shared" si="68"/>
        <v>3.2412457487570087E-2</v>
      </c>
      <c r="CN37" s="49">
        <f t="shared" si="69"/>
        <v>3.2679027039835558E-2</v>
      </c>
      <c r="CO37" s="47">
        <f t="shared" si="70"/>
        <v>160.64193650793649</v>
      </c>
      <c r="CP37" s="44">
        <f t="shared" si="7"/>
        <v>3.2660957453029341E-2</v>
      </c>
      <c r="CQ37" s="50">
        <f t="shared" si="8"/>
        <v>2.9154238217084221E-2</v>
      </c>
      <c r="CR37" s="50">
        <f t="shared" si="71"/>
        <v>2.9394011218904566E-2</v>
      </c>
      <c r="CS37" s="45">
        <f t="shared" si="9"/>
        <v>144.49361904761903</v>
      </c>
      <c r="CT37" s="46">
        <f t="shared" si="10"/>
        <v>0.82969265815636783</v>
      </c>
      <c r="CU37" s="49">
        <f t="shared" si="11"/>
        <v>0.7406107869814762</v>
      </c>
      <c r="CV37" s="49">
        <f t="shared" si="12"/>
        <v>0.74670178720768066</v>
      </c>
      <c r="CW37" s="47">
        <f t="shared" si="13"/>
        <v>3670.5995238095243</v>
      </c>
      <c r="CX37" s="44">
        <f t="shared" si="14"/>
        <v>1.1414743606903355E-2</v>
      </c>
      <c r="CY37" s="50">
        <f t="shared" si="15"/>
        <v>1.0272972007166804E-2</v>
      </c>
      <c r="CZ37" s="48">
        <f t="shared" si="16"/>
        <v>7.8079919109021212</v>
      </c>
      <c r="DA37" s="45">
        <f t="shared" si="17"/>
        <v>50.499365079365077</v>
      </c>
      <c r="DB37" s="51">
        <f t="shared" si="18"/>
        <v>2.9755214941304246E-3</v>
      </c>
      <c r="DC37" s="52">
        <f t="shared" si="19"/>
        <v>14.626920634920634</v>
      </c>
      <c r="DD37" s="44">
        <f t="shared" si="20"/>
        <v>1.7785495620841661E-2</v>
      </c>
      <c r="DE37" s="50">
        <f t="shared" si="21"/>
        <v>1.6006482925818476E-2</v>
      </c>
      <c r="DF37" s="48">
        <f t="shared" si="22"/>
        <v>12.165757788456347</v>
      </c>
      <c r="DG37" s="45">
        <f t="shared" si="23"/>
        <v>78.683873015873004</v>
      </c>
      <c r="DH37" s="46">
        <f t="shared" si="24"/>
        <v>2.8244266201022145E-3</v>
      </c>
      <c r="DI37" s="49">
        <f t="shared" si="25"/>
        <v>2.5419104102398838E-3</v>
      </c>
      <c r="DJ37" s="47">
        <f t="shared" si="26"/>
        <v>1.9319838414379746</v>
      </c>
      <c r="DK37" s="44">
        <f t="shared" si="27"/>
        <v>4.4826295815815653E-2</v>
      </c>
      <c r="DL37" s="50">
        <f t="shared" si="28"/>
        <v>4.001341689028045E-2</v>
      </c>
      <c r="DM37" s="50">
        <f t="shared" si="29"/>
        <v>4.0342498960936279E-2</v>
      </c>
      <c r="DN37" s="45">
        <f t="shared" si="30"/>
        <v>198.31365079365079</v>
      </c>
      <c r="DO37" s="46">
        <f t="shared" si="31"/>
        <v>6.7992614588031431E-3</v>
      </c>
      <c r="DP37" s="49">
        <f t="shared" si="32"/>
        <v>6.1191582606770151E-3</v>
      </c>
      <c r="DQ37" s="47">
        <f t="shared" si="33"/>
        <v>30.08025396825397</v>
      </c>
      <c r="DR37" s="53">
        <f t="shared" si="34"/>
        <v>5.8877705012641779E-2</v>
      </c>
      <c r="DS37" s="45">
        <f t="shared" si="35"/>
        <v>289.42809523809524</v>
      </c>
      <c r="DT37" s="46">
        <f t="shared" si="72"/>
        <v>1.148126317542598E-5</v>
      </c>
      <c r="DU37" s="49">
        <f t="shared" si="73"/>
        <v>1.0248550800471389E-5</v>
      </c>
      <c r="DV37" s="49">
        <f t="shared" si="74"/>
        <v>1.0332837886672714E-5</v>
      </c>
      <c r="DW37" s="47">
        <f t="shared" si="75"/>
        <v>5.0793650793650794E-2</v>
      </c>
      <c r="DY37" s="54">
        <f>VLOOKUP(A37,'[3]Barnet Schools'!$E$8:$V$130,17,0)</f>
        <v>16</v>
      </c>
    </row>
    <row r="38" spans="1:129">
      <c r="A38" s="79">
        <v>2026</v>
      </c>
      <c r="B38" s="80">
        <v>10066</v>
      </c>
      <c r="C38" s="573" t="s">
        <v>64</v>
      </c>
      <c r="D38" s="595">
        <f>VLOOKUP(A38,[4]CFR20152016_BenchMarkDataReport!$B$3:$BO$99,18,0)</f>
        <v>2607219.69</v>
      </c>
      <c r="E38" s="595">
        <f>VLOOKUP(A38,[4]CFR20152016_BenchMarkDataReport!$B$3:$BO$99,19,0)</f>
        <v>0</v>
      </c>
      <c r="F38" s="595">
        <f>VLOOKUP(A38,[4]CFR20152016_BenchMarkDataReport!$B$3:$BO$99,20,0)</f>
        <v>115942</v>
      </c>
      <c r="G38" s="595">
        <f>VLOOKUP(A38,[4]CFR20152016_BenchMarkDataReport!$B$3:$BO$99,21,0)</f>
        <v>0</v>
      </c>
      <c r="H38" s="595">
        <f>VLOOKUP(A38,[4]CFR20152016_BenchMarkDataReport!$B$3:$BO$99,22,0)</f>
        <v>156735.37</v>
      </c>
      <c r="I38" s="595">
        <f>VLOOKUP(A38,[4]CFR20152016_BenchMarkDataReport!$B$3:$BO$99,23,0)</f>
        <v>7413.5</v>
      </c>
      <c r="J38" s="595">
        <f>VLOOKUP(A38,[4]CFR20152016_BenchMarkDataReport!$B$3:$BO$99,24,0)</f>
        <v>0</v>
      </c>
      <c r="K38" s="595">
        <f>VLOOKUP(A38,[4]CFR20152016_BenchMarkDataReport!$B$3:$BO$99,25,0)</f>
        <v>83440.45</v>
      </c>
      <c r="L38" s="595">
        <f>VLOOKUP(A38,[4]CFR20152016_BenchMarkDataReport!$B$3:$BO$99,26,0)</f>
        <v>47628.02</v>
      </c>
      <c r="M38" s="595">
        <f>VLOOKUP(A38,[4]CFR20152016_BenchMarkDataReport!$B$3:$BO$99,27,0)</f>
        <v>0</v>
      </c>
      <c r="N38" s="595">
        <f>VLOOKUP(A38,[4]CFR20152016_BenchMarkDataReport!$B$3:$BO$99,28,0)</f>
        <v>0</v>
      </c>
      <c r="O38" s="595">
        <f>VLOOKUP(A38,[4]CFR20152016_BenchMarkDataReport!$B$3:$BO$99,29,0)</f>
        <v>129705.92</v>
      </c>
      <c r="P38" s="595">
        <f>VLOOKUP(A38,[4]CFR20152016_BenchMarkDataReport!$B$3:$BO$99,30,0)</f>
        <v>30123.84</v>
      </c>
      <c r="Q38" s="595">
        <f>VLOOKUP(A38,[4]CFR20152016_BenchMarkDataReport!$B$3:$BO$99,31,0)</f>
        <v>0</v>
      </c>
      <c r="R38" s="595">
        <f>VLOOKUP(A38,[4]CFR20152016_BenchMarkDataReport!$B$3:$BO$99,32,0)</f>
        <v>0</v>
      </c>
      <c r="S38" s="595">
        <f>VLOOKUP(A38,[4]CFR20152016_BenchMarkDataReport!$B$3:$BO$99,33,0)</f>
        <v>0</v>
      </c>
      <c r="T38" s="595">
        <f>VLOOKUP(A38,[4]CFR20152016_BenchMarkDataReport!$B$3:$BO$99,34,0)</f>
        <v>108123.65</v>
      </c>
      <c r="U38" s="595">
        <f>VLOOKUP(A38,[4]CFR20152016_BenchMarkDataReport!$B$3:$BO$99,35,0)</f>
        <v>1573762.48</v>
      </c>
      <c r="V38" s="595">
        <f>VLOOKUP(A38,[4]CFR20152016_BenchMarkDataReport!$B$3:$BO$99,36,0)</f>
        <v>5405.61</v>
      </c>
      <c r="W38" s="595">
        <f>VLOOKUP(A38,[4]CFR20152016_BenchMarkDataReport!$B$3:$BO$99,37,0)</f>
        <v>640871.30000000005</v>
      </c>
      <c r="X38" s="595">
        <f>VLOOKUP(A38,[4]CFR20152016_BenchMarkDataReport!$B$3:$BO$99,38,0)</f>
        <v>48123.51</v>
      </c>
      <c r="Y38" s="595">
        <f>VLOOKUP(A38,[4]CFR20152016_BenchMarkDataReport!$B$3:$BO$99,39,0)</f>
        <v>149974.82</v>
      </c>
      <c r="Z38" s="595">
        <f>VLOOKUP(A38,[4]CFR20152016_BenchMarkDataReport!$B$3:$BO$99,40,0)</f>
        <v>0</v>
      </c>
      <c r="AA38" s="595">
        <f>VLOOKUP(A38,[4]CFR20152016_BenchMarkDataReport!$B$3:$BO$99,41,0)</f>
        <v>82258.3</v>
      </c>
      <c r="AB38" s="595">
        <f>VLOOKUP(A38,[4]CFR20152016_BenchMarkDataReport!$B$3:$BO$99,42,0)</f>
        <v>9442.18</v>
      </c>
      <c r="AC38" s="595">
        <f>VLOOKUP(A38,[4]CFR20152016_BenchMarkDataReport!$B$3:$BO$99,43,0)</f>
        <v>6120.12</v>
      </c>
      <c r="AD38" s="595">
        <f>VLOOKUP(A38,[4]CFR20152016_BenchMarkDataReport!$B$3:$BO$99,44,0)</f>
        <v>1021.14</v>
      </c>
      <c r="AE38" s="595">
        <f>VLOOKUP(A38,[4]CFR20152016_BenchMarkDataReport!$B$3:$BO$99,45,0)</f>
        <v>0</v>
      </c>
      <c r="AF38" s="595">
        <f>VLOOKUP(A38,[4]CFR20152016_BenchMarkDataReport!$B$3:$BO$99,46,0)</f>
        <v>14637.3</v>
      </c>
      <c r="AG38" s="595">
        <f>VLOOKUP(A38,[4]CFR20152016_BenchMarkDataReport!$B$3:$BO$99,47,0)</f>
        <v>3397</v>
      </c>
      <c r="AH38" s="595">
        <f>VLOOKUP(A38,[4]CFR20152016_BenchMarkDataReport!$B$3:$BO$99,48,0)</f>
        <v>52831.63</v>
      </c>
      <c r="AI38" s="595">
        <f>VLOOKUP(A38,[4]CFR20152016_BenchMarkDataReport!$B$3:$BO$99,49,0)</f>
        <v>2286.39</v>
      </c>
      <c r="AJ38" s="595">
        <f>VLOOKUP(A38,[4]CFR20152016_BenchMarkDataReport!$B$3:$BO$99,50,0)</f>
        <v>32007.759999999998</v>
      </c>
      <c r="AK38" s="595">
        <f>VLOOKUP(A38,[4]CFR20152016_BenchMarkDataReport!$B$3:$BO$99,51,0)</f>
        <v>28239.72</v>
      </c>
      <c r="AL38" s="595">
        <f>VLOOKUP(A38,[4]CFR20152016_BenchMarkDataReport!$B$3:$BO$99,52,0)</f>
        <v>11472.45</v>
      </c>
      <c r="AM38" s="595">
        <f>VLOOKUP(A38,[4]CFR20152016_BenchMarkDataReport!$B$3:$BO$99,53,0)</f>
        <v>113114.93</v>
      </c>
      <c r="AN38" s="595">
        <f>VLOOKUP(A38,[4]CFR20152016_BenchMarkDataReport!$B$3:$BO$99,54,0)</f>
        <v>23577.82</v>
      </c>
      <c r="AO38" s="595">
        <f>VLOOKUP(A38,[4]CFR20152016_BenchMarkDataReport!$B$3:$BO$99,55,0)</f>
        <v>0</v>
      </c>
      <c r="AP38" s="595">
        <f>VLOOKUP(A38,[4]CFR20152016_BenchMarkDataReport!$B$3:$BO$99,56,0)</f>
        <v>26098.35</v>
      </c>
      <c r="AQ38" s="595">
        <f>VLOOKUP(A38,[4]CFR20152016_BenchMarkDataReport!$B$3:$BO$99,57,0)</f>
        <v>0</v>
      </c>
      <c r="AR38" s="595">
        <f>VLOOKUP(A38,[4]CFR20152016_BenchMarkDataReport!$B$3:$BO$99,58,0)</f>
        <v>6354.78</v>
      </c>
      <c r="AS38" s="595">
        <f>VLOOKUP(A38,[4]CFR20152016_BenchMarkDataReport!$B$3:$BO$99,59,0)</f>
        <v>159557.38</v>
      </c>
      <c r="AT38" s="595">
        <f>VLOOKUP(A38,[4]CFR20152016_BenchMarkDataReport!$B$3:$BO$99,60,0)</f>
        <v>88830.92</v>
      </c>
      <c r="AU38" s="595">
        <f>VLOOKUP(A38,[4]CFR20152016_BenchMarkDataReport!$B$3:$BO$99,61,0)</f>
        <v>134427.60999999999</v>
      </c>
      <c r="AV38" s="595">
        <f>VLOOKUP(A38,[4]CFR20152016_BenchMarkDataReport!$B$3:$BO$99,62,0)</f>
        <v>34838.94</v>
      </c>
      <c r="AW38" s="595">
        <f>VLOOKUP(A38,[4]CFR20152016_BenchMarkDataReport!$B$3:$BO$99,63,0)</f>
        <v>0</v>
      </c>
      <c r="AX38" s="595">
        <f>VLOOKUP(A38,[4]CFR20152016_BenchMarkDataReport!$B$3:$BO$99,64,0)</f>
        <v>0</v>
      </c>
      <c r="AY38" s="595">
        <f>VLOOKUP(A38,[4]CFR20152016_BenchMarkDataReport!$B$3:$BO$99,65,0)</f>
        <v>0</v>
      </c>
      <c r="AZ38" s="595">
        <f>VLOOKUP(A38,[4]CFR20152016_BenchMarkDataReport!$B$3:$BO$99,66,0)</f>
        <v>0</v>
      </c>
      <c r="BA38" s="596">
        <f t="shared" si="0"/>
        <v>3286332.44</v>
      </c>
      <c r="BB38" s="595">
        <f t="shared" si="42"/>
        <v>3248652.4399999995</v>
      </c>
      <c r="BC38" s="601">
        <f t="shared" si="43"/>
        <v>37680.000000000466</v>
      </c>
      <c r="BD38" s="595">
        <f>VLOOKUP(A38,[4]CFR20152016_BenchMarkDataReport!$B$3:$BO$99,15,0)</f>
        <v>16281</v>
      </c>
      <c r="BE38" s="601">
        <f t="shared" si="1"/>
        <v>53961.000000000466</v>
      </c>
      <c r="BF38" s="76">
        <f>VLOOKUP(A38,'OCT 15 CENSUS'!$B$9:$U$132,20,0)</f>
        <v>655</v>
      </c>
      <c r="BG38" s="73">
        <f>VLOOKUP(A38,'[2]BUDGET SHARE inc ADJUSTMENTS'!$D$4:$M$139,10,0)</f>
        <v>2998241.2426574072</v>
      </c>
      <c r="BH38" s="76">
        <f>VLOOKUP(A38,'12-13 Pupil Data'!A:CI,81,0)</f>
        <v>3867</v>
      </c>
      <c r="BI38" t="s">
        <v>210</v>
      </c>
      <c r="BJ38" s="44">
        <f t="shared" ref="BJ38:BJ66" si="76">D38/BA38</f>
        <v>0.79335238829337662</v>
      </c>
      <c r="BK38" s="45">
        <f t="shared" ref="BK38:BK66" si="77">D38/BF38</f>
        <v>3980.4880763358778</v>
      </c>
      <c r="BL38" s="44">
        <f t="shared" ref="BL38:BL66" si="78">E38/BA38</f>
        <v>0</v>
      </c>
      <c r="BM38" s="45">
        <f t="shared" ref="BM38:BM66" si="79">E38/BF38</f>
        <v>0</v>
      </c>
      <c r="BN38" s="44">
        <f t="shared" ref="BN38:BN66" si="80">F38/BA38</f>
        <v>3.5280058276757904E-2</v>
      </c>
      <c r="BO38" s="45">
        <f t="shared" ref="BO38:BO66" si="81">F38/BF38</f>
        <v>177.01068702290075</v>
      </c>
      <c r="BP38" s="44">
        <f t="shared" ref="BP38:BP66" si="82">G38/BA38</f>
        <v>0</v>
      </c>
      <c r="BQ38" s="45">
        <f t="shared" ref="BQ38:BQ66" si="83">G38/BF38</f>
        <v>0</v>
      </c>
      <c r="BR38" s="44">
        <f t="shared" ref="BR38:BR66" si="84">H38/BA38</f>
        <v>4.7693096441576072E-2</v>
      </c>
      <c r="BS38" s="45">
        <f t="shared" ref="BS38:BS66" si="85">H38/BF38</f>
        <v>239.29064122137405</v>
      </c>
      <c r="BT38" s="44">
        <f t="shared" ref="BT38:BT66" si="86">I38/BA38</f>
        <v>2.2558582052642248E-3</v>
      </c>
      <c r="BU38" s="45">
        <f t="shared" ref="BU38:BU66" si="87">I38/BF38</f>
        <v>11.318320610687023</v>
      </c>
      <c r="BV38" s="44">
        <f t="shared" ref="BV38:BV66" si="88">J38/BA38</f>
        <v>0</v>
      </c>
      <c r="BW38" s="45">
        <f t="shared" ref="BW38:BW66" si="89">J38/BF38</f>
        <v>0</v>
      </c>
      <c r="BX38" s="44">
        <f t="shared" ref="BX38:BX66" si="90">K38/BA38</f>
        <v>2.5390142818296251E-2</v>
      </c>
      <c r="BY38" s="45">
        <f t="shared" ref="BY38:BY66" si="91">K38/BF38</f>
        <v>127.39</v>
      </c>
      <c r="BZ38" s="46">
        <f t="shared" ref="BZ38:BZ66" si="92">O38/BA38</f>
        <v>3.9468289458871667E-2</v>
      </c>
      <c r="CA38" s="47">
        <f t="shared" ref="CA38:CA66" si="93">O38/BF38</f>
        <v>198.02430534351146</v>
      </c>
      <c r="CB38" s="44">
        <f t="shared" ref="CB38:CB66" si="94">P38/BA38</f>
        <v>9.1664007065578555E-3</v>
      </c>
      <c r="CC38" s="48">
        <f t="shared" ref="CC38:CC66" si="95">P38/BF38</f>
        <v>45.990595419847331</v>
      </c>
      <c r="CD38" s="46">
        <f t="shared" si="64"/>
        <v>0.55632581737205899</v>
      </c>
      <c r="CE38" s="49">
        <f t="shared" si="65"/>
        <v>0.50755638404007597</v>
      </c>
      <c r="CF38" s="49">
        <f t="shared" si="66"/>
        <v>0.51344335560870291</v>
      </c>
      <c r="CG38" s="47">
        <f t="shared" si="67"/>
        <v>2546.5633740458015</v>
      </c>
      <c r="CH38" s="44">
        <f t="shared" si="2"/>
        <v>0.21374907758655928</v>
      </c>
      <c r="CI38" s="50">
        <f t="shared" si="3"/>
        <v>0.19501109875542599</v>
      </c>
      <c r="CJ38" s="50">
        <f t="shared" si="4"/>
        <v>0.19727296527910512</v>
      </c>
      <c r="CK38" s="45">
        <f t="shared" si="5"/>
        <v>978.42946564885506</v>
      </c>
      <c r="CL38" s="46">
        <f t="shared" si="6"/>
        <v>1.6050579691628507E-2</v>
      </c>
      <c r="CM38" s="49">
        <f t="shared" si="68"/>
        <v>1.4643530707441151E-2</v>
      </c>
      <c r="CN38" s="49">
        <f t="shared" si="69"/>
        <v>1.4813375973208143E-2</v>
      </c>
      <c r="CO38" s="47">
        <f t="shared" si="70"/>
        <v>73.471007633587789</v>
      </c>
      <c r="CP38" s="44">
        <f t="shared" si="7"/>
        <v>5.0020931560221624E-2</v>
      </c>
      <c r="CQ38" s="50">
        <f t="shared" si="8"/>
        <v>4.5635924769680335E-2</v>
      </c>
      <c r="CR38" s="50">
        <f t="shared" si="71"/>
        <v>4.6165240132613271E-2</v>
      </c>
      <c r="CS38" s="45">
        <f t="shared" si="9"/>
        <v>228.96919083969468</v>
      </c>
      <c r="CT38" s="46">
        <f t="shared" si="10"/>
        <v>0.83395424771885385</v>
      </c>
      <c r="CU38" s="49">
        <f t="shared" si="11"/>
        <v>0.7608469519291845</v>
      </c>
      <c r="CV38" s="49">
        <f t="shared" si="12"/>
        <v>0.7696717534978903</v>
      </c>
      <c r="CW38" s="47">
        <f t="shared" si="13"/>
        <v>3817.3985038167934</v>
      </c>
      <c r="CX38" s="44">
        <f t="shared" si="14"/>
        <v>4.8819620622077226E-3</v>
      </c>
      <c r="CY38" s="50">
        <f t="shared" si="15"/>
        <v>4.5056528115392982E-3</v>
      </c>
      <c r="CZ38" s="48">
        <f t="shared" si="16"/>
        <v>3.7851823118696664</v>
      </c>
      <c r="DA38" s="45">
        <f t="shared" si="17"/>
        <v>22.347022900763356</v>
      </c>
      <c r="DB38" s="51">
        <f t="shared" si="18"/>
        <v>7.0379643320662533E-4</v>
      </c>
      <c r="DC38" s="52">
        <f t="shared" si="19"/>
        <v>3.4906717557251907</v>
      </c>
      <c r="DD38" s="44">
        <f t="shared" si="20"/>
        <v>1.0675511878300632E-2</v>
      </c>
      <c r="DE38" s="50">
        <f t="shared" si="21"/>
        <v>9.852626770994315E-3</v>
      </c>
      <c r="DF38" s="48">
        <f t="shared" si="22"/>
        <v>8.2771554176364095</v>
      </c>
      <c r="DG38" s="45">
        <f t="shared" si="23"/>
        <v>48.866809160305344</v>
      </c>
      <c r="DH38" s="46">
        <f t="shared" si="24"/>
        <v>3.8263932323977091E-3</v>
      </c>
      <c r="DI38" s="49">
        <f t="shared" si="25"/>
        <v>3.5314488736135781E-3</v>
      </c>
      <c r="DJ38" s="47">
        <f t="shared" si="26"/>
        <v>2.9667571761055083</v>
      </c>
      <c r="DK38" s="44">
        <f t="shared" si="27"/>
        <v>3.7727094268019519E-2</v>
      </c>
      <c r="DL38" s="50">
        <f t="shared" si="28"/>
        <v>3.4419807510405125E-2</v>
      </c>
      <c r="DM38" s="50">
        <f t="shared" si="29"/>
        <v>3.4819030994894612E-2</v>
      </c>
      <c r="DN38" s="45">
        <f t="shared" si="30"/>
        <v>172.69454961832059</v>
      </c>
      <c r="DO38" s="46">
        <f t="shared" si="31"/>
        <v>8.7045530655393347E-3</v>
      </c>
      <c r="DP38" s="49">
        <f t="shared" si="32"/>
        <v>8.0335925378339345E-3</v>
      </c>
      <c r="DQ38" s="47">
        <f t="shared" si="33"/>
        <v>39.844809160305338</v>
      </c>
      <c r="DR38" s="53">
        <f t="shared" si="34"/>
        <v>4.9114943179332543E-2</v>
      </c>
      <c r="DS38" s="45">
        <f t="shared" si="35"/>
        <v>243.59905343511451</v>
      </c>
      <c r="DT38" s="46">
        <f t="shared" ref="DT38:DT66" si="96">DY38/BG38</f>
        <v>3.8355819526407743E-5</v>
      </c>
      <c r="DU38" s="49">
        <f t="shared" ref="DU38:DU66" si="97">DY38/BA38</f>
        <v>3.4993416551613388E-5</v>
      </c>
      <c r="DV38" s="49">
        <f t="shared" ref="DV38:DV66" si="98">DY38/BB38</f>
        <v>3.5399293129676874E-5</v>
      </c>
      <c r="DW38" s="47">
        <f t="shared" ref="DW38:DW66" si="99">DY38/BF38</f>
        <v>0.17557251908396945</v>
      </c>
      <c r="DY38" s="54">
        <f>VLOOKUP(A38,'[3]Barnet Schools'!$E$8:$V$130,17,0)</f>
        <v>115</v>
      </c>
    </row>
    <row r="39" spans="1:129">
      <c r="A39" s="79">
        <v>2028</v>
      </c>
      <c r="B39" s="80">
        <v>10068</v>
      </c>
      <c r="C39" s="573" t="s">
        <v>65</v>
      </c>
      <c r="D39" s="595">
        <f>VLOOKUP(A39,[4]CFR20152016_BenchMarkDataReport!$B$3:$BO$99,18,0)</f>
        <v>1078487</v>
      </c>
      <c r="E39" s="595">
        <f>VLOOKUP(A39,[4]CFR20152016_BenchMarkDataReport!$B$3:$BO$99,19,0)</f>
        <v>0</v>
      </c>
      <c r="F39" s="595">
        <f>VLOOKUP(A39,[4]CFR20152016_BenchMarkDataReport!$B$3:$BO$99,20,0)</f>
        <v>42391.83</v>
      </c>
      <c r="G39" s="595">
        <f>VLOOKUP(A39,[4]CFR20152016_BenchMarkDataReport!$B$3:$BO$99,21,0)</f>
        <v>0</v>
      </c>
      <c r="H39" s="595">
        <f>VLOOKUP(A39,[4]CFR20152016_BenchMarkDataReport!$B$3:$BO$99,22,0)</f>
        <v>48679.99</v>
      </c>
      <c r="I39" s="595">
        <f>VLOOKUP(A39,[4]CFR20152016_BenchMarkDataReport!$B$3:$BO$99,23,0)</f>
        <v>5062.5</v>
      </c>
      <c r="J39" s="595">
        <f>VLOOKUP(A39,[4]CFR20152016_BenchMarkDataReport!$B$3:$BO$99,24,0)</f>
        <v>0</v>
      </c>
      <c r="K39" s="595">
        <f>VLOOKUP(A39,[4]CFR20152016_BenchMarkDataReport!$B$3:$BO$99,25,0)</f>
        <v>9459.61</v>
      </c>
      <c r="L39" s="595">
        <f>VLOOKUP(A39,[4]CFR20152016_BenchMarkDataReport!$B$3:$BO$99,26,0)</f>
        <v>2620.5700000000002</v>
      </c>
      <c r="M39" s="595">
        <f>VLOOKUP(A39,[4]CFR20152016_BenchMarkDataReport!$B$3:$BO$99,27,0)</f>
        <v>0</v>
      </c>
      <c r="N39" s="595">
        <f>VLOOKUP(A39,[4]CFR20152016_BenchMarkDataReport!$B$3:$BO$99,28,0)</f>
        <v>394.06</v>
      </c>
      <c r="O39" s="595">
        <f>VLOOKUP(A39,[4]CFR20152016_BenchMarkDataReport!$B$3:$BO$99,29,0)</f>
        <v>4939.55</v>
      </c>
      <c r="P39" s="595">
        <f>VLOOKUP(A39,[4]CFR20152016_BenchMarkDataReport!$B$3:$BO$99,30,0)</f>
        <v>7255.3</v>
      </c>
      <c r="Q39" s="595">
        <f>VLOOKUP(A39,[4]CFR20152016_BenchMarkDataReport!$B$3:$BO$99,31,0)</f>
        <v>0</v>
      </c>
      <c r="R39" s="595">
        <f>VLOOKUP(A39,[4]CFR20152016_BenchMarkDataReport!$B$3:$BO$99,32,0)</f>
        <v>0</v>
      </c>
      <c r="S39" s="595">
        <f>VLOOKUP(A39,[4]CFR20152016_BenchMarkDataReport!$B$3:$BO$99,33,0)</f>
        <v>0</v>
      </c>
      <c r="T39" s="595">
        <f>VLOOKUP(A39,[4]CFR20152016_BenchMarkDataReport!$B$3:$BO$99,34,0)</f>
        <v>108151.91</v>
      </c>
      <c r="U39" s="595">
        <f>VLOOKUP(A39,[4]CFR20152016_BenchMarkDataReport!$B$3:$BO$99,35,0)</f>
        <v>674217.24</v>
      </c>
      <c r="V39" s="595">
        <f>VLOOKUP(A39,[4]CFR20152016_BenchMarkDataReport!$B$3:$BO$99,36,0)</f>
        <v>0</v>
      </c>
      <c r="W39" s="595">
        <f>VLOOKUP(A39,[4]CFR20152016_BenchMarkDataReport!$B$3:$BO$99,37,0)</f>
        <v>254511.97</v>
      </c>
      <c r="X39" s="595">
        <f>VLOOKUP(A39,[4]CFR20152016_BenchMarkDataReport!$B$3:$BO$99,38,0)</f>
        <v>25853.86</v>
      </c>
      <c r="Y39" s="595">
        <f>VLOOKUP(A39,[4]CFR20152016_BenchMarkDataReport!$B$3:$BO$99,39,0)</f>
        <v>37182.53</v>
      </c>
      <c r="Z39" s="595">
        <f>VLOOKUP(A39,[4]CFR20152016_BenchMarkDataReport!$B$3:$BO$99,40,0)</f>
        <v>0</v>
      </c>
      <c r="AA39" s="595">
        <f>VLOOKUP(A39,[4]CFR20152016_BenchMarkDataReport!$B$3:$BO$99,41,0)</f>
        <v>29467.7</v>
      </c>
      <c r="AB39" s="595">
        <f>VLOOKUP(A39,[4]CFR20152016_BenchMarkDataReport!$B$3:$BO$99,42,0)</f>
        <v>6718.66</v>
      </c>
      <c r="AC39" s="595">
        <f>VLOOKUP(A39,[4]CFR20152016_BenchMarkDataReport!$B$3:$BO$99,43,0)</f>
        <v>636.6</v>
      </c>
      <c r="AD39" s="595">
        <f>VLOOKUP(A39,[4]CFR20152016_BenchMarkDataReport!$B$3:$BO$99,44,0)</f>
        <v>11612.06</v>
      </c>
      <c r="AE39" s="595">
        <f>VLOOKUP(A39,[4]CFR20152016_BenchMarkDataReport!$B$3:$BO$99,45,0)</f>
        <v>1134</v>
      </c>
      <c r="AF39" s="595">
        <f>VLOOKUP(A39,[4]CFR20152016_BenchMarkDataReport!$B$3:$BO$99,46,0)</f>
        <v>7134.7</v>
      </c>
      <c r="AG39" s="595">
        <f>VLOOKUP(A39,[4]CFR20152016_BenchMarkDataReport!$B$3:$BO$99,47,0)</f>
        <v>1048.6300000000001</v>
      </c>
      <c r="AH39" s="595">
        <f>VLOOKUP(A39,[4]CFR20152016_BenchMarkDataReport!$B$3:$BO$99,48,0)</f>
        <v>14239.68</v>
      </c>
      <c r="AI39" s="595">
        <f>VLOOKUP(A39,[4]CFR20152016_BenchMarkDataReport!$B$3:$BO$99,49,0)</f>
        <v>502.33</v>
      </c>
      <c r="AJ39" s="595">
        <f>VLOOKUP(A39,[4]CFR20152016_BenchMarkDataReport!$B$3:$BO$99,50,0)</f>
        <v>11732.87</v>
      </c>
      <c r="AK39" s="595">
        <f>VLOOKUP(A39,[4]CFR20152016_BenchMarkDataReport!$B$3:$BO$99,51,0)</f>
        <v>13847.33</v>
      </c>
      <c r="AL39" s="595">
        <f>VLOOKUP(A39,[4]CFR20152016_BenchMarkDataReport!$B$3:$BO$99,52,0)</f>
        <v>11936.23</v>
      </c>
      <c r="AM39" s="595">
        <f>VLOOKUP(A39,[4]CFR20152016_BenchMarkDataReport!$B$3:$BO$99,53,0)</f>
        <v>26774.46</v>
      </c>
      <c r="AN39" s="595">
        <f>VLOOKUP(A39,[4]CFR20152016_BenchMarkDataReport!$B$3:$BO$99,54,0)</f>
        <v>10175.35</v>
      </c>
      <c r="AO39" s="595">
        <f>VLOOKUP(A39,[4]CFR20152016_BenchMarkDataReport!$B$3:$BO$99,55,0)</f>
        <v>0</v>
      </c>
      <c r="AP39" s="595">
        <f>VLOOKUP(A39,[4]CFR20152016_BenchMarkDataReport!$B$3:$BO$99,56,0)</f>
        <v>8664.84</v>
      </c>
      <c r="AQ39" s="595">
        <f>VLOOKUP(A39,[4]CFR20152016_BenchMarkDataReport!$B$3:$BO$99,57,0)</f>
        <v>5583.43</v>
      </c>
      <c r="AR39" s="595">
        <f>VLOOKUP(A39,[4]CFR20152016_BenchMarkDataReport!$B$3:$BO$99,58,0)</f>
        <v>2724.26</v>
      </c>
      <c r="AS39" s="595">
        <f>VLOOKUP(A39,[4]CFR20152016_BenchMarkDataReport!$B$3:$BO$99,59,0)</f>
        <v>94886.65</v>
      </c>
      <c r="AT39" s="595">
        <f>VLOOKUP(A39,[4]CFR20152016_BenchMarkDataReport!$B$3:$BO$99,60,0)</f>
        <v>16039</v>
      </c>
      <c r="AU39" s="595">
        <f>VLOOKUP(A39,[4]CFR20152016_BenchMarkDataReport!$B$3:$BO$99,61,0)</f>
        <v>51942.29</v>
      </c>
      <c r="AV39" s="595">
        <f>VLOOKUP(A39,[4]CFR20152016_BenchMarkDataReport!$B$3:$BO$99,62,0)</f>
        <v>24777.65</v>
      </c>
      <c r="AW39" s="595">
        <f>VLOOKUP(A39,[4]CFR20152016_BenchMarkDataReport!$B$3:$BO$99,63,0)</f>
        <v>0</v>
      </c>
      <c r="AX39" s="595">
        <f>VLOOKUP(A39,[4]CFR20152016_BenchMarkDataReport!$B$3:$BO$99,64,0)</f>
        <v>0</v>
      </c>
      <c r="AY39" s="595">
        <f>VLOOKUP(A39,[4]CFR20152016_BenchMarkDataReport!$B$3:$BO$99,65,0)</f>
        <v>0</v>
      </c>
      <c r="AZ39" s="595">
        <f>VLOOKUP(A39,[4]CFR20152016_BenchMarkDataReport!$B$3:$BO$99,66,0)</f>
        <v>0</v>
      </c>
      <c r="BA39" s="596">
        <f t="shared" si="0"/>
        <v>1307442.3200000003</v>
      </c>
      <c r="BB39" s="595">
        <f t="shared" si="42"/>
        <v>1343344.32</v>
      </c>
      <c r="BC39" s="601">
        <f t="shared" si="43"/>
        <v>-35901.999999999767</v>
      </c>
      <c r="BD39" s="595">
        <f>VLOOKUP(A39,[4]CFR20152016_BenchMarkDataReport!$B$3:$BO$99,15,0)</f>
        <v>107317</v>
      </c>
      <c r="BE39" s="601">
        <f t="shared" si="1"/>
        <v>71415.000000000233</v>
      </c>
      <c r="BF39" s="76">
        <f>VLOOKUP(A39,'OCT 15 CENSUS'!$B$9:$U$132,20,0)</f>
        <v>270</v>
      </c>
      <c r="BG39" s="73">
        <f>VLOOKUP(A39,'[2]BUDGET SHARE inc ADJUSTMENTS'!$D$4:$M$139,10,0)</f>
        <v>1270313.2745518261</v>
      </c>
      <c r="BH39" s="76">
        <f>VLOOKUP(A39,'12-13 Pupil Data'!A:CI,81,0)</f>
        <v>958.05</v>
      </c>
      <c r="BI39" t="s">
        <v>210</v>
      </c>
      <c r="BJ39" s="44">
        <f t="shared" si="76"/>
        <v>0.82488304340645768</v>
      </c>
      <c r="BK39" s="45">
        <f t="shared" si="77"/>
        <v>3994.3962962962964</v>
      </c>
      <c r="BL39" s="44">
        <f t="shared" si="78"/>
        <v>0</v>
      </c>
      <c r="BM39" s="45">
        <f t="shared" si="79"/>
        <v>0</v>
      </c>
      <c r="BN39" s="44">
        <f t="shared" si="80"/>
        <v>3.2423480066026925E-2</v>
      </c>
      <c r="BO39" s="45">
        <f t="shared" si="81"/>
        <v>157.00677777777778</v>
      </c>
      <c r="BP39" s="44">
        <f t="shared" si="82"/>
        <v>0</v>
      </c>
      <c r="BQ39" s="45">
        <f t="shared" si="83"/>
        <v>0</v>
      </c>
      <c r="BR39" s="44">
        <f t="shared" si="84"/>
        <v>3.7232992427535916E-2</v>
      </c>
      <c r="BS39" s="45">
        <f t="shared" si="85"/>
        <v>180.29625925925924</v>
      </c>
      <c r="BT39" s="44">
        <f t="shared" si="86"/>
        <v>3.8720637404486024E-3</v>
      </c>
      <c r="BU39" s="45">
        <f t="shared" si="87"/>
        <v>18.75</v>
      </c>
      <c r="BV39" s="44">
        <f t="shared" si="88"/>
        <v>0</v>
      </c>
      <c r="BW39" s="45">
        <f t="shared" si="89"/>
        <v>0</v>
      </c>
      <c r="BX39" s="44">
        <f t="shared" si="90"/>
        <v>7.2352025441550635E-3</v>
      </c>
      <c r="BY39" s="45">
        <f t="shared" si="91"/>
        <v>35.035592592592593</v>
      </c>
      <c r="BZ39" s="46">
        <f t="shared" si="92"/>
        <v>3.778025175137362E-3</v>
      </c>
      <c r="CA39" s="47">
        <f t="shared" si="93"/>
        <v>18.294629629629629</v>
      </c>
      <c r="CB39" s="44">
        <f t="shared" si="94"/>
        <v>5.5492314184842958E-3</v>
      </c>
      <c r="CC39" s="48">
        <f t="shared" si="95"/>
        <v>26.871481481481482</v>
      </c>
      <c r="CD39" s="46">
        <f t="shared" si="64"/>
        <v>0.54337481456574277</v>
      </c>
      <c r="CE39" s="49">
        <f t="shared" si="65"/>
        <v>0.52794393254763228</v>
      </c>
      <c r="CF39" s="49">
        <f t="shared" si="66"/>
        <v>0.51383418958439486</v>
      </c>
      <c r="CG39" s="47">
        <f t="shared" si="67"/>
        <v>2556.5045925925924</v>
      </c>
      <c r="CH39" s="44">
        <f t="shared" si="2"/>
        <v>0.20035370415993906</v>
      </c>
      <c r="CI39" s="50">
        <f t="shared" si="3"/>
        <v>0.19466401393523802</v>
      </c>
      <c r="CJ39" s="50">
        <f t="shared" si="4"/>
        <v>0.18946145542194273</v>
      </c>
      <c r="CK39" s="45">
        <f t="shared" si="5"/>
        <v>942.63692592592588</v>
      </c>
      <c r="CL39" s="46">
        <f t="shared" si="6"/>
        <v>2.0352349706115914E-2</v>
      </c>
      <c r="CM39" s="49">
        <f t="shared" si="68"/>
        <v>1.9774379033409287E-2</v>
      </c>
      <c r="CN39" s="49">
        <f t="shared" si="69"/>
        <v>1.9245892222181725E-2</v>
      </c>
      <c r="CO39" s="47">
        <f t="shared" si="70"/>
        <v>95.755037037037042</v>
      </c>
      <c r="CP39" s="44">
        <f t="shared" si="7"/>
        <v>2.9270362472688646E-2</v>
      </c>
      <c r="CQ39" s="50">
        <f t="shared" si="8"/>
        <v>2.8439136037756517E-2</v>
      </c>
      <c r="CR39" s="50">
        <f t="shared" si="71"/>
        <v>2.7679076351772566E-2</v>
      </c>
      <c r="CS39" s="45">
        <f t="shared" si="9"/>
        <v>137.71307407407406</v>
      </c>
      <c r="CT39" s="46">
        <f t="shared" si="10"/>
        <v>0.8039224028106744</v>
      </c>
      <c r="CU39" s="49">
        <f t="shared" si="11"/>
        <v>0.78109243090739156</v>
      </c>
      <c r="CV39" s="49">
        <f t="shared" si="12"/>
        <v>0.76021708269105559</v>
      </c>
      <c r="CW39" s="47">
        <f t="shared" si="13"/>
        <v>3782.3455555555552</v>
      </c>
      <c r="CX39" s="44">
        <f t="shared" si="14"/>
        <v>5.6164885803599617E-3</v>
      </c>
      <c r="CY39" s="50">
        <f t="shared" si="15"/>
        <v>5.3111476289265875E-3</v>
      </c>
      <c r="CZ39" s="48">
        <f t="shared" si="16"/>
        <v>7.4471061009341897</v>
      </c>
      <c r="DA39" s="45">
        <f t="shared" si="17"/>
        <v>26.424814814814813</v>
      </c>
      <c r="DB39" s="51">
        <f t="shared" si="18"/>
        <v>3.7393986971262885E-4</v>
      </c>
      <c r="DC39" s="52">
        <f t="shared" si="19"/>
        <v>1.8604814814814814</v>
      </c>
      <c r="DD39" s="44">
        <f t="shared" si="20"/>
        <v>9.2362019944563882E-3</v>
      </c>
      <c r="DE39" s="50">
        <f t="shared" si="21"/>
        <v>8.7340749689550929E-3</v>
      </c>
      <c r="DF39" s="48">
        <f t="shared" si="22"/>
        <v>12.246615521110591</v>
      </c>
      <c r="DG39" s="45">
        <f t="shared" si="23"/>
        <v>43.455074074074076</v>
      </c>
      <c r="DH39" s="46">
        <f t="shared" si="24"/>
        <v>9.3962884897122491E-3</v>
      </c>
      <c r="DI39" s="49">
        <f t="shared" si="25"/>
        <v>8.8854583462265272E-3</v>
      </c>
      <c r="DJ39" s="47">
        <f t="shared" si="26"/>
        <v>12.45888001670059</v>
      </c>
      <c r="DK39" s="44">
        <f t="shared" si="27"/>
        <v>2.1077052831275957E-2</v>
      </c>
      <c r="DL39" s="50">
        <f t="shared" si="28"/>
        <v>2.0478501873795851E-2</v>
      </c>
      <c r="DM39" s="50">
        <f t="shared" si="29"/>
        <v>1.9931196791005898E-2</v>
      </c>
      <c r="DN39" s="45">
        <f t="shared" si="30"/>
        <v>99.164666666666662</v>
      </c>
      <c r="DO39" s="46">
        <f t="shared" si="31"/>
        <v>6.8210260992958658E-3</v>
      </c>
      <c r="DP39" s="49">
        <f t="shared" si="32"/>
        <v>6.4502003477410761E-3</v>
      </c>
      <c r="DQ39" s="47">
        <f t="shared" si="33"/>
        <v>32.091999999999999</v>
      </c>
      <c r="DR39" s="53">
        <f t="shared" si="34"/>
        <v>7.0634645628307707E-2</v>
      </c>
      <c r="DS39" s="45">
        <f t="shared" si="35"/>
        <v>351.43203703703699</v>
      </c>
      <c r="DT39" s="46">
        <f t="shared" si="96"/>
        <v>2.6765051331133573E-5</v>
      </c>
      <c r="DU39" s="49">
        <f t="shared" si="97"/>
        <v>2.6004971293877034E-5</v>
      </c>
      <c r="DV39" s="49">
        <f t="shared" si="98"/>
        <v>2.5309966695656999E-5</v>
      </c>
      <c r="DW39" s="47">
        <f t="shared" si="99"/>
        <v>0.12592592592592591</v>
      </c>
      <c r="DY39" s="54">
        <f>VLOOKUP(A39,'[3]Barnet Schools'!$E$8:$V$130,17,0)</f>
        <v>34</v>
      </c>
    </row>
    <row r="40" spans="1:129">
      <c r="A40" s="79">
        <v>2027</v>
      </c>
      <c r="B40" s="80">
        <v>10067</v>
      </c>
      <c r="C40" s="573" t="s">
        <v>66</v>
      </c>
      <c r="D40" s="595">
        <f>VLOOKUP(A40,[4]CFR20152016_BenchMarkDataReport!$B$3:$BO$99,18,0)</f>
        <v>1442217</v>
      </c>
      <c r="E40" s="595">
        <f>VLOOKUP(A40,[4]CFR20152016_BenchMarkDataReport!$B$3:$BO$99,19,0)</f>
        <v>0</v>
      </c>
      <c r="F40" s="595">
        <f>VLOOKUP(A40,[4]CFR20152016_BenchMarkDataReport!$B$3:$BO$99,20,0)</f>
        <v>91693</v>
      </c>
      <c r="G40" s="595">
        <f>VLOOKUP(A40,[4]CFR20152016_BenchMarkDataReport!$B$3:$BO$99,21,0)</f>
        <v>0</v>
      </c>
      <c r="H40" s="595">
        <f>VLOOKUP(A40,[4]CFR20152016_BenchMarkDataReport!$B$3:$BO$99,22,0)</f>
        <v>97679.99</v>
      </c>
      <c r="I40" s="595">
        <f>VLOOKUP(A40,[4]CFR20152016_BenchMarkDataReport!$B$3:$BO$99,23,0)</f>
        <v>5190</v>
      </c>
      <c r="J40" s="595">
        <f>VLOOKUP(A40,[4]CFR20152016_BenchMarkDataReport!$B$3:$BO$99,24,0)</f>
        <v>180</v>
      </c>
      <c r="K40" s="595">
        <f>VLOOKUP(A40,[4]CFR20152016_BenchMarkDataReport!$B$3:$BO$99,25,0)</f>
        <v>16927.05</v>
      </c>
      <c r="L40" s="595">
        <f>VLOOKUP(A40,[4]CFR20152016_BenchMarkDataReport!$B$3:$BO$99,26,0)</f>
        <v>81999.78</v>
      </c>
      <c r="M40" s="595">
        <f>VLOOKUP(A40,[4]CFR20152016_BenchMarkDataReport!$B$3:$BO$99,27,0)</f>
        <v>14535</v>
      </c>
      <c r="N40" s="595">
        <f>VLOOKUP(A40,[4]CFR20152016_BenchMarkDataReport!$B$3:$BO$99,28,0)</f>
        <v>1357.23</v>
      </c>
      <c r="O40" s="595">
        <f>VLOOKUP(A40,[4]CFR20152016_BenchMarkDataReport!$B$3:$BO$99,29,0)</f>
        <v>29302.9</v>
      </c>
      <c r="P40" s="595">
        <f>VLOOKUP(A40,[4]CFR20152016_BenchMarkDataReport!$B$3:$BO$99,30,0)</f>
        <v>3700.87</v>
      </c>
      <c r="Q40" s="595">
        <f>VLOOKUP(A40,[4]CFR20152016_BenchMarkDataReport!$B$3:$BO$99,31,0)</f>
        <v>0</v>
      </c>
      <c r="R40" s="595">
        <f>VLOOKUP(A40,[4]CFR20152016_BenchMarkDataReport!$B$3:$BO$99,32,0)</f>
        <v>0</v>
      </c>
      <c r="S40" s="595">
        <f>VLOOKUP(A40,[4]CFR20152016_BenchMarkDataReport!$B$3:$BO$99,33,0)</f>
        <v>0</v>
      </c>
      <c r="T40" s="595">
        <f>VLOOKUP(A40,[4]CFR20152016_BenchMarkDataReport!$B$3:$BO$99,34,0)</f>
        <v>9772.17</v>
      </c>
      <c r="U40" s="595">
        <f>VLOOKUP(A40,[4]CFR20152016_BenchMarkDataReport!$B$3:$BO$99,35,0)</f>
        <v>913620.83</v>
      </c>
      <c r="V40" s="595">
        <f>VLOOKUP(A40,[4]CFR20152016_BenchMarkDataReport!$B$3:$BO$99,36,0)</f>
        <v>5409.18</v>
      </c>
      <c r="W40" s="595">
        <f>VLOOKUP(A40,[4]CFR20152016_BenchMarkDataReport!$B$3:$BO$99,37,0)</f>
        <v>255438.23</v>
      </c>
      <c r="X40" s="595">
        <f>VLOOKUP(A40,[4]CFR20152016_BenchMarkDataReport!$B$3:$BO$99,38,0)</f>
        <v>25852.66</v>
      </c>
      <c r="Y40" s="595">
        <f>VLOOKUP(A40,[4]CFR20152016_BenchMarkDataReport!$B$3:$BO$99,39,0)</f>
        <v>48703.42</v>
      </c>
      <c r="Z40" s="595">
        <f>VLOOKUP(A40,[4]CFR20152016_BenchMarkDataReport!$B$3:$BO$99,40,0)</f>
        <v>0</v>
      </c>
      <c r="AA40" s="595">
        <f>VLOOKUP(A40,[4]CFR20152016_BenchMarkDataReport!$B$3:$BO$99,41,0)</f>
        <v>25299.63</v>
      </c>
      <c r="AB40" s="595">
        <f>VLOOKUP(A40,[4]CFR20152016_BenchMarkDataReport!$B$3:$BO$99,42,0)</f>
        <v>6019.05</v>
      </c>
      <c r="AC40" s="595">
        <f>VLOOKUP(A40,[4]CFR20152016_BenchMarkDataReport!$B$3:$BO$99,43,0)</f>
        <v>4249.6000000000004</v>
      </c>
      <c r="AD40" s="595">
        <f>VLOOKUP(A40,[4]CFR20152016_BenchMarkDataReport!$B$3:$BO$99,44,0)</f>
        <v>15002.96</v>
      </c>
      <c r="AE40" s="595">
        <f>VLOOKUP(A40,[4]CFR20152016_BenchMarkDataReport!$B$3:$BO$99,45,0)</f>
        <v>1491</v>
      </c>
      <c r="AF40" s="595">
        <f>VLOOKUP(A40,[4]CFR20152016_BenchMarkDataReport!$B$3:$BO$99,46,0)</f>
        <v>10946.7</v>
      </c>
      <c r="AG40" s="595">
        <f>VLOOKUP(A40,[4]CFR20152016_BenchMarkDataReport!$B$3:$BO$99,47,0)</f>
        <v>1932.86</v>
      </c>
      <c r="AH40" s="595">
        <f>VLOOKUP(A40,[4]CFR20152016_BenchMarkDataReport!$B$3:$BO$99,48,0)</f>
        <v>20644.099999999999</v>
      </c>
      <c r="AI40" s="595">
        <f>VLOOKUP(A40,[4]CFR20152016_BenchMarkDataReport!$B$3:$BO$99,49,0)</f>
        <v>828.45</v>
      </c>
      <c r="AJ40" s="595">
        <f>VLOOKUP(A40,[4]CFR20152016_BenchMarkDataReport!$B$3:$BO$99,50,0)</f>
        <v>17123.64</v>
      </c>
      <c r="AK40" s="595">
        <f>VLOOKUP(A40,[4]CFR20152016_BenchMarkDataReport!$B$3:$BO$99,51,0)</f>
        <v>13847.33</v>
      </c>
      <c r="AL40" s="595">
        <f>VLOOKUP(A40,[4]CFR20152016_BenchMarkDataReport!$B$3:$BO$99,52,0)</f>
        <v>13418.43</v>
      </c>
      <c r="AM40" s="595">
        <f>VLOOKUP(A40,[4]CFR20152016_BenchMarkDataReport!$B$3:$BO$99,53,0)</f>
        <v>66161.679999999993</v>
      </c>
      <c r="AN40" s="595">
        <f>VLOOKUP(A40,[4]CFR20152016_BenchMarkDataReport!$B$3:$BO$99,54,0)</f>
        <v>14637.14</v>
      </c>
      <c r="AO40" s="595">
        <f>VLOOKUP(A40,[4]CFR20152016_BenchMarkDataReport!$B$3:$BO$99,55,0)</f>
        <v>0</v>
      </c>
      <c r="AP40" s="595">
        <f>VLOOKUP(A40,[4]CFR20152016_BenchMarkDataReport!$B$3:$BO$99,56,0)</f>
        <v>9764.74</v>
      </c>
      <c r="AQ40" s="595">
        <f>VLOOKUP(A40,[4]CFR20152016_BenchMarkDataReport!$B$3:$BO$99,57,0)</f>
        <v>7887.69</v>
      </c>
      <c r="AR40" s="595">
        <f>VLOOKUP(A40,[4]CFR20152016_BenchMarkDataReport!$B$3:$BO$99,58,0)</f>
        <v>12511.82</v>
      </c>
      <c r="AS40" s="595">
        <f>VLOOKUP(A40,[4]CFR20152016_BenchMarkDataReport!$B$3:$BO$99,59,0)</f>
        <v>94883.69</v>
      </c>
      <c r="AT40" s="595">
        <f>VLOOKUP(A40,[4]CFR20152016_BenchMarkDataReport!$B$3:$BO$99,60,0)</f>
        <v>55777.120000000003</v>
      </c>
      <c r="AU40" s="595">
        <f>VLOOKUP(A40,[4]CFR20152016_BenchMarkDataReport!$B$3:$BO$99,61,0)</f>
        <v>141749.39000000001</v>
      </c>
      <c r="AV40" s="595">
        <f>VLOOKUP(A40,[4]CFR20152016_BenchMarkDataReport!$B$3:$BO$99,62,0)</f>
        <v>30694.65</v>
      </c>
      <c r="AW40" s="595">
        <f>VLOOKUP(A40,[4]CFR20152016_BenchMarkDataReport!$B$3:$BO$99,63,0)</f>
        <v>0</v>
      </c>
      <c r="AX40" s="595">
        <f>VLOOKUP(A40,[4]CFR20152016_BenchMarkDataReport!$B$3:$BO$99,64,0)</f>
        <v>0</v>
      </c>
      <c r="AY40" s="595">
        <f>VLOOKUP(A40,[4]CFR20152016_BenchMarkDataReport!$B$3:$BO$99,65,0)</f>
        <v>0</v>
      </c>
      <c r="AZ40" s="595">
        <f>VLOOKUP(A40,[4]CFR20152016_BenchMarkDataReport!$B$3:$BO$99,66,0)</f>
        <v>0</v>
      </c>
      <c r="BA40" s="596">
        <f t="shared" si="0"/>
        <v>1794554.99</v>
      </c>
      <c r="BB40" s="595">
        <f t="shared" si="42"/>
        <v>1813895.9899999998</v>
      </c>
      <c r="BC40" s="601">
        <f t="shared" si="43"/>
        <v>-19340.999999999767</v>
      </c>
      <c r="BD40" s="595">
        <f>VLOOKUP(A40,[4]CFR20152016_BenchMarkDataReport!$B$3:$BO$99,15,0)</f>
        <v>99788</v>
      </c>
      <c r="BE40" s="601">
        <f t="shared" si="1"/>
        <v>80447.000000000233</v>
      </c>
      <c r="BF40" s="76">
        <f>VLOOKUP(A40,'OCT 15 CENSUS'!$B$9:$U$132,20,0)</f>
        <v>355</v>
      </c>
      <c r="BG40" s="73">
        <f>VLOOKUP(A40,'[2]BUDGET SHARE inc ADJUSTMENTS'!$D$4:$M$139,10,0)</f>
        <v>1646961.8555686141</v>
      </c>
      <c r="BH40" s="76">
        <f>VLOOKUP(A40,'12-13 Pupil Data'!A:CI,81,0)</f>
        <v>1864.84</v>
      </c>
      <c r="BI40" t="s">
        <v>210</v>
      </c>
      <c r="BJ40" s="44">
        <f t="shared" si="76"/>
        <v>0.80366275095309281</v>
      </c>
      <c r="BK40" s="45">
        <f t="shared" si="77"/>
        <v>4062.5830985915495</v>
      </c>
      <c r="BL40" s="44">
        <f t="shared" si="78"/>
        <v>0</v>
      </c>
      <c r="BM40" s="45">
        <f t="shared" si="79"/>
        <v>0</v>
      </c>
      <c r="BN40" s="44">
        <f t="shared" si="80"/>
        <v>5.1095118573100957E-2</v>
      </c>
      <c r="BO40" s="45">
        <f t="shared" si="81"/>
        <v>258.29014084507043</v>
      </c>
      <c r="BP40" s="44">
        <f t="shared" si="82"/>
        <v>0</v>
      </c>
      <c r="BQ40" s="45">
        <f t="shared" si="83"/>
        <v>0</v>
      </c>
      <c r="BR40" s="44">
        <f t="shared" si="84"/>
        <v>5.4431316144845469E-2</v>
      </c>
      <c r="BS40" s="45">
        <f t="shared" si="85"/>
        <v>275.15490140845071</v>
      </c>
      <c r="BT40" s="44">
        <f t="shared" si="86"/>
        <v>2.8920818971393016E-3</v>
      </c>
      <c r="BU40" s="45">
        <f t="shared" si="87"/>
        <v>14.619718309859154</v>
      </c>
      <c r="BV40" s="44">
        <f t="shared" si="88"/>
        <v>1.0030341839789484E-4</v>
      </c>
      <c r="BW40" s="45">
        <f t="shared" si="89"/>
        <v>0.50704225352112675</v>
      </c>
      <c r="BX40" s="44">
        <f t="shared" si="90"/>
        <v>9.4324498799560324E-3</v>
      </c>
      <c r="BY40" s="45">
        <f t="shared" si="91"/>
        <v>47.681830985915489</v>
      </c>
      <c r="BZ40" s="46">
        <f t="shared" si="92"/>
        <v>1.6328783549842629E-2</v>
      </c>
      <c r="CA40" s="47">
        <f t="shared" si="93"/>
        <v>82.543380281690148</v>
      </c>
      <c r="CB40" s="44">
        <f t="shared" si="94"/>
        <v>2.0622772891456505E-3</v>
      </c>
      <c r="CC40" s="48">
        <f t="shared" si="95"/>
        <v>10.424985915492957</v>
      </c>
      <c r="CD40" s="46">
        <f t="shared" si="64"/>
        <v>0.59188203218188529</v>
      </c>
      <c r="CE40" s="49">
        <f t="shared" si="65"/>
        <v>0.54320270787578373</v>
      </c>
      <c r="CF40" s="49">
        <f t="shared" si="66"/>
        <v>0.53741070897896415</v>
      </c>
      <c r="CG40" s="47">
        <f t="shared" si="67"/>
        <v>2745.9355774647888</v>
      </c>
      <c r="CH40" s="44">
        <f t="shared" si="2"/>
        <v>0.1550966278522643</v>
      </c>
      <c r="CI40" s="50">
        <f t="shared" si="3"/>
        <v>0.14234070921393163</v>
      </c>
      <c r="CJ40" s="50">
        <f t="shared" si="4"/>
        <v>0.14082297519164813</v>
      </c>
      <c r="CK40" s="45">
        <f t="shared" si="5"/>
        <v>719.54430985915496</v>
      </c>
      <c r="CL40" s="46">
        <f t="shared" si="6"/>
        <v>1.569718200369271E-2</v>
      </c>
      <c r="CM40" s="49">
        <f t="shared" si="68"/>
        <v>1.4406167625991778E-2</v>
      </c>
      <c r="CN40" s="49">
        <f t="shared" si="69"/>
        <v>1.4252559210961155E-2</v>
      </c>
      <c r="CO40" s="47">
        <f t="shared" si="70"/>
        <v>72.824394366197183</v>
      </c>
      <c r="CP40" s="44">
        <f t="shared" si="7"/>
        <v>2.9571674556594468E-2</v>
      </c>
      <c r="CQ40" s="50">
        <f t="shared" si="8"/>
        <v>2.713955285371333E-2</v>
      </c>
      <c r="CR40" s="50">
        <f t="shared" si="71"/>
        <v>2.6850172373995933E-2</v>
      </c>
      <c r="CS40" s="45">
        <f t="shared" si="9"/>
        <v>137.1927323943662</v>
      </c>
      <c r="CT40" s="46">
        <f t="shared" si="10"/>
        <v>0.77374223676846421</v>
      </c>
      <c r="CU40" s="49">
        <f t="shared" si="11"/>
        <v>0.71010582406282219</v>
      </c>
      <c r="CV40" s="49">
        <f t="shared" si="12"/>
        <v>0.70253418995650341</v>
      </c>
      <c r="CW40" s="47">
        <f t="shared" si="13"/>
        <v>3589.6449295774642</v>
      </c>
      <c r="CX40" s="44">
        <f t="shared" si="14"/>
        <v>6.6466020223769229E-3</v>
      </c>
      <c r="CY40" s="50">
        <f t="shared" si="15"/>
        <v>6.0349105242798419E-3</v>
      </c>
      <c r="CZ40" s="48">
        <f t="shared" si="16"/>
        <v>5.8700478325218253</v>
      </c>
      <c r="DA40" s="45">
        <f t="shared" si="17"/>
        <v>30.835774647887327</v>
      </c>
      <c r="DB40" s="51">
        <f t="shared" si="18"/>
        <v>4.5672409254292475E-4</v>
      </c>
      <c r="DC40" s="52">
        <f t="shared" si="19"/>
        <v>2.3336619718309861</v>
      </c>
      <c r="DD40" s="44">
        <f t="shared" si="20"/>
        <v>1.0397107827423275E-2</v>
      </c>
      <c r="DE40" s="50">
        <f t="shared" si="21"/>
        <v>9.4402546201119292E-3</v>
      </c>
      <c r="DF40" s="48">
        <f t="shared" si="22"/>
        <v>9.1823641706527095</v>
      </c>
      <c r="DG40" s="45">
        <f t="shared" si="23"/>
        <v>48.235605633802813</v>
      </c>
      <c r="DH40" s="46">
        <f t="shared" si="24"/>
        <v>8.1473835927835039E-3</v>
      </c>
      <c r="DI40" s="49">
        <f t="shared" si="25"/>
        <v>7.3975741023607437E-3</v>
      </c>
      <c r="DJ40" s="47">
        <f t="shared" si="26"/>
        <v>7.1954859398125315</v>
      </c>
      <c r="DK40" s="44">
        <f t="shared" si="27"/>
        <v>4.0171956488426169E-2</v>
      </c>
      <c r="DL40" s="50">
        <f t="shared" si="28"/>
        <v>3.6868014838597946E-2</v>
      </c>
      <c r="DM40" s="50">
        <f t="shared" si="29"/>
        <v>3.6474902841590162E-2</v>
      </c>
      <c r="DN40" s="45">
        <f t="shared" si="30"/>
        <v>186.37092957746478</v>
      </c>
      <c r="DO40" s="46">
        <f t="shared" si="31"/>
        <v>5.9289411998122571E-3</v>
      </c>
      <c r="DP40" s="49">
        <f t="shared" si="32"/>
        <v>5.3832965362032702E-3</v>
      </c>
      <c r="DQ40" s="47">
        <f t="shared" si="33"/>
        <v>27.506309859154928</v>
      </c>
      <c r="DR40" s="53">
        <f t="shared" si="34"/>
        <v>5.2309333348269885E-2</v>
      </c>
      <c r="DS40" s="45">
        <f t="shared" si="35"/>
        <v>267.27800000000002</v>
      </c>
      <c r="DT40" s="46">
        <f t="shared" si="96"/>
        <v>4.4931216682277976E-5</v>
      </c>
      <c r="DU40" s="49">
        <f t="shared" si="97"/>
        <v>4.1235849785801217E-5</v>
      </c>
      <c r="DV40" s="49">
        <f t="shared" si="98"/>
        <v>4.0796164944385821E-5</v>
      </c>
      <c r="DW40" s="47">
        <f t="shared" si="99"/>
        <v>0.20845070422535211</v>
      </c>
      <c r="DY40" s="54">
        <f>VLOOKUP(A40,'[3]Barnet Schools'!$E$8:$V$130,17,0)</f>
        <v>74</v>
      </c>
    </row>
    <row r="41" spans="1:129">
      <c r="A41" s="79">
        <v>2029</v>
      </c>
      <c r="B41" s="80">
        <v>10069</v>
      </c>
      <c r="C41" s="573" t="s">
        <v>67</v>
      </c>
      <c r="D41" s="595">
        <f>VLOOKUP(A41,[4]CFR20152016_BenchMarkDataReport!$B$3:$BO$99,18,0)</f>
        <v>2232158</v>
      </c>
      <c r="E41" s="595">
        <f>VLOOKUP(A41,[4]CFR20152016_BenchMarkDataReport!$B$3:$BO$99,19,0)</f>
        <v>0</v>
      </c>
      <c r="F41" s="595">
        <f>VLOOKUP(A41,[4]CFR20152016_BenchMarkDataReport!$B$3:$BO$99,20,0)</f>
        <v>51026</v>
      </c>
      <c r="G41" s="595">
        <f>VLOOKUP(A41,[4]CFR20152016_BenchMarkDataReport!$B$3:$BO$99,21,0)</f>
        <v>0</v>
      </c>
      <c r="H41" s="595">
        <f>VLOOKUP(A41,[4]CFR20152016_BenchMarkDataReport!$B$3:$BO$99,22,0)</f>
        <v>292570</v>
      </c>
      <c r="I41" s="595">
        <f>VLOOKUP(A41,[4]CFR20152016_BenchMarkDataReport!$B$3:$BO$99,23,0)</f>
        <v>6035</v>
      </c>
      <c r="J41" s="595">
        <f>VLOOKUP(A41,[4]CFR20152016_BenchMarkDataReport!$B$3:$BO$99,24,0)</f>
        <v>1931</v>
      </c>
      <c r="K41" s="595">
        <f>VLOOKUP(A41,[4]CFR20152016_BenchMarkDataReport!$B$3:$BO$99,25,0)</f>
        <v>20554.23</v>
      </c>
      <c r="L41" s="595">
        <f>VLOOKUP(A41,[4]CFR20152016_BenchMarkDataReport!$B$3:$BO$99,26,0)</f>
        <v>29901.45</v>
      </c>
      <c r="M41" s="595">
        <f>VLOOKUP(A41,[4]CFR20152016_BenchMarkDataReport!$B$3:$BO$99,27,0)</f>
        <v>0</v>
      </c>
      <c r="N41" s="595">
        <f>VLOOKUP(A41,[4]CFR20152016_BenchMarkDataReport!$B$3:$BO$99,28,0)</f>
        <v>0</v>
      </c>
      <c r="O41" s="595">
        <f>VLOOKUP(A41,[4]CFR20152016_BenchMarkDataReport!$B$3:$BO$99,29,0)</f>
        <v>23512.31</v>
      </c>
      <c r="P41" s="595">
        <f>VLOOKUP(A41,[4]CFR20152016_BenchMarkDataReport!$B$3:$BO$99,30,0)</f>
        <v>2414.84</v>
      </c>
      <c r="Q41" s="595">
        <f>VLOOKUP(A41,[4]CFR20152016_BenchMarkDataReport!$B$3:$BO$99,31,0)</f>
        <v>0</v>
      </c>
      <c r="R41" s="595">
        <f>VLOOKUP(A41,[4]CFR20152016_BenchMarkDataReport!$B$3:$BO$99,32,0)</f>
        <v>0</v>
      </c>
      <c r="S41" s="595">
        <f>VLOOKUP(A41,[4]CFR20152016_BenchMarkDataReport!$B$3:$BO$99,33,0)</f>
        <v>0</v>
      </c>
      <c r="T41" s="595">
        <f>VLOOKUP(A41,[4]CFR20152016_BenchMarkDataReport!$B$3:$BO$99,34,0)</f>
        <v>26771.91</v>
      </c>
      <c r="U41" s="595">
        <f>VLOOKUP(A41,[4]CFR20152016_BenchMarkDataReport!$B$3:$BO$99,35,0)</f>
        <v>1089358.54</v>
      </c>
      <c r="V41" s="595">
        <f>VLOOKUP(A41,[4]CFR20152016_BenchMarkDataReport!$B$3:$BO$99,36,0)</f>
        <v>0</v>
      </c>
      <c r="W41" s="595">
        <f>VLOOKUP(A41,[4]CFR20152016_BenchMarkDataReport!$B$3:$BO$99,37,0)</f>
        <v>568721.03</v>
      </c>
      <c r="X41" s="595">
        <f>VLOOKUP(A41,[4]CFR20152016_BenchMarkDataReport!$B$3:$BO$99,38,0)</f>
        <v>106966.21</v>
      </c>
      <c r="Y41" s="595">
        <f>VLOOKUP(A41,[4]CFR20152016_BenchMarkDataReport!$B$3:$BO$99,39,0)</f>
        <v>85123.39</v>
      </c>
      <c r="Z41" s="595">
        <f>VLOOKUP(A41,[4]CFR20152016_BenchMarkDataReport!$B$3:$BO$99,40,0)</f>
        <v>0</v>
      </c>
      <c r="AA41" s="595">
        <f>VLOOKUP(A41,[4]CFR20152016_BenchMarkDataReport!$B$3:$BO$99,41,0)</f>
        <v>95637.61</v>
      </c>
      <c r="AB41" s="595">
        <f>VLOOKUP(A41,[4]CFR20152016_BenchMarkDataReport!$B$3:$BO$99,42,0)</f>
        <v>10121.57</v>
      </c>
      <c r="AC41" s="595">
        <f>VLOOKUP(A41,[4]CFR20152016_BenchMarkDataReport!$B$3:$BO$99,43,0)</f>
        <v>9117.39</v>
      </c>
      <c r="AD41" s="595">
        <f>VLOOKUP(A41,[4]CFR20152016_BenchMarkDataReport!$B$3:$BO$99,44,0)</f>
        <v>15408.63</v>
      </c>
      <c r="AE41" s="595">
        <f>VLOOKUP(A41,[4]CFR20152016_BenchMarkDataReport!$B$3:$BO$99,45,0)</f>
        <v>2028.6</v>
      </c>
      <c r="AF41" s="595">
        <f>VLOOKUP(A41,[4]CFR20152016_BenchMarkDataReport!$B$3:$BO$99,46,0)</f>
        <v>80629.990000000005</v>
      </c>
      <c r="AG41" s="595">
        <f>VLOOKUP(A41,[4]CFR20152016_BenchMarkDataReport!$B$3:$BO$99,47,0)</f>
        <v>318.38</v>
      </c>
      <c r="AH41" s="595">
        <f>VLOOKUP(A41,[4]CFR20152016_BenchMarkDataReport!$B$3:$BO$99,48,0)</f>
        <v>4957.78</v>
      </c>
      <c r="AI41" s="595">
        <f>VLOOKUP(A41,[4]CFR20152016_BenchMarkDataReport!$B$3:$BO$99,49,0)</f>
        <v>8037.36</v>
      </c>
      <c r="AJ41" s="595">
        <f>VLOOKUP(A41,[4]CFR20152016_BenchMarkDataReport!$B$3:$BO$99,50,0)</f>
        <v>27388.240000000002</v>
      </c>
      <c r="AK41" s="595">
        <f>VLOOKUP(A41,[4]CFR20152016_BenchMarkDataReport!$B$3:$BO$99,51,0)</f>
        <v>18629.599999999999</v>
      </c>
      <c r="AL41" s="595">
        <f>VLOOKUP(A41,[4]CFR20152016_BenchMarkDataReport!$B$3:$BO$99,52,0)</f>
        <v>16041.93</v>
      </c>
      <c r="AM41" s="595">
        <f>VLOOKUP(A41,[4]CFR20152016_BenchMarkDataReport!$B$3:$BO$99,53,0)</f>
        <v>140852.24</v>
      </c>
      <c r="AN41" s="595">
        <f>VLOOKUP(A41,[4]CFR20152016_BenchMarkDataReport!$B$3:$BO$99,54,0)</f>
        <v>21212.6</v>
      </c>
      <c r="AO41" s="595">
        <f>VLOOKUP(A41,[4]CFR20152016_BenchMarkDataReport!$B$3:$BO$99,55,0)</f>
        <v>0</v>
      </c>
      <c r="AP41" s="595">
        <f>VLOOKUP(A41,[4]CFR20152016_BenchMarkDataReport!$B$3:$BO$99,56,0)</f>
        <v>16120.6</v>
      </c>
      <c r="AQ41" s="595">
        <f>VLOOKUP(A41,[4]CFR20152016_BenchMarkDataReport!$B$3:$BO$99,57,0)</f>
        <v>9441.84</v>
      </c>
      <c r="AR41" s="595">
        <f>VLOOKUP(A41,[4]CFR20152016_BenchMarkDataReport!$B$3:$BO$99,58,0)</f>
        <v>34891.199999999997</v>
      </c>
      <c r="AS41" s="595">
        <f>VLOOKUP(A41,[4]CFR20152016_BenchMarkDataReport!$B$3:$BO$99,59,0)</f>
        <v>111012.47</v>
      </c>
      <c r="AT41" s="595">
        <f>VLOOKUP(A41,[4]CFR20152016_BenchMarkDataReport!$B$3:$BO$99,60,0)</f>
        <v>148047.47</v>
      </c>
      <c r="AU41" s="595">
        <f>VLOOKUP(A41,[4]CFR20152016_BenchMarkDataReport!$B$3:$BO$99,61,0)</f>
        <v>195326.58</v>
      </c>
      <c r="AV41" s="595">
        <f>VLOOKUP(A41,[4]CFR20152016_BenchMarkDataReport!$B$3:$BO$99,62,0)</f>
        <v>44458.49</v>
      </c>
      <c r="AW41" s="595">
        <f>VLOOKUP(A41,[4]CFR20152016_BenchMarkDataReport!$B$3:$BO$99,63,0)</f>
        <v>0</v>
      </c>
      <c r="AX41" s="595">
        <f>VLOOKUP(A41,[4]CFR20152016_BenchMarkDataReport!$B$3:$BO$99,64,0)</f>
        <v>24050</v>
      </c>
      <c r="AY41" s="595">
        <f>VLOOKUP(A41,[4]CFR20152016_BenchMarkDataReport!$B$3:$BO$99,65,0)</f>
        <v>0</v>
      </c>
      <c r="AZ41" s="595">
        <f>VLOOKUP(A41,[4]CFR20152016_BenchMarkDataReport!$B$3:$BO$99,66,0)</f>
        <v>0</v>
      </c>
      <c r="BA41" s="596">
        <f t="shared" si="0"/>
        <v>2686874.74</v>
      </c>
      <c r="BB41" s="595">
        <f t="shared" si="42"/>
        <v>2883899.7400000012</v>
      </c>
      <c r="BC41" s="601">
        <f t="shared" si="43"/>
        <v>-197025.00000000093</v>
      </c>
      <c r="BD41" s="595">
        <f>VLOOKUP(A41,[4]CFR20152016_BenchMarkDataReport!$B$3:$BO$99,15,0)</f>
        <v>241495</v>
      </c>
      <c r="BE41" s="601">
        <f t="shared" si="1"/>
        <v>44469.999999999069</v>
      </c>
      <c r="BF41" s="76">
        <f>VLOOKUP(A41,'OCT 15 CENSUS'!$B$9:$U$132,20,0)</f>
        <v>472</v>
      </c>
      <c r="BG41" s="73">
        <f>VLOOKUP(A41,'[2]BUDGET SHARE inc ADJUSTMENTS'!$D$4:$M$139,10,0)</f>
        <v>2603992.013389796</v>
      </c>
      <c r="BH41" s="76">
        <f>VLOOKUP(A41,'12-13 Pupil Data'!A:CI,81,0)</f>
        <v>2744</v>
      </c>
      <c r="BI41" t="s">
        <v>210</v>
      </c>
      <c r="BJ41" s="44">
        <f t="shared" si="76"/>
        <v>0.83076369983663612</v>
      </c>
      <c r="BK41" s="45">
        <f t="shared" si="77"/>
        <v>4729.1483050847455</v>
      </c>
      <c r="BL41" s="44">
        <f t="shared" si="78"/>
        <v>0</v>
      </c>
      <c r="BM41" s="45">
        <f t="shared" si="79"/>
        <v>0</v>
      </c>
      <c r="BN41" s="44">
        <f t="shared" si="80"/>
        <v>1.8990836915605526E-2</v>
      </c>
      <c r="BO41" s="45">
        <f t="shared" si="81"/>
        <v>108.10593220338983</v>
      </c>
      <c r="BP41" s="44">
        <f t="shared" si="82"/>
        <v>0</v>
      </c>
      <c r="BQ41" s="45">
        <f t="shared" si="83"/>
        <v>0</v>
      </c>
      <c r="BR41" s="44">
        <f t="shared" si="84"/>
        <v>0.10888858927603003</v>
      </c>
      <c r="BS41" s="45">
        <f t="shared" si="85"/>
        <v>619.85169491525426</v>
      </c>
      <c r="BT41" s="44">
        <f t="shared" si="86"/>
        <v>2.2461039624050356E-3</v>
      </c>
      <c r="BU41" s="45">
        <f t="shared" si="87"/>
        <v>12.786016949152541</v>
      </c>
      <c r="BV41" s="44">
        <f t="shared" si="88"/>
        <v>7.1867883204707929E-4</v>
      </c>
      <c r="BW41" s="45">
        <f t="shared" si="89"/>
        <v>4.0911016949152543</v>
      </c>
      <c r="BX41" s="44">
        <f t="shared" si="90"/>
        <v>7.6498653599311435E-3</v>
      </c>
      <c r="BY41" s="45">
        <f t="shared" si="91"/>
        <v>43.547097457627117</v>
      </c>
      <c r="BZ41" s="46">
        <f t="shared" si="92"/>
        <v>8.7508024285493854E-3</v>
      </c>
      <c r="CA41" s="47">
        <f t="shared" si="93"/>
        <v>49.814216101694917</v>
      </c>
      <c r="CB41" s="44">
        <f t="shared" si="94"/>
        <v>8.9875421583664888E-4</v>
      </c>
      <c r="CC41" s="48">
        <f t="shared" si="95"/>
        <v>5.116186440677966</v>
      </c>
      <c r="CD41" s="46">
        <f t="shared" si="64"/>
        <v>0.47519577772789834</v>
      </c>
      <c r="CE41" s="49">
        <f t="shared" si="65"/>
        <v>0.46053728950535294</v>
      </c>
      <c r="CF41" s="49">
        <f t="shared" si="66"/>
        <v>0.42907386579257417</v>
      </c>
      <c r="CG41" s="47">
        <f t="shared" si="67"/>
        <v>2621.6229025423727</v>
      </c>
      <c r="CH41" s="44">
        <f t="shared" si="2"/>
        <v>0.21840352315814388</v>
      </c>
      <c r="CI41" s="50">
        <f t="shared" si="3"/>
        <v>0.21166637265717864</v>
      </c>
      <c r="CJ41" s="50">
        <f t="shared" si="4"/>
        <v>0.19720554848415078</v>
      </c>
      <c r="CK41" s="45">
        <f t="shared" si="5"/>
        <v>1204.9174364406781</v>
      </c>
      <c r="CL41" s="46">
        <f t="shared" si="6"/>
        <v>4.1077779597624306E-2</v>
      </c>
      <c r="CM41" s="49">
        <f t="shared" si="68"/>
        <v>3.9810642605542526E-2</v>
      </c>
      <c r="CN41" s="49">
        <f t="shared" si="69"/>
        <v>3.7090821333476721E-2</v>
      </c>
      <c r="CO41" s="47">
        <f t="shared" si="70"/>
        <v>226.62332627118644</v>
      </c>
      <c r="CP41" s="44">
        <f t="shared" si="7"/>
        <v>3.2689574147037805E-2</v>
      </c>
      <c r="CQ41" s="50">
        <f t="shared" si="8"/>
        <v>3.168119031853342E-2</v>
      </c>
      <c r="CR41" s="50">
        <f t="shared" si="71"/>
        <v>2.9516764684752863E-2</v>
      </c>
      <c r="CS41" s="45">
        <f t="shared" si="9"/>
        <v>180.34616525423729</v>
      </c>
      <c r="CT41" s="46">
        <f t="shared" si="10"/>
        <v>0.7472399185537475</v>
      </c>
      <c r="CU41" s="49">
        <f t="shared" si="11"/>
        <v>0.7241896136922259</v>
      </c>
      <c r="CV41" s="49">
        <f t="shared" si="12"/>
        <v>0.67471374022177322</v>
      </c>
      <c r="CW41" s="47">
        <f t="shared" si="13"/>
        <v>4122.4719915254236</v>
      </c>
      <c r="CX41" s="44">
        <f t="shared" si="14"/>
        <v>3.0963992817719277E-2</v>
      </c>
      <c r="CY41" s="50">
        <f t="shared" si="15"/>
        <v>2.795866613587613E-2</v>
      </c>
      <c r="CZ41" s="48">
        <f t="shared" si="16"/>
        <v>29.384107142857143</v>
      </c>
      <c r="DA41" s="45">
        <f t="shared" si="17"/>
        <v>170.82625000000002</v>
      </c>
      <c r="DB41" s="51">
        <f t="shared" si="18"/>
        <v>2.7869762213023385E-3</v>
      </c>
      <c r="DC41" s="52">
        <f t="shared" si="19"/>
        <v>17.028305084745764</v>
      </c>
      <c r="DD41" s="44">
        <f t="shared" si="20"/>
        <v>1.0517789555101915E-2</v>
      </c>
      <c r="DE41" s="50">
        <f t="shared" si="21"/>
        <v>9.4969459652574431E-3</v>
      </c>
      <c r="DF41" s="48">
        <f t="shared" si="22"/>
        <v>9.9811370262390682</v>
      </c>
      <c r="DG41" s="45">
        <f t="shared" si="23"/>
        <v>58.025932203389836</v>
      </c>
      <c r="DH41" s="46">
        <f t="shared" si="24"/>
        <v>6.16051428633881E-3</v>
      </c>
      <c r="DI41" s="49">
        <f t="shared" si="25"/>
        <v>5.5625824218147038E-3</v>
      </c>
      <c r="DJ41" s="47">
        <f t="shared" si="26"/>
        <v>5.8461844023323613</v>
      </c>
      <c r="DK41" s="44">
        <f t="shared" si="27"/>
        <v>5.4090887865912811E-2</v>
      </c>
      <c r="DL41" s="50">
        <f t="shared" si="28"/>
        <v>5.2422332125538526E-2</v>
      </c>
      <c r="DM41" s="50">
        <f t="shared" si="29"/>
        <v>4.8840893477108169E-2</v>
      </c>
      <c r="DN41" s="45">
        <f t="shared" si="30"/>
        <v>298.41576271186437</v>
      </c>
      <c r="DO41" s="46">
        <f t="shared" si="31"/>
        <v>6.1907255925162013E-3</v>
      </c>
      <c r="DP41" s="49">
        <f t="shared" si="32"/>
        <v>5.5898614561406337E-3</v>
      </c>
      <c r="DQ41" s="47">
        <f t="shared" si="33"/>
        <v>34.153813559322032</v>
      </c>
      <c r="DR41" s="53">
        <f t="shared" si="34"/>
        <v>3.8493872883389478E-2</v>
      </c>
      <c r="DS41" s="45">
        <f t="shared" si="35"/>
        <v>235.19591101694917</v>
      </c>
      <c r="DT41" s="46">
        <f t="shared" si="96"/>
        <v>8.2949563166600466E-5</v>
      </c>
      <c r="DU41" s="49">
        <f t="shared" si="97"/>
        <v>8.0390796334629268E-5</v>
      </c>
      <c r="DV41" s="49">
        <f t="shared" si="98"/>
        <v>7.4898581599095368E-5</v>
      </c>
      <c r="DW41" s="47">
        <f t="shared" si="99"/>
        <v>0.4576271186440678</v>
      </c>
      <c r="DY41" s="54">
        <f>VLOOKUP(A41,'[3]Barnet Schools'!$E$8:$V$130,17,0)</f>
        <v>216</v>
      </c>
    </row>
    <row r="42" spans="1:129">
      <c r="A42" s="79">
        <v>3516</v>
      </c>
      <c r="B42" s="80">
        <v>10121</v>
      </c>
      <c r="C42" s="573" t="s">
        <v>69</v>
      </c>
      <c r="D42" s="595">
        <f>VLOOKUP(A42,[4]CFR20152016_BenchMarkDataReport!$B$3:$BO$99,18,0)</f>
        <v>922708</v>
      </c>
      <c r="E42" s="595">
        <f>VLOOKUP(A42,[4]CFR20152016_BenchMarkDataReport!$B$3:$BO$99,19,0)</f>
        <v>0</v>
      </c>
      <c r="F42" s="595">
        <f>VLOOKUP(A42,[4]CFR20152016_BenchMarkDataReport!$B$3:$BO$99,20,0)</f>
        <v>61336</v>
      </c>
      <c r="G42" s="595">
        <f>VLOOKUP(A42,[4]CFR20152016_BenchMarkDataReport!$B$3:$BO$99,21,0)</f>
        <v>0</v>
      </c>
      <c r="H42" s="595">
        <f>VLOOKUP(A42,[4]CFR20152016_BenchMarkDataReport!$B$3:$BO$99,22,0)</f>
        <v>23120</v>
      </c>
      <c r="I42" s="595">
        <f>VLOOKUP(A42,[4]CFR20152016_BenchMarkDataReport!$B$3:$BO$99,23,0)</f>
        <v>11175</v>
      </c>
      <c r="J42" s="595">
        <f>VLOOKUP(A42,[4]CFR20152016_BenchMarkDataReport!$B$3:$BO$99,24,0)</f>
        <v>1884.4</v>
      </c>
      <c r="K42" s="595">
        <f>VLOOKUP(A42,[4]CFR20152016_BenchMarkDataReport!$B$3:$BO$99,25,0)</f>
        <v>2971.68</v>
      </c>
      <c r="L42" s="595">
        <f>VLOOKUP(A42,[4]CFR20152016_BenchMarkDataReport!$B$3:$BO$99,26,0)</f>
        <v>33947.65</v>
      </c>
      <c r="M42" s="595">
        <f>VLOOKUP(A42,[4]CFR20152016_BenchMarkDataReport!$B$3:$BO$99,27,0)</f>
        <v>0</v>
      </c>
      <c r="N42" s="595">
        <f>VLOOKUP(A42,[4]CFR20152016_BenchMarkDataReport!$B$3:$BO$99,28,0)</f>
        <v>0</v>
      </c>
      <c r="O42" s="595">
        <f>VLOOKUP(A42,[4]CFR20152016_BenchMarkDataReport!$B$3:$BO$99,29,0)</f>
        <v>13006.95</v>
      </c>
      <c r="P42" s="595">
        <f>VLOOKUP(A42,[4]CFR20152016_BenchMarkDataReport!$B$3:$BO$99,30,0)</f>
        <v>62642.42</v>
      </c>
      <c r="Q42" s="595">
        <f>VLOOKUP(A42,[4]CFR20152016_BenchMarkDataReport!$B$3:$BO$99,31,0)</f>
        <v>0</v>
      </c>
      <c r="R42" s="595">
        <f>VLOOKUP(A42,[4]CFR20152016_BenchMarkDataReport!$B$3:$BO$99,32,0)</f>
        <v>0</v>
      </c>
      <c r="S42" s="595">
        <f>VLOOKUP(A42,[4]CFR20152016_BenchMarkDataReport!$B$3:$BO$99,33,0)</f>
        <v>0</v>
      </c>
      <c r="T42" s="595">
        <f>VLOOKUP(A42,[4]CFR20152016_BenchMarkDataReport!$B$3:$BO$99,34,0)</f>
        <v>19628.580000000002</v>
      </c>
      <c r="U42" s="595">
        <f>VLOOKUP(A42,[4]CFR20152016_BenchMarkDataReport!$B$3:$BO$99,35,0)</f>
        <v>574430.92000000004</v>
      </c>
      <c r="V42" s="595">
        <f>VLOOKUP(A42,[4]CFR20152016_BenchMarkDataReport!$B$3:$BO$99,36,0)</f>
        <v>11254.47</v>
      </c>
      <c r="W42" s="595">
        <f>VLOOKUP(A42,[4]CFR20152016_BenchMarkDataReport!$B$3:$BO$99,37,0)</f>
        <v>232160.96</v>
      </c>
      <c r="X42" s="595">
        <f>VLOOKUP(A42,[4]CFR20152016_BenchMarkDataReport!$B$3:$BO$99,38,0)</f>
        <v>24199.56</v>
      </c>
      <c r="Y42" s="595">
        <f>VLOOKUP(A42,[4]CFR20152016_BenchMarkDataReport!$B$3:$BO$99,39,0)</f>
        <v>72378.679999999993</v>
      </c>
      <c r="Z42" s="595">
        <f>VLOOKUP(A42,[4]CFR20152016_BenchMarkDataReport!$B$3:$BO$99,40,0)</f>
        <v>0</v>
      </c>
      <c r="AA42" s="595">
        <f>VLOOKUP(A42,[4]CFR20152016_BenchMarkDataReport!$B$3:$BO$99,41,0)</f>
        <v>17090.310000000001</v>
      </c>
      <c r="AB42" s="595">
        <f>VLOOKUP(A42,[4]CFR20152016_BenchMarkDataReport!$B$3:$BO$99,42,0)</f>
        <v>3290</v>
      </c>
      <c r="AC42" s="595">
        <f>VLOOKUP(A42,[4]CFR20152016_BenchMarkDataReport!$B$3:$BO$99,43,0)</f>
        <v>798.37</v>
      </c>
      <c r="AD42" s="595">
        <f>VLOOKUP(A42,[4]CFR20152016_BenchMarkDataReport!$B$3:$BO$99,44,0)</f>
        <v>348</v>
      </c>
      <c r="AE42" s="595">
        <f>VLOOKUP(A42,[4]CFR20152016_BenchMarkDataReport!$B$3:$BO$99,45,0)</f>
        <v>5411.22</v>
      </c>
      <c r="AF42" s="595">
        <f>VLOOKUP(A42,[4]CFR20152016_BenchMarkDataReport!$B$3:$BO$99,46,0)</f>
        <v>3240.68</v>
      </c>
      <c r="AG42" s="595">
        <f>VLOOKUP(A42,[4]CFR20152016_BenchMarkDataReport!$B$3:$BO$99,47,0)</f>
        <v>1875</v>
      </c>
      <c r="AH42" s="595">
        <f>VLOOKUP(A42,[4]CFR20152016_BenchMarkDataReport!$B$3:$BO$99,48,0)</f>
        <v>29314.82</v>
      </c>
      <c r="AI42" s="595">
        <f>VLOOKUP(A42,[4]CFR20152016_BenchMarkDataReport!$B$3:$BO$99,49,0)</f>
        <v>5221.0200000000004</v>
      </c>
      <c r="AJ42" s="595">
        <f>VLOOKUP(A42,[4]CFR20152016_BenchMarkDataReport!$B$3:$BO$99,50,0)</f>
        <v>14709.8</v>
      </c>
      <c r="AK42" s="595">
        <f>VLOOKUP(A42,[4]CFR20152016_BenchMarkDataReport!$B$3:$BO$99,51,0)</f>
        <v>0</v>
      </c>
      <c r="AL42" s="595">
        <f>VLOOKUP(A42,[4]CFR20152016_BenchMarkDataReport!$B$3:$BO$99,52,0)</f>
        <v>8464.1</v>
      </c>
      <c r="AM42" s="595">
        <f>VLOOKUP(A42,[4]CFR20152016_BenchMarkDataReport!$B$3:$BO$99,53,0)</f>
        <v>50424.87</v>
      </c>
      <c r="AN42" s="595">
        <f>VLOOKUP(A42,[4]CFR20152016_BenchMarkDataReport!$B$3:$BO$99,54,0)</f>
        <v>7737.83</v>
      </c>
      <c r="AO42" s="595">
        <f>VLOOKUP(A42,[4]CFR20152016_BenchMarkDataReport!$B$3:$BO$99,55,0)</f>
        <v>0</v>
      </c>
      <c r="AP42" s="595">
        <f>VLOOKUP(A42,[4]CFR20152016_BenchMarkDataReport!$B$3:$BO$99,56,0)</f>
        <v>2050.9499999999998</v>
      </c>
      <c r="AQ42" s="595">
        <f>VLOOKUP(A42,[4]CFR20152016_BenchMarkDataReport!$B$3:$BO$99,57,0)</f>
        <v>9149.7800000000007</v>
      </c>
      <c r="AR42" s="595">
        <f>VLOOKUP(A42,[4]CFR20152016_BenchMarkDataReport!$B$3:$BO$99,58,0)</f>
        <v>1067.68</v>
      </c>
      <c r="AS42" s="595">
        <f>VLOOKUP(A42,[4]CFR20152016_BenchMarkDataReport!$B$3:$BO$99,59,0)</f>
        <v>89104.05</v>
      </c>
      <c r="AT42" s="595">
        <f>VLOOKUP(A42,[4]CFR20152016_BenchMarkDataReport!$B$3:$BO$99,60,0)</f>
        <v>0</v>
      </c>
      <c r="AU42" s="595">
        <f>VLOOKUP(A42,[4]CFR20152016_BenchMarkDataReport!$B$3:$BO$99,61,0)</f>
        <v>21315</v>
      </c>
      <c r="AV42" s="595">
        <f>VLOOKUP(A42,[4]CFR20152016_BenchMarkDataReport!$B$3:$BO$99,62,0)</f>
        <v>34315.61</v>
      </c>
      <c r="AW42" s="595">
        <f>VLOOKUP(A42,[4]CFR20152016_BenchMarkDataReport!$B$3:$BO$99,63,0)</f>
        <v>0</v>
      </c>
      <c r="AX42" s="595">
        <f>VLOOKUP(A42,[4]CFR20152016_BenchMarkDataReport!$B$3:$BO$99,64,0)</f>
        <v>0</v>
      </c>
      <c r="AY42" s="595">
        <f>VLOOKUP(A42,[4]CFR20152016_BenchMarkDataReport!$B$3:$BO$99,65,0)</f>
        <v>0</v>
      </c>
      <c r="AZ42" s="595">
        <f>VLOOKUP(A42,[4]CFR20152016_BenchMarkDataReport!$B$3:$BO$99,66,0)</f>
        <v>0</v>
      </c>
      <c r="BA42" s="596">
        <f t="shared" si="0"/>
        <v>1152420.68</v>
      </c>
      <c r="BB42" s="595">
        <f t="shared" si="42"/>
        <v>1219353.6800000004</v>
      </c>
      <c r="BC42" s="601">
        <f t="shared" si="43"/>
        <v>-66933.000000000466</v>
      </c>
      <c r="BD42" s="595">
        <f>VLOOKUP(A42,[4]CFR20152016_BenchMarkDataReport!$B$3:$BO$99,15,0)</f>
        <v>3924</v>
      </c>
      <c r="BE42" s="601">
        <f t="shared" si="1"/>
        <v>-63009.000000000466</v>
      </c>
      <c r="BF42" s="76">
        <f>VLOOKUP(A42,'OCT 15 CENSUS'!$B$9:$U$132,20,0)</f>
        <v>236</v>
      </c>
      <c r="BG42" s="73">
        <f>VLOOKUP(A42,'[2]BUDGET SHARE inc ADJUSTMENTS'!$D$4:$M$139,10,0)</f>
        <v>1025648.8798245615</v>
      </c>
      <c r="BH42" s="76">
        <f>VLOOKUP(A42,'12-13 Pupil Data'!A:CI,81,0)</f>
        <v>1810</v>
      </c>
      <c r="BI42" t="s">
        <v>210</v>
      </c>
      <c r="BJ42" s="44">
        <f t="shared" si="76"/>
        <v>0.80066942221134041</v>
      </c>
      <c r="BK42" s="45">
        <f t="shared" si="77"/>
        <v>3909.7796610169494</v>
      </c>
      <c r="BL42" s="44">
        <f t="shared" si="78"/>
        <v>0</v>
      </c>
      <c r="BM42" s="45">
        <f t="shared" si="79"/>
        <v>0</v>
      </c>
      <c r="BN42" s="44">
        <f t="shared" si="80"/>
        <v>5.3223619694155441E-2</v>
      </c>
      <c r="BO42" s="45">
        <f t="shared" si="81"/>
        <v>259.89830508474574</v>
      </c>
      <c r="BP42" s="44">
        <f t="shared" si="82"/>
        <v>0</v>
      </c>
      <c r="BQ42" s="45">
        <f t="shared" si="83"/>
        <v>0</v>
      </c>
      <c r="BR42" s="44">
        <f t="shared" si="84"/>
        <v>2.0062118288262581E-2</v>
      </c>
      <c r="BS42" s="45">
        <f t="shared" si="85"/>
        <v>97.966101694915253</v>
      </c>
      <c r="BT42" s="44">
        <f t="shared" si="86"/>
        <v>9.6969797522203447E-3</v>
      </c>
      <c r="BU42" s="45">
        <f t="shared" si="87"/>
        <v>47.351694915254235</v>
      </c>
      <c r="BV42" s="44">
        <f t="shared" si="88"/>
        <v>1.6351667691350351E-3</v>
      </c>
      <c r="BW42" s="45">
        <f t="shared" si="89"/>
        <v>7.9847457627118645</v>
      </c>
      <c r="BX42" s="44">
        <f t="shared" si="90"/>
        <v>2.5786416814387609E-3</v>
      </c>
      <c r="BY42" s="45">
        <f t="shared" si="91"/>
        <v>12.59186440677966</v>
      </c>
      <c r="BZ42" s="46">
        <f t="shared" si="92"/>
        <v>1.1286633627574266E-2</v>
      </c>
      <c r="CA42" s="47">
        <f t="shared" si="93"/>
        <v>55.114194915254238</v>
      </c>
      <c r="CB42" s="44">
        <f t="shared" si="94"/>
        <v>5.4357250860857513E-2</v>
      </c>
      <c r="CC42" s="48">
        <f t="shared" si="95"/>
        <v>265.43398305084747</v>
      </c>
      <c r="CD42" s="46">
        <f t="shared" si="64"/>
        <v>0.5710388823319168</v>
      </c>
      <c r="CE42" s="49">
        <f t="shared" si="65"/>
        <v>0.50822186738266451</v>
      </c>
      <c r="CF42" s="49">
        <f t="shared" si="66"/>
        <v>0.48032445352524777</v>
      </c>
      <c r="CG42" s="47">
        <f t="shared" si="67"/>
        <v>2481.7177542372883</v>
      </c>
      <c r="CH42" s="44">
        <f t="shared" si="2"/>
        <v>0.22635520261057701</v>
      </c>
      <c r="CI42" s="50">
        <f t="shared" si="3"/>
        <v>0.20145504504483555</v>
      </c>
      <c r="CJ42" s="50">
        <f t="shared" si="4"/>
        <v>0.1903967354246226</v>
      </c>
      <c r="CK42" s="45">
        <f t="shared" si="5"/>
        <v>983.73288135593214</v>
      </c>
      <c r="CL42" s="46">
        <f t="shared" si="6"/>
        <v>2.3594390318194824E-2</v>
      </c>
      <c r="CM42" s="49">
        <f t="shared" si="68"/>
        <v>2.0998894257954485E-2</v>
      </c>
      <c r="CN42" s="49">
        <f t="shared" si="69"/>
        <v>1.9846218859158233E-2</v>
      </c>
      <c r="CO42" s="47">
        <f t="shared" si="70"/>
        <v>102.54050847457627</v>
      </c>
      <c r="CP42" s="44">
        <f t="shared" si="7"/>
        <v>7.0568672597176196E-2</v>
      </c>
      <c r="CQ42" s="50">
        <f t="shared" si="8"/>
        <v>6.2805780264200042E-2</v>
      </c>
      <c r="CR42" s="50">
        <f t="shared" si="71"/>
        <v>5.9358233125601401E-2</v>
      </c>
      <c r="CS42" s="45">
        <f t="shared" si="9"/>
        <v>306.68932203389829</v>
      </c>
      <c r="CT42" s="46">
        <f t="shared" si="10"/>
        <v>0.9082200725060382</v>
      </c>
      <c r="CU42" s="49">
        <f t="shared" si="11"/>
        <v>0.80831150999477053</v>
      </c>
      <c r="CV42" s="49">
        <f t="shared" si="12"/>
        <v>0.76394151695183288</v>
      </c>
      <c r="CW42" s="47">
        <f t="shared" si="13"/>
        <v>3947.0970338983057</v>
      </c>
      <c r="CX42" s="44">
        <f t="shared" si="14"/>
        <v>3.1596388040265027E-3</v>
      </c>
      <c r="CY42" s="50">
        <f t="shared" si="15"/>
        <v>2.657703054621526E-3</v>
      </c>
      <c r="CZ42" s="48">
        <f t="shared" si="16"/>
        <v>1.7904309392265192</v>
      </c>
      <c r="DA42" s="45">
        <f t="shared" si="17"/>
        <v>13.731694915254236</v>
      </c>
      <c r="DB42" s="51">
        <f t="shared" si="18"/>
        <v>4.2817929577249475E-3</v>
      </c>
      <c r="DC42" s="52">
        <f t="shared" si="19"/>
        <v>22.122966101694917</v>
      </c>
      <c r="DD42" s="44">
        <f t="shared" si="20"/>
        <v>1.4341945171837098E-2</v>
      </c>
      <c r="DE42" s="50">
        <f t="shared" si="21"/>
        <v>1.206360405620787E-2</v>
      </c>
      <c r="DF42" s="48">
        <f t="shared" si="22"/>
        <v>8.1269613259668496</v>
      </c>
      <c r="DG42" s="45">
        <f t="shared" si="23"/>
        <v>62.329661016949153</v>
      </c>
      <c r="DH42" s="46">
        <f t="shared" si="24"/>
        <v>8.2524343042696974E-3</v>
      </c>
      <c r="DI42" s="49">
        <f t="shared" si="25"/>
        <v>6.9414642681850909E-3</v>
      </c>
      <c r="DJ42" s="47">
        <f t="shared" si="26"/>
        <v>4.6762983425414371</v>
      </c>
      <c r="DK42" s="44">
        <f t="shared" si="27"/>
        <v>4.9163871761479655E-2</v>
      </c>
      <c r="DL42" s="50">
        <f t="shared" si="28"/>
        <v>4.375561014750274E-2</v>
      </c>
      <c r="DM42" s="50">
        <f t="shared" si="29"/>
        <v>4.1353768662099735E-2</v>
      </c>
      <c r="DN42" s="45">
        <f t="shared" si="30"/>
        <v>213.66470338983052</v>
      </c>
      <c r="DO42" s="46">
        <f t="shared" si="31"/>
        <v>1.9996609369385917E-3</v>
      </c>
      <c r="DP42" s="49">
        <f t="shared" si="32"/>
        <v>1.6819976300887526E-3</v>
      </c>
      <c r="DQ42" s="47">
        <f t="shared" si="33"/>
        <v>8.6904661016949145</v>
      </c>
      <c r="DR42" s="53">
        <f t="shared" si="34"/>
        <v>7.3074819440410416E-2</v>
      </c>
      <c r="DS42" s="45">
        <f t="shared" si="35"/>
        <v>377.55953389830512</v>
      </c>
      <c r="DT42" s="46">
        <f t="shared" si="96"/>
        <v>1.5599880538783233E-5</v>
      </c>
      <c r="DU42" s="49">
        <f t="shared" si="97"/>
        <v>1.3883818884610783E-5</v>
      </c>
      <c r="DV42" s="49">
        <f t="shared" si="98"/>
        <v>1.312170559078478E-5</v>
      </c>
      <c r="DW42" s="47">
        <f t="shared" si="99"/>
        <v>6.7796610169491525E-2</v>
      </c>
      <c r="DY42" s="54">
        <f>VLOOKUP(A42,'[3]Barnet Schools'!$E$8:$V$130,17,0)</f>
        <v>16</v>
      </c>
    </row>
    <row r="43" spans="1:129">
      <c r="A43" s="79">
        <v>2031</v>
      </c>
      <c r="B43" s="80">
        <v>10071</v>
      </c>
      <c r="C43" s="573" t="s">
        <v>70</v>
      </c>
      <c r="D43" s="595">
        <f>VLOOKUP(A43,[4]CFR20152016_BenchMarkDataReport!$B$3:$BO$99,18,0)</f>
        <v>1170441</v>
      </c>
      <c r="E43" s="595">
        <f>VLOOKUP(A43,[4]CFR20152016_BenchMarkDataReport!$B$3:$BO$99,19,0)</f>
        <v>0</v>
      </c>
      <c r="F43" s="595">
        <f>VLOOKUP(A43,[4]CFR20152016_BenchMarkDataReport!$B$3:$BO$99,20,0)</f>
        <v>34249.300000000003</v>
      </c>
      <c r="G43" s="595">
        <f>VLOOKUP(A43,[4]CFR20152016_BenchMarkDataReport!$B$3:$BO$99,21,0)</f>
        <v>0</v>
      </c>
      <c r="H43" s="595">
        <f>VLOOKUP(A43,[4]CFR20152016_BenchMarkDataReport!$B$3:$BO$99,22,0)</f>
        <v>110101</v>
      </c>
      <c r="I43" s="595">
        <f>VLOOKUP(A43,[4]CFR20152016_BenchMarkDataReport!$B$3:$BO$99,23,0)</f>
        <v>6439</v>
      </c>
      <c r="J43" s="595">
        <f>VLOOKUP(A43,[4]CFR20152016_BenchMarkDataReport!$B$3:$BO$99,24,0)</f>
        <v>5684.43</v>
      </c>
      <c r="K43" s="595">
        <f>VLOOKUP(A43,[4]CFR20152016_BenchMarkDataReport!$B$3:$BO$99,25,0)</f>
        <v>35629.42</v>
      </c>
      <c r="L43" s="595">
        <f>VLOOKUP(A43,[4]CFR20152016_BenchMarkDataReport!$B$3:$BO$99,26,0)</f>
        <v>16833.11</v>
      </c>
      <c r="M43" s="595">
        <f>VLOOKUP(A43,[4]CFR20152016_BenchMarkDataReport!$B$3:$BO$99,27,0)</f>
        <v>1094.4000000000001</v>
      </c>
      <c r="N43" s="595">
        <f>VLOOKUP(A43,[4]CFR20152016_BenchMarkDataReport!$B$3:$BO$99,28,0)</f>
        <v>10695.15</v>
      </c>
      <c r="O43" s="595">
        <f>VLOOKUP(A43,[4]CFR20152016_BenchMarkDataReport!$B$3:$BO$99,29,0)</f>
        <v>16213.36</v>
      </c>
      <c r="P43" s="595">
        <f>VLOOKUP(A43,[4]CFR20152016_BenchMarkDataReport!$B$3:$BO$99,30,0)</f>
        <v>3749.73</v>
      </c>
      <c r="Q43" s="595">
        <f>VLOOKUP(A43,[4]CFR20152016_BenchMarkDataReport!$B$3:$BO$99,31,0)</f>
        <v>0</v>
      </c>
      <c r="R43" s="595">
        <f>VLOOKUP(A43,[4]CFR20152016_BenchMarkDataReport!$B$3:$BO$99,32,0)</f>
        <v>0</v>
      </c>
      <c r="S43" s="595">
        <f>VLOOKUP(A43,[4]CFR20152016_BenchMarkDataReport!$B$3:$BO$99,33,0)</f>
        <v>0</v>
      </c>
      <c r="T43" s="595">
        <f>VLOOKUP(A43,[4]CFR20152016_BenchMarkDataReport!$B$3:$BO$99,34,0)</f>
        <v>36610.33</v>
      </c>
      <c r="U43" s="595">
        <f>VLOOKUP(A43,[4]CFR20152016_BenchMarkDataReport!$B$3:$BO$99,35,0)</f>
        <v>644964.66</v>
      </c>
      <c r="V43" s="595">
        <f>VLOOKUP(A43,[4]CFR20152016_BenchMarkDataReport!$B$3:$BO$99,36,0)</f>
        <v>0</v>
      </c>
      <c r="W43" s="595">
        <f>VLOOKUP(A43,[4]CFR20152016_BenchMarkDataReport!$B$3:$BO$99,37,0)</f>
        <v>367132.04</v>
      </c>
      <c r="X43" s="595">
        <f>VLOOKUP(A43,[4]CFR20152016_BenchMarkDataReport!$B$3:$BO$99,38,0)</f>
        <v>21978.32</v>
      </c>
      <c r="Y43" s="595">
        <f>VLOOKUP(A43,[4]CFR20152016_BenchMarkDataReport!$B$3:$BO$99,39,0)</f>
        <v>36452.67</v>
      </c>
      <c r="Z43" s="595">
        <f>VLOOKUP(A43,[4]CFR20152016_BenchMarkDataReport!$B$3:$BO$99,40,0)</f>
        <v>0</v>
      </c>
      <c r="AA43" s="595">
        <f>VLOOKUP(A43,[4]CFR20152016_BenchMarkDataReport!$B$3:$BO$99,41,0)</f>
        <v>36280.76</v>
      </c>
      <c r="AB43" s="595">
        <f>VLOOKUP(A43,[4]CFR20152016_BenchMarkDataReport!$B$3:$BO$99,42,0)</f>
        <v>5166.51</v>
      </c>
      <c r="AC43" s="595">
        <f>VLOOKUP(A43,[4]CFR20152016_BenchMarkDataReport!$B$3:$BO$99,43,0)</f>
        <v>8400.85</v>
      </c>
      <c r="AD43" s="595">
        <f>VLOOKUP(A43,[4]CFR20152016_BenchMarkDataReport!$B$3:$BO$99,44,0)</f>
        <v>13978.44</v>
      </c>
      <c r="AE43" s="595">
        <f>VLOOKUP(A43,[4]CFR20152016_BenchMarkDataReport!$B$3:$BO$99,45,0)</f>
        <v>940.8</v>
      </c>
      <c r="AF43" s="595">
        <f>VLOOKUP(A43,[4]CFR20152016_BenchMarkDataReport!$B$3:$BO$99,46,0)</f>
        <v>16424.509999999998</v>
      </c>
      <c r="AG43" s="595">
        <f>VLOOKUP(A43,[4]CFR20152016_BenchMarkDataReport!$B$3:$BO$99,47,0)</f>
        <v>4778.5600000000004</v>
      </c>
      <c r="AH43" s="595">
        <f>VLOOKUP(A43,[4]CFR20152016_BenchMarkDataReport!$B$3:$BO$99,48,0)</f>
        <v>21131.26</v>
      </c>
      <c r="AI43" s="595">
        <f>VLOOKUP(A43,[4]CFR20152016_BenchMarkDataReport!$B$3:$BO$99,49,0)</f>
        <v>4191.72</v>
      </c>
      <c r="AJ43" s="595">
        <f>VLOOKUP(A43,[4]CFR20152016_BenchMarkDataReport!$B$3:$BO$99,50,0)</f>
        <v>14700.13</v>
      </c>
      <c r="AK43" s="595">
        <f>VLOOKUP(A43,[4]CFR20152016_BenchMarkDataReport!$B$3:$BO$99,51,0)</f>
        <v>0</v>
      </c>
      <c r="AL43" s="595">
        <f>VLOOKUP(A43,[4]CFR20152016_BenchMarkDataReport!$B$3:$BO$99,52,0)</f>
        <v>7442.88</v>
      </c>
      <c r="AM43" s="595">
        <f>VLOOKUP(A43,[4]CFR20152016_BenchMarkDataReport!$B$3:$BO$99,53,0)</f>
        <v>51345.77</v>
      </c>
      <c r="AN43" s="595">
        <f>VLOOKUP(A43,[4]CFR20152016_BenchMarkDataReport!$B$3:$BO$99,54,0)</f>
        <v>13422.43</v>
      </c>
      <c r="AO43" s="595">
        <f>VLOOKUP(A43,[4]CFR20152016_BenchMarkDataReport!$B$3:$BO$99,55,0)</f>
        <v>0</v>
      </c>
      <c r="AP43" s="595">
        <f>VLOOKUP(A43,[4]CFR20152016_BenchMarkDataReport!$B$3:$BO$99,56,0)</f>
        <v>12301.03</v>
      </c>
      <c r="AQ43" s="595">
        <f>VLOOKUP(A43,[4]CFR20152016_BenchMarkDataReport!$B$3:$BO$99,57,0)</f>
        <v>5440.99</v>
      </c>
      <c r="AR43" s="595">
        <f>VLOOKUP(A43,[4]CFR20152016_BenchMarkDataReport!$B$3:$BO$99,58,0)</f>
        <v>11579.08</v>
      </c>
      <c r="AS43" s="595">
        <f>VLOOKUP(A43,[4]CFR20152016_BenchMarkDataReport!$B$3:$BO$99,59,0)</f>
        <v>64126.15</v>
      </c>
      <c r="AT43" s="595">
        <f>VLOOKUP(A43,[4]CFR20152016_BenchMarkDataReport!$B$3:$BO$99,60,0)</f>
        <v>28959</v>
      </c>
      <c r="AU43" s="595">
        <f>VLOOKUP(A43,[4]CFR20152016_BenchMarkDataReport!$B$3:$BO$99,61,0)</f>
        <v>55388.33</v>
      </c>
      <c r="AV43" s="595">
        <f>VLOOKUP(A43,[4]CFR20152016_BenchMarkDataReport!$B$3:$BO$99,62,0)</f>
        <v>37109.339999999997</v>
      </c>
      <c r="AW43" s="595">
        <f>VLOOKUP(A43,[4]CFR20152016_BenchMarkDataReport!$B$3:$BO$99,63,0)</f>
        <v>0</v>
      </c>
      <c r="AX43" s="595">
        <f>VLOOKUP(A43,[4]CFR20152016_BenchMarkDataReport!$B$3:$BO$99,64,0)</f>
        <v>0</v>
      </c>
      <c r="AY43" s="595">
        <f>VLOOKUP(A43,[4]CFR20152016_BenchMarkDataReport!$B$3:$BO$99,65,0)</f>
        <v>0</v>
      </c>
      <c r="AZ43" s="595">
        <f>VLOOKUP(A43,[4]CFR20152016_BenchMarkDataReport!$B$3:$BO$99,66,0)</f>
        <v>0</v>
      </c>
      <c r="BA43" s="596">
        <f t="shared" si="0"/>
        <v>1447740.23</v>
      </c>
      <c r="BB43" s="595">
        <f t="shared" si="42"/>
        <v>1483636.23</v>
      </c>
      <c r="BC43" s="601">
        <f t="shared" si="43"/>
        <v>-35896</v>
      </c>
      <c r="BD43" s="595">
        <f>VLOOKUP(A43,[4]CFR20152016_BenchMarkDataReport!$B$3:$BO$99,15,0)</f>
        <v>108765</v>
      </c>
      <c r="BE43" s="601">
        <f t="shared" si="1"/>
        <v>72869</v>
      </c>
      <c r="BF43" s="76">
        <f>VLOOKUP(A43,'OCT 15 CENSUS'!$B$9:$U$132,20,0)</f>
        <v>218</v>
      </c>
      <c r="BG43" s="73">
        <f>VLOOKUP(A43,'[2]BUDGET SHARE inc ADJUSTMENTS'!$D$4:$M$139,10,0)</f>
        <v>1340208.2202737588</v>
      </c>
      <c r="BH43" s="76">
        <f>VLOOKUP(A43,'12-13 Pupil Data'!A:CI,81,0)</f>
        <v>1460.09</v>
      </c>
      <c r="BI43" t="s">
        <v>210</v>
      </c>
      <c r="BJ43" s="44">
        <f t="shared" si="76"/>
        <v>0.80846064490450753</v>
      </c>
      <c r="BK43" s="45">
        <f t="shared" si="77"/>
        <v>5368.9954128440368</v>
      </c>
      <c r="BL43" s="44">
        <f t="shared" si="78"/>
        <v>0</v>
      </c>
      <c r="BM43" s="45">
        <f t="shared" si="79"/>
        <v>0</v>
      </c>
      <c r="BN43" s="44">
        <f t="shared" si="80"/>
        <v>2.3657075551461331E-2</v>
      </c>
      <c r="BO43" s="45">
        <f t="shared" si="81"/>
        <v>157.10688073394496</v>
      </c>
      <c r="BP43" s="44">
        <f t="shared" si="82"/>
        <v>0</v>
      </c>
      <c r="BQ43" s="45">
        <f t="shared" si="83"/>
        <v>0</v>
      </c>
      <c r="BR43" s="44">
        <f t="shared" si="84"/>
        <v>7.6050245560973326E-2</v>
      </c>
      <c r="BS43" s="45">
        <f t="shared" si="85"/>
        <v>505.05045871559633</v>
      </c>
      <c r="BT43" s="44">
        <f t="shared" si="86"/>
        <v>4.4476211039600659E-3</v>
      </c>
      <c r="BU43" s="45">
        <f t="shared" si="87"/>
        <v>29.536697247706421</v>
      </c>
      <c r="BV43" s="44">
        <f t="shared" si="88"/>
        <v>3.9264157216933873E-3</v>
      </c>
      <c r="BW43" s="45">
        <f t="shared" si="89"/>
        <v>26.075366972477067</v>
      </c>
      <c r="BX43" s="44">
        <f t="shared" si="90"/>
        <v>2.4610368118319126E-2</v>
      </c>
      <c r="BY43" s="45">
        <f t="shared" si="91"/>
        <v>163.43770642201835</v>
      </c>
      <c r="BZ43" s="46">
        <f t="shared" si="92"/>
        <v>1.1199080929042085E-2</v>
      </c>
      <c r="CA43" s="47">
        <f t="shared" si="93"/>
        <v>74.373211009174312</v>
      </c>
      <c r="CB43" s="44">
        <f t="shared" si="94"/>
        <v>2.5900571955508899E-3</v>
      </c>
      <c r="CC43" s="48">
        <f t="shared" si="95"/>
        <v>17.200596330275228</v>
      </c>
      <c r="CD43" s="46">
        <f t="shared" si="64"/>
        <v>0.50284996749411104</v>
      </c>
      <c r="CE43" s="49">
        <f t="shared" si="65"/>
        <v>0.46550040265165527</v>
      </c>
      <c r="CF43" s="49">
        <f t="shared" si="66"/>
        <v>0.45423780194421381</v>
      </c>
      <c r="CG43" s="47">
        <f t="shared" si="67"/>
        <v>3091.3929357798165</v>
      </c>
      <c r="CH43" s="44">
        <f t="shared" si="2"/>
        <v>0.27393656780064179</v>
      </c>
      <c r="CI43" s="50">
        <f t="shared" si="3"/>
        <v>0.25358972030500249</v>
      </c>
      <c r="CJ43" s="50">
        <f t="shared" si="4"/>
        <v>0.24745421591652556</v>
      </c>
      <c r="CK43" s="45">
        <f t="shared" si="5"/>
        <v>1684.0919266055046</v>
      </c>
      <c r="CL43" s="46">
        <f t="shared" si="6"/>
        <v>1.6399183102690253E-2</v>
      </c>
      <c r="CM43" s="49">
        <f t="shared" si="68"/>
        <v>1.5181121270630159E-2</v>
      </c>
      <c r="CN43" s="49">
        <f t="shared" si="69"/>
        <v>1.4813819961784028E-2</v>
      </c>
      <c r="CO43" s="47">
        <f t="shared" si="70"/>
        <v>100.81798165137614</v>
      </c>
      <c r="CP43" s="44">
        <f t="shared" si="7"/>
        <v>2.7199258629046433E-2</v>
      </c>
      <c r="CQ43" s="50">
        <f t="shared" si="8"/>
        <v>2.517901295041031E-2</v>
      </c>
      <c r="CR43" s="50">
        <f t="shared" si="71"/>
        <v>2.4569816551325386E-2</v>
      </c>
      <c r="CS43" s="45">
        <f t="shared" si="9"/>
        <v>167.21408256880733</v>
      </c>
      <c r="CT43" s="46">
        <f t="shared" si="10"/>
        <v>0.82584812811692554</v>
      </c>
      <c r="CU43" s="49">
        <f t="shared" si="11"/>
        <v>0.76450762855432974</v>
      </c>
      <c r="CV43" s="49">
        <f t="shared" si="12"/>
        <v>0.74601066462228416</v>
      </c>
      <c r="CW43" s="47">
        <f t="shared" si="13"/>
        <v>5077.1029816513756</v>
      </c>
      <c r="CX43" s="44">
        <f t="shared" si="14"/>
        <v>1.2255192701806463E-2</v>
      </c>
      <c r="CY43" s="50">
        <f t="shared" si="15"/>
        <v>1.1070442786369539E-2</v>
      </c>
      <c r="CZ43" s="48">
        <f t="shared" si="16"/>
        <v>11.24897095384531</v>
      </c>
      <c r="DA43" s="45">
        <f t="shared" si="17"/>
        <v>75.341788990825677</v>
      </c>
      <c r="DB43" s="51">
        <f t="shared" si="18"/>
        <v>2.8253017250731336E-3</v>
      </c>
      <c r="DC43" s="52">
        <f t="shared" si="19"/>
        <v>19.228073394495414</v>
      </c>
      <c r="DD43" s="44">
        <f t="shared" si="20"/>
        <v>1.0968541885974454E-2</v>
      </c>
      <c r="DE43" s="50">
        <f t="shared" si="21"/>
        <v>9.9081767503075863E-3</v>
      </c>
      <c r="DF43" s="48">
        <f t="shared" si="22"/>
        <v>10.067961564013178</v>
      </c>
      <c r="DG43" s="45">
        <f t="shared" si="23"/>
        <v>67.43178899082568</v>
      </c>
      <c r="DH43" s="46">
        <f t="shared" si="24"/>
        <v>5.5535251070760287E-3</v>
      </c>
      <c r="DI43" s="49">
        <f t="shared" si="25"/>
        <v>5.0166475106906763E-3</v>
      </c>
      <c r="DJ43" s="47">
        <f t="shared" si="26"/>
        <v>5.0975487812395128</v>
      </c>
      <c r="DK43" s="44">
        <f t="shared" si="27"/>
        <v>3.8311785604114419E-2</v>
      </c>
      <c r="DL43" s="50">
        <f t="shared" si="28"/>
        <v>3.5466148509252934E-2</v>
      </c>
      <c r="DM43" s="50">
        <f t="shared" si="29"/>
        <v>3.4608058877073931E-2</v>
      </c>
      <c r="DN43" s="45">
        <f t="shared" si="30"/>
        <v>235.53105504587154</v>
      </c>
      <c r="DO43" s="46">
        <f t="shared" si="31"/>
        <v>9.17844691139659E-3</v>
      </c>
      <c r="DP43" s="49">
        <f t="shared" si="32"/>
        <v>8.2911361634785651E-3</v>
      </c>
      <c r="DQ43" s="47">
        <f t="shared" si="33"/>
        <v>56.426743119266057</v>
      </c>
      <c r="DR43" s="53">
        <f t="shared" si="34"/>
        <v>4.3222286368674083E-2</v>
      </c>
      <c r="DS43" s="45">
        <f t="shared" si="35"/>
        <v>294.15665137614678</v>
      </c>
      <c r="DT43" s="46">
        <f t="shared" si="96"/>
        <v>5.9692217067329088E-5</v>
      </c>
      <c r="DU43" s="49">
        <f t="shared" si="97"/>
        <v>5.5258532119398246E-5</v>
      </c>
      <c r="DV43" s="49">
        <f t="shared" si="98"/>
        <v>5.3921573484357415E-5</v>
      </c>
      <c r="DW43" s="47">
        <f t="shared" si="99"/>
        <v>0.3669724770642202</v>
      </c>
      <c r="DY43" s="54">
        <f>VLOOKUP(A43,'[3]Barnet Schools'!$E$8:$V$130,17,0)</f>
        <v>80</v>
      </c>
    </row>
    <row r="44" spans="1:129">
      <c r="A44" s="79">
        <v>2032</v>
      </c>
      <c r="B44" s="80">
        <v>10072</v>
      </c>
      <c r="C44" s="573" t="s">
        <v>71</v>
      </c>
      <c r="D44" s="595">
        <f>VLOOKUP(A44,[4]CFR20152016_BenchMarkDataReport!$B$3:$BO$99,18,0)</f>
        <v>2153534.2000000002</v>
      </c>
      <c r="E44" s="595">
        <f>VLOOKUP(A44,[4]CFR20152016_BenchMarkDataReport!$B$3:$BO$99,19,0)</f>
        <v>0</v>
      </c>
      <c r="F44" s="595">
        <f>VLOOKUP(A44,[4]CFR20152016_BenchMarkDataReport!$B$3:$BO$99,20,0)</f>
        <v>98593</v>
      </c>
      <c r="G44" s="595">
        <f>VLOOKUP(A44,[4]CFR20152016_BenchMarkDataReport!$B$3:$BO$99,21,0)</f>
        <v>0</v>
      </c>
      <c r="H44" s="595">
        <f>VLOOKUP(A44,[4]CFR20152016_BenchMarkDataReport!$B$3:$BO$99,22,0)</f>
        <v>159540.04999999999</v>
      </c>
      <c r="I44" s="595">
        <f>VLOOKUP(A44,[4]CFR20152016_BenchMarkDataReport!$B$3:$BO$99,23,0)</f>
        <v>0</v>
      </c>
      <c r="J44" s="595">
        <f>VLOOKUP(A44,[4]CFR20152016_BenchMarkDataReport!$B$3:$BO$99,24,0)</f>
        <v>0</v>
      </c>
      <c r="K44" s="595">
        <f>VLOOKUP(A44,[4]CFR20152016_BenchMarkDataReport!$B$3:$BO$99,25,0)</f>
        <v>124425.3</v>
      </c>
      <c r="L44" s="595">
        <f>VLOOKUP(A44,[4]CFR20152016_BenchMarkDataReport!$B$3:$BO$99,26,0)</f>
        <v>48869.14</v>
      </c>
      <c r="M44" s="595">
        <f>VLOOKUP(A44,[4]CFR20152016_BenchMarkDataReport!$B$3:$BO$99,27,0)</f>
        <v>8665</v>
      </c>
      <c r="N44" s="595">
        <f>VLOOKUP(A44,[4]CFR20152016_BenchMarkDataReport!$B$3:$BO$99,28,0)</f>
        <v>0</v>
      </c>
      <c r="O44" s="595">
        <f>VLOOKUP(A44,[4]CFR20152016_BenchMarkDataReport!$B$3:$BO$99,29,0)</f>
        <v>0</v>
      </c>
      <c r="P44" s="595">
        <f>VLOOKUP(A44,[4]CFR20152016_BenchMarkDataReport!$B$3:$BO$99,30,0)</f>
        <v>65457.52</v>
      </c>
      <c r="Q44" s="595">
        <f>VLOOKUP(A44,[4]CFR20152016_BenchMarkDataReport!$B$3:$BO$99,31,0)</f>
        <v>0</v>
      </c>
      <c r="R44" s="595">
        <f>VLOOKUP(A44,[4]CFR20152016_BenchMarkDataReport!$B$3:$BO$99,32,0)</f>
        <v>0</v>
      </c>
      <c r="S44" s="595">
        <f>VLOOKUP(A44,[4]CFR20152016_BenchMarkDataReport!$B$3:$BO$99,33,0)</f>
        <v>0</v>
      </c>
      <c r="T44" s="595">
        <f>VLOOKUP(A44,[4]CFR20152016_BenchMarkDataReport!$B$3:$BO$99,34,0)</f>
        <v>72663.87</v>
      </c>
      <c r="U44" s="595">
        <f>VLOOKUP(A44,[4]CFR20152016_BenchMarkDataReport!$B$3:$BO$99,35,0)</f>
        <v>1226574.73</v>
      </c>
      <c r="V44" s="595">
        <f>VLOOKUP(A44,[4]CFR20152016_BenchMarkDataReport!$B$3:$BO$99,36,0)</f>
        <v>12514.23</v>
      </c>
      <c r="W44" s="595">
        <f>VLOOKUP(A44,[4]CFR20152016_BenchMarkDataReport!$B$3:$BO$99,37,0)</f>
        <v>602198.63</v>
      </c>
      <c r="X44" s="595">
        <f>VLOOKUP(A44,[4]CFR20152016_BenchMarkDataReport!$B$3:$BO$99,38,0)</f>
        <v>29843.78</v>
      </c>
      <c r="Y44" s="595">
        <f>VLOOKUP(A44,[4]CFR20152016_BenchMarkDataReport!$B$3:$BO$99,39,0)</f>
        <v>62738.04</v>
      </c>
      <c r="Z44" s="595">
        <f>VLOOKUP(A44,[4]CFR20152016_BenchMarkDataReport!$B$3:$BO$99,40,0)</f>
        <v>4.29</v>
      </c>
      <c r="AA44" s="595">
        <f>VLOOKUP(A44,[4]CFR20152016_BenchMarkDataReport!$B$3:$BO$99,41,0)</f>
        <v>42392.66</v>
      </c>
      <c r="AB44" s="595">
        <f>VLOOKUP(A44,[4]CFR20152016_BenchMarkDataReport!$B$3:$BO$99,42,0)</f>
        <v>9019.48</v>
      </c>
      <c r="AC44" s="595">
        <f>VLOOKUP(A44,[4]CFR20152016_BenchMarkDataReport!$B$3:$BO$99,43,0)</f>
        <v>7174.87</v>
      </c>
      <c r="AD44" s="595">
        <f>VLOOKUP(A44,[4]CFR20152016_BenchMarkDataReport!$B$3:$BO$99,44,0)</f>
        <v>20080.03</v>
      </c>
      <c r="AE44" s="595">
        <f>VLOOKUP(A44,[4]CFR20152016_BenchMarkDataReport!$B$3:$BO$99,45,0)</f>
        <v>2272.1999999999998</v>
      </c>
      <c r="AF44" s="595">
        <f>VLOOKUP(A44,[4]CFR20152016_BenchMarkDataReport!$B$3:$BO$99,46,0)</f>
        <v>101509.7</v>
      </c>
      <c r="AG44" s="595">
        <f>VLOOKUP(A44,[4]CFR20152016_BenchMarkDataReport!$B$3:$BO$99,47,0)</f>
        <v>1290.6600000000001</v>
      </c>
      <c r="AH44" s="595">
        <f>VLOOKUP(A44,[4]CFR20152016_BenchMarkDataReport!$B$3:$BO$99,48,0)</f>
        <v>38792.03</v>
      </c>
      <c r="AI44" s="595">
        <f>VLOOKUP(A44,[4]CFR20152016_BenchMarkDataReport!$B$3:$BO$99,49,0)</f>
        <v>4999.9399999999996</v>
      </c>
      <c r="AJ44" s="595">
        <f>VLOOKUP(A44,[4]CFR20152016_BenchMarkDataReport!$B$3:$BO$99,50,0)</f>
        <v>24817.14</v>
      </c>
      <c r="AK44" s="595">
        <f>VLOOKUP(A44,[4]CFR20152016_BenchMarkDataReport!$B$3:$BO$99,51,0)</f>
        <v>21445.5</v>
      </c>
      <c r="AL44" s="595">
        <f>VLOOKUP(A44,[4]CFR20152016_BenchMarkDataReport!$B$3:$BO$99,52,0)</f>
        <v>7980.4</v>
      </c>
      <c r="AM44" s="595">
        <f>VLOOKUP(A44,[4]CFR20152016_BenchMarkDataReport!$B$3:$BO$99,53,0)</f>
        <v>170896</v>
      </c>
      <c r="AN44" s="595">
        <f>VLOOKUP(A44,[4]CFR20152016_BenchMarkDataReport!$B$3:$BO$99,54,0)</f>
        <v>17877.310000000001</v>
      </c>
      <c r="AO44" s="595">
        <f>VLOOKUP(A44,[4]CFR20152016_BenchMarkDataReport!$B$3:$BO$99,55,0)</f>
        <v>0</v>
      </c>
      <c r="AP44" s="595">
        <f>VLOOKUP(A44,[4]CFR20152016_BenchMarkDataReport!$B$3:$BO$99,56,0)</f>
        <v>16774.88</v>
      </c>
      <c r="AQ44" s="595">
        <f>VLOOKUP(A44,[4]CFR20152016_BenchMarkDataReport!$B$3:$BO$99,57,0)</f>
        <v>10524.36</v>
      </c>
      <c r="AR44" s="595">
        <f>VLOOKUP(A44,[4]CFR20152016_BenchMarkDataReport!$B$3:$BO$99,58,0)</f>
        <v>5040</v>
      </c>
      <c r="AS44" s="595">
        <f>VLOOKUP(A44,[4]CFR20152016_BenchMarkDataReport!$B$3:$BO$99,59,0)</f>
        <v>139129.51999999999</v>
      </c>
      <c r="AT44" s="595">
        <f>VLOOKUP(A44,[4]CFR20152016_BenchMarkDataReport!$B$3:$BO$99,60,0)</f>
        <v>112363</v>
      </c>
      <c r="AU44" s="595">
        <f>VLOOKUP(A44,[4]CFR20152016_BenchMarkDataReport!$B$3:$BO$99,61,0)</f>
        <v>116647.08</v>
      </c>
      <c r="AV44" s="595">
        <f>VLOOKUP(A44,[4]CFR20152016_BenchMarkDataReport!$B$3:$BO$99,62,0)</f>
        <v>35666.620000000003</v>
      </c>
      <c r="AW44" s="595">
        <f>VLOOKUP(A44,[4]CFR20152016_BenchMarkDataReport!$B$3:$BO$99,63,0)</f>
        <v>0</v>
      </c>
      <c r="AX44" s="595">
        <f>VLOOKUP(A44,[4]CFR20152016_BenchMarkDataReport!$B$3:$BO$99,64,0)</f>
        <v>0</v>
      </c>
      <c r="AY44" s="595">
        <f>VLOOKUP(A44,[4]CFR20152016_BenchMarkDataReport!$B$3:$BO$99,65,0)</f>
        <v>0</v>
      </c>
      <c r="AZ44" s="595">
        <f>VLOOKUP(A44,[4]CFR20152016_BenchMarkDataReport!$B$3:$BO$99,66,0)</f>
        <v>0</v>
      </c>
      <c r="BA44" s="596">
        <f t="shared" si="0"/>
        <v>2731748.08</v>
      </c>
      <c r="BB44" s="595">
        <f t="shared" si="42"/>
        <v>2840567.08</v>
      </c>
      <c r="BC44" s="601">
        <f t="shared" si="43"/>
        <v>-108819</v>
      </c>
      <c r="BD44" s="595">
        <f>VLOOKUP(A44,[4]CFR20152016_BenchMarkDataReport!$B$3:$BO$99,15,0)</f>
        <v>129706</v>
      </c>
      <c r="BE44" s="601">
        <f t="shared" si="1"/>
        <v>20887</v>
      </c>
      <c r="BF44" s="76">
        <f>VLOOKUP(A44,'OCT 15 CENSUS'!$B$9:$U$132,20,0)</f>
        <v>532</v>
      </c>
      <c r="BG44" s="73">
        <f>VLOOKUP(A44,'[2]BUDGET SHARE inc ADJUSTMENTS'!$D$4:$M$139,10,0)</f>
        <v>2491724.2646363182</v>
      </c>
      <c r="BH44" s="76">
        <f>VLOOKUP(A44,'12-13 Pupil Data'!A:CI,81,0)</f>
        <v>2458</v>
      </c>
      <c r="BI44" t="s">
        <v>210</v>
      </c>
      <c r="BJ44" s="44">
        <f t="shared" si="76"/>
        <v>0.78833557741532301</v>
      </c>
      <c r="BK44" s="45">
        <f t="shared" si="77"/>
        <v>4047.9966165413539</v>
      </c>
      <c r="BL44" s="44">
        <f t="shared" si="78"/>
        <v>0</v>
      </c>
      <c r="BM44" s="45">
        <f t="shared" si="79"/>
        <v>0</v>
      </c>
      <c r="BN44" s="44">
        <f t="shared" si="80"/>
        <v>3.6091541794000273E-2</v>
      </c>
      <c r="BO44" s="45">
        <f t="shared" si="81"/>
        <v>185.3251879699248</v>
      </c>
      <c r="BP44" s="44">
        <f t="shared" si="82"/>
        <v>0</v>
      </c>
      <c r="BQ44" s="45">
        <f t="shared" si="83"/>
        <v>0</v>
      </c>
      <c r="BR44" s="44">
        <f t="shared" si="84"/>
        <v>5.8402182532146227E-2</v>
      </c>
      <c r="BS44" s="45">
        <f t="shared" si="85"/>
        <v>299.88731203007518</v>
      </c>
      <c r="BT44" s="44">
        <f t="shared" si="86"/>
        <v>0</v>
      </c>
      <c r="BU44" s="45">
        <f t="shared" si="87"/>
        <v>0</v>
      </c>
      <c r="BV44" s="44">
        <f t="shared" si="88"/>
        <v>0</v>
      </c>
      <c r="BW44" s="45">
        <f t="shared" si="89"/>
        <v>0</v>
      </c>
      <c r="BX44" s="44">
        <f t="shared" si="90"/>
        <v>4.5547867649640666E-2</v>
      </c>
      <c r="BY44" s="45">
        <f t="shared" si="91"/>
        <v>233.88214285714287</v>
      </c>
      <c r="BZ44" s="46">
        <f t="shared" si="92"/>
        <v>0</v>
      </c>
      <c r="CA44" s="47">
        <f t="shared" si="93"/>
        <v>0</v>
      </c>
      <c r="CB44" s="44">
        <f t="shared" si="94"/>
        <v>2.3961770296183387E-2</v>
      </c>
      <c r="CC44" s="48">
        <f t="shared" si="95"/>
        <v>123.04045112781954</v>
      </c>
      <c r="CD44" s="46">
        <f t="shared" si="64"/>
        <v>0.5423762087885966</v>
      </c>
      <c r="CE44" s="49">
        <f t="shared" si="65"/>
        <v>0.49472056735187675</v>
      </c>
      <c r="CF44" s="49">
        <f t="shared" si="66"/>
        <v>0.47576836664600081</v>
      </c>
      <c r="CG44" s="47">
        <f t="shared" si="67"/>
        <v>2540.3232330827068</v>
      </c>
      <c r="CH44" s="44">
        <f t="shared" si="2"/>
        <v>0.24167948217492452</v>
      </c>
      <c r="CI44" s="50">
        <f t="shared" si="3"/>
        <v>0.22044442326468111</v>
      </c>
      <c r="CJ44" s="50">
        <f t="shared" si="4"/>
        <v>0.21199943991465253</v>
      </c>
      <c r="CK44" s="45">
        <f t="shared" si="5"/>
        <v>1131.9523120300753</v>
      </c>
      <c r="CL44" s="46">
        <f t="shared" si="6"/>
        <v>1.1977159922370412E-2</v>
      </c>
      <c r="CM44" s="49">
        <f t="shared" si="68"/>
        <v>1.0924792157262173E-2</v>
      </c>
      <c r="CN44" s="49">
        <f t="shared" si="69"/>
        <v>1.0506275387800381E-2</v>
      </c>
      <c r="CO44" s="47">
        <f t="shared" si="70"/>
        <v>56.097330827067665</v>
      </c>
      <c r="CP44" s="44">
        <f t="shared" si="7"/>
        <v>2.5178564454505156E-2</v>
      </c>
      <c r="CQ44" s="50">
        <f t="shared" si="8"/>
        <v>2.2966261222740567E-2</v>
      </c>
      <c r="CR44" s="50">
        <f t="shared" si="71"/>
        <v>2.2086449019890774E-2</v>
      </c>
      <c r="CS44" s="45">
        <f t="shared" si="9"/>
        <v>117.92864661654136</v>
      </c>
      <c r="CT44" s="46">
        <f t="shared" si="10"/>
        <v>0.79313204436304174</v>
      </c>
      <c r="CU44" s="49">
        <f t="shared" si="11"/>
        <v>0.72344385431031388</v>
      </c>
      <c r="CV44" s="49">
        <f t="shared" si="12"/>
        <v>0.69572951609366673</v>
      </c>
      <c r="CW44" s="47">
        <f t="shared" si="13"/>
        <v>3714.7863909774433</v>
      </c>
      <c r="CX44" s="44">
        <f t="shared" si="14"/>
        <v>4.0738737203257894E-2</v>
      </c>
      <c r="CY44" s="50">
        <f t="shared" si="15"/>
        <v>3.5735716545725792E-2</v>
      </c>
      <c r="CZ44" s="48">
        <f t="shared" si="16"/>
        <v>41.29768104149715</v>
      </c>
      <c r="DA44" s="45">
        <f t="shared" si="17"/>
        <v>190.80770676691728</v>
      </c>
      <c r="DB44" s="51">
        <f t="shared" si="18"/>
        <v>1.7601907855666621E-3</v>
      </c>
      <c r="DC44" s="52">
        <f t="shared" si="19"/>
        <v>9.3983834586466166</v>
      </c>
      <c r="DD44" s="44">
        <f t="shared" si="20"/>
        <v>9.9598259535439437E-3</v>
      </c>
      <c r="DE44" s="50">
        <f t="shared" si="21"/>
        <v>8.7366850706444149E-3</v>
      </c>
      <c r="DF44" s="48">
        <f t="shared" si="22"/>
        <v>10.096476810414972</v>
      </c>
      <c r="DG44" s="45">
        <f t="shared" si="23"/>
        <v>46.648759398496239</v>
      </c>
      <c r="DH44" s="46">
        <f t="shared" si="24"/>
        <v>3.2027620845779202E-3</v>
      </c>
      <c r="DI44" s="49">
        <f t="shared" si="25"/>
        <v>2.8094390222955057E-3</v>
      </c>
      <c r="DJ44" s="47">
        <f t="shared" si="26"/>
        <v>3.2467046379170057</v>
      </c>
      <c r="DK44" s="44">
        <f t="shared" si="27"/>
        <v>6.8585437973789312E-2</v>
      </c>
      <c r="DL44" s="50">
        <f t="shared" si="28"/>
        <v>6.2559209339684063E-2</v>
      </c>
      <c r="DM44" s="50">
        <f t="shared" si="29"/>
        <v>6.016263484965826E-2</v>
      </c>
      <c r="DN44" s="45">
        <f t="shared" si="30"/>
        <v>321.23308270676694</v>
      </c>
      <c r="DO44" s="46">
        <f t="shared" si="31"/>
        <v>6.7322376870012114E-3</v>
      </c>
      <c r="DP44" s="49">
        <f t="shared" si="32"/>
        <v>5.9054687066217781E-3</v>
      </c>
      <c r="DQ44" s="47">
        <f t="shared" si="33"/>
        <v>31.531729323308273</v>
      </c>
      <c r="DR44" s="53">
        <f t="shared" si="34"/>
        <v>4.8979487574713425E-2</v>
      </c>
      <c r="DS44" s="45">
        <f t="shared" si="35"/>
        <v>261.52165413533834</v>
      </c>
      <c r="DT44" s="46">
        <f t="shared" si="96"/>
        <v>4.6955436305901544E-5</v>
      </c>
      <c r="DU44" s="49">
        <f t="shared" si="97"/>
        <v>4.2829718031686144E-5</v>
      </c>
      <c r="DV44" s="49">
        <f t="shared" si="98"/>
        <v>4.118895864976369E-5</v>
      </c>
      <c r="DW44" s="47">
        <f t="shared" si="99"/>
        <v>0.21992481203007519</v>
      </c>
      <c r="DY44" s="54">
        <f>VLOOKUP(A44,'[3]Barnet Schools'!$E$8:$V$130,17,0)</f>
        <v>117</v>
      </c>
    </row>
    <row r="45" spans="1:129">
      <c r="A45" s="79">
        <v>3304</v>
      </c>
      <c r="B45" s="80">
        <v>10073</v>
      </c>
      <c r="C45" s="573" t="s">
        <v>72</v>
      </c>
      <c r="D45" s="595">
        <f>VLOOKUP(A45,[4]CFR20152016_BenchMarkDataReport!$B$3:$BO$99,18,0)</f>
        <v>1090387</v>
      </c>
      <c r="E45" s="595">
        <f>VLOOKUP(A45,[4]CFR20152016_BenchMarkDataReport!$B$3:$BO$99,19,0)</f>
        <v>0</v>
      </c>
      <c r="F45" s="595">
        <f>VLOOKUP(A45,[4]CFR20152016_BenchMarkDataReport!$B$3:$BO$99,20,0)</f>
        <v>36017</v>
      </c>
      <c r="G45" s="595">
        <f>VLOOKUP(A45,[4]CFR20152016_BenchMarkDataReport!$B$3:$BO$99,21,0)</f>
        <v>0</v>
      </c>
      <c r="H45" s="595">
        <f>VLOOKUP(A45,[4]CFR20152016_BenchMarkDataReport!$B$3:$BO$99,22,0)</f>
        <v>84197.01</v>
      </c>
      <c r="I45" s="595">
        <f>VLOOKUP(A45,[4]CFR20152016_BenchMarkDataReport!$B$3:$BO$99,23,0)</f>
        <v>6627.4</v>
      </c>
      <c r="J45" s="595">
        <f>VLOOKUP(A45,[4]CFR20152016_BenchMarkDataReport!$B$3:$BO$99,24,0)</f>
        <v>1110</v>
      </c>
      <c r="K45" s="595">
        <f>VLOOKUP(A45,[4]CFR20152016_BenchMarkDataReport!$B$3:$BO$99,25,0)</f>
        <v>57040.52</v>
      </c>
      <c r="L45" s="595">
        <f>VLOOKUP(A45,[4]CFR20152016_BenchMarkDataReport!$B$3:$BO$99,26,0)</f>
        <v>21247.52</v>
      </c>
      <c r="M45" s="595">
        <f>VLOOKUP(A45,[4]CFR20152016_BenchMarkDataReport!$B$3:$BO$99,27,0)</f>
        <v>0</v>
      </c>
      <c r="N45" s="595">
        <f>VLOOKUP(A45,[4]CFR20152016_BenchMarkDataReport!$B$3:$BO$99,28,0)</f>
        <v>0</v>
      </c>
      <c r="O45" s="595">
        <f>VLOOKUP(A45,[4]CFR20152016_BenchMarkDataReport!$B$3:$BO$99,29,0)</f>
        <v>20738.2</v>
      </c>
      <c r="P45" s="595">
        <f>VLOOKUP(A45,[4]CFR20152016_BenchMarkDataReport!$B$3:$BO$99,30,0)</f>
        <v>14088.23</v>
      </c>
      <c r="Q45" s="595">
        <f>VLOOKUP(A45,[4]CFR20152016_BenchMarkDataReport!$B$3:$BO$99,31,0)</f>
        <v>0</v>
      </c>
      <c r="R45" s="595">
        <f>VLOOKUP(A45,[4]CFR20152016_BenchMarkDataReport!$B$3:$BO$99,32,0)</f>
        <v>0</v>
      </c>
      <c r="S45" s="595">
        <f>VLOOKUP(A45,[4]CFR20152016_BenchMarkDataReport!$B$3:$BO$99,33,0)</f>
        <v>0</v>
      </c>
      <c r="T45" s="595">
        <f>VLOOKUP(A45,[4]CFR20152016_BenchMarkDataReport!$B$3:$BO$99,34,0)</f>
        <v>43449.32</v>
      </c>
      <c r="U45" s="595">
        <f>VLOOKUP(A45,[4]CFR20152016_BenchMarkDataReport!$B$3:$BO$99,35,0)</f>
        <v>567209.12</v>
      </c>
      <c r="V45" s="595">
        <f>VLOOKUP(A45,[4]CFR20152016_BenchMarkDataReport!$B$3:$BO$99,36,0)</f>
        <v>0</v>
      </c>
      <c r="W45" s="595">
        <f>VLOOKUP(A45,[4]CFR20152016_BenchMarkDataReport!$B$3:$BO$99,37,0)</f>
        <v>210747.09</v>
      </c>
      <c r="X45" s="595">
        <f>VLOOKUP(A45,[4]CFR20152016_BenchMarkDataReport!$B$3:$BO$99,38,0)</f>
        <v>33223.21</v>
      </c>
      <c r="Y45" s="595">
        <f>VLOOKUP(A45,[4]CFR20152016_BenchMarkDataReport!$B$3:$BO$99,39,0)</f>
        <v>62858.5</v>
      </c>
      <c r="Z45" s="595">
        <f>VLOOKUP(A45,[4]CFR20152016_BenchMarkDataReport!$B$3:$BO$99,40,0)</f>
        <v>0</v>
      </c>
      <c r="AA45" s="595">
        <f>VLOOKUP(A45,[4]CFR20152016_BenchMarkDataReport!$B$3:$BO$99,41,0)</f>
        <v>55480.01</v>
      </c>
      <c r="AB45" s="595">
        <f>VLOOKUP(A45,[4]CFR20152016_BenchMarkDataReport!$B$3:$BO$99,42,0)</f>
        <v>6950.93</v>
      </c>
      <c r="AC45" s="595">
        <f>VLOOKUP(A45,[4]CFR20152016_BenchMarkDataReport!$B$3:$BO$99,43,0)</f>
        <v>4988.96</v>
      </c>
      <c r="AD45" s="595">
        <f>VLOOKUP(A45,[4]CFR20152016_BenchMarkDataReport!$B$3:$BO$99,44,0)</f>
        <v>11652.79</v>
      </c>
      <c r="AE45" s="595">
        <f>VLOOKUP(A45,[4]CFR20152016_BenchMarkDataReport!$B$3:$BO$99,45,0)</f>
        <v>1204.6199999999999</v>
      </c>
      <c r="AF45" s="595">
        <f>VLOOKUP(A45,[4]CFR20152016_BenchMarkDataReport!$B$3:$BO$99,46,0)</f>
        <v>19559.46</v>
      </c>
      <c r="AG45" s="595">
        <f>VLOOKUP(A45,[4]CFR20152016_BenchMarkDataReport!$B$3:$BO$99,47,0)</f>
        <v>2341.79</v>
      </c>
      <c r="AH45" s="595">
        <f>VLOOKUP(A45,[4]CFR20152016_BenchMarkDataReport!$B$3:$BO$99,48,0)</f>
        <v>23063.3</v>
      </c>
      <c r="AI45" s="595">
        <f>VLOOKUP(A45,[4]CFR20152016_BenchMarkDataReport!$B$3:$BO$99,49,0)</f>
        <v>2834.39</v>
      </c>
      <c r="AJ45" s="595">
        <f>VLOOKUP(A45,[4]CFR20152016_BenchMarkDataReport!$B$3:$BO$99,50,0)</f>
        <v>13867.65</v>
      </c>
      <c r="AK45" s="595">
        <f>VLOOKUP(A45,[4]CFR20152016_BenchMarkDataReport!$B$3:$BO$99,51,0)</f>
        <v>0</v>
      </c>
      <c r="AL45" s="595">
        <f>VLOOKUP(A45,[4]CFR20152016_BenchMarkDataReport!$B$3:$BO$99,52,0)</f>
        <v>8856.7999999999993</v>
      </c>
      <c r="AM45" s="595">
        <f>VLOOKUP(A45,[4]CFR20152016_BenchMarkDataReport!$B$3:$BO$99,53,0)</f>
        <v>43167.39</v>
      </c>
      <c r="AN45" s="595">
        <f>VLOOKUP(A45,[4]CFR20152016_BenchMarkDataReport!$B$3:$BO$99,54,0)</f>
        <v>10978.45</v>
      </c>
      <c r="AO45" s="595">
        <f>VLOOKUP(A45,[4]CFR20152016_BenchMarkDataReport!$B$3:$BO$99,55,0)</f>
        <v>0</v>
      </c>
      <c r="AP45" s="595">
        <f>VLOOKUP(A45,[4]CFR20152016_BenchMarkDataReport!$B$3:$BO$99,56,0)</f>
        <v>14223.38</v>
      </c>
      <c r="AQ45" s="595">
        <f>VLOOKUP(A45,[4]CFR20152016_BenchMarkDataReport!$B$3:$BO$99,57,0)</f>
        <v>2000.38</v>
      </c>
      <c r="AR45" s="595">
        <f>VLOOKUP(A45,[4]CFR20152016_BenchMarkDataReport!$B$3:$BO$99,58,0)</f>
        <v>18019.13</v>
      </c>
      <c r="AS45" s="595">
        <f>VLOOKUP(A45,[4]CFR20152016_BenchMarkDataReport!$B$3:$BO$99,59,0)</f>
        <v>62102.36</v>
      </c>
      <c r="AT45" s="595">
        <f>VLOOKUP(A45,[4]CFR20152016_BenchMarkDataReport!$B$3:$BO$99,60,0)</f>
        <v>37670.6</v>
      </c>
      <c r="AU45" s="595">
        <f>VLOOKUP(A45,[4]CFR20152016_BenchMarkDataReport!$B$3:$BO$99,61,0)</f>
        <v>103324.82</v>
      </c>
      <c r="AV45" s="595">
        <f>VLOOKUP(A45,[4]CFR20152016_BenchMarkDataReport!$B$3:$BO$99,62,0)</f>
        <v>41409.07</v>
      </c>
      <c r="AW45" s="595">
        <f>VLOOKUP(A45,[4]CFR20152016_BenchMarkDataReport!$B$3:$BO$99,63,0)</f>
        <v>0</v>
      </c>
      <c r="AX45" s="595">
        <f>VLOOKUP(A45,[4]CFR20152016_BenchMarkDataReport!$B$3:$BO$99,64,0)</f>
        <v>6230</v>
      </c>
      <c r="AY45" s="595">
        <f>VLOOKUP(A45,[4]CFR20152016_BenchMarkDataReport!$B$3:$BO$99,65,0)</f>
        <v>0</v>
      </c>
      <c r="AZ45" s="595">
        <f>VLOOKUP(A45,[4]CFR20152016_BenchMarkDataReport!$B$3:$BO$99,66,0)</f>
        <v>0</v>
      </c>
      <c r="BA45" s="596">
        <f t="shared" si="0"/>
        <v>1374902.2</v>
      </c>
      <c r="BB45" s="595">
        <f t="shared" si="42"/>
        <v>1363964.2</v>
      </c>
      <c r="BC45" s="601">
        <f t="shared" si="43"/>
        <v>10938</v>
      </c>
      <c r="BD45" s="595">
        <f>VLOOKUP(A45,[4]CFR20152016_BenchMarkDataReport!$B$3:$BO$99,15,0)</f>
        <v>23352</v>
      </c>
      <c r="BE45" s="601">
        <f t="shared" si="1"/>
        <v>34290</v>
      </c>
      <c r="BF45" s="76">
        <f>VLOOKUP(A45,'OCT 15 CENSUS'!$B$9:$U$132,20,0)</f>
        <v>257</v>
      </c>
      <c r="BG45" s="73">
        <f>VLOOKUP(A45,'[2]BUDGET SHARE inc ADJUSTMENTS'!$D$4:$M$139,10,0)</f>
        <v>1251048.1124071514</v>
      </c>
      <c r="BH45" s="76">
        <f>VLOOKUP(A45,'12-13 Pupil Data'!A:CI,81,0)</f>
        <v>1240.7</v>
      </c>
      <c r="BI45" t="s">
        <v>210</v>
      </c>
      <c r="BJ45" s="44">
        <f t="shared" si="76"/>
        <v>0.79306513583293414</v>
      </c>
      <c r="BK45" s="45">
        <f t="shared" si="77"/>
        <v>4242.7509727626457</v>
      </c>
      <c r="BL45" s="44">
        <f t="shared" si="78"/>
        <v>0</v>
      </c>
      <c r="BM45" s="45">
        <f t="shared" si="79"/>
        <v>0</v>
      </c>
      <c r="BN45" s="44">
        <f t="shared" si="80"/>
        <v>2.6196045071423989E-2</v>
      </c>
      <c r="BO45" s="45">
        <f t="shared" si="81"/>
        <v>140.14396887159532</v>
      </c>
      <c r="BP45" s="44">
        <f t="shared" si="82"/>
        <v>0</v>
      </c>
      <c r="BQ45" s="45">
        <f t="shared" si="83"/>
        <v>0</v>
      </c>
      <c r="BR45" s="44">
        <f t="shared" si="84"/>
        <v>6.1238544821588033E-2</v>
      </c>
      <c r="BS45" s="45">
        <f t="shared" si="85"/>
        <v>327.61482490272374</v>
      </c>
      <c r="BT45" s="44">
        <f t="shared" si="86"/>
        <v>4.8202701253951003E-3</v>
      </c>
      <c r="BU45" s="45">
        <f t="shared" si="87"/>
        <v>25.787548638132293</v>
      </c>
      <c r="BV45" s="44">
        <f t="shared" si="88"/>
        <v>8.0733015046452038E-4</v>
      </c>
      <c r="BW45" s="45">
        <f t="shared" si="89"/>
        <v>4.3190661478599219</v>
      </c>
      <c r="BX45" s="44">
        <f t="shared" si="90"/>
        <v>4.1486965400157186E-2</v>
      </c>
      <c r="BY45" s="45">
        <f t="shared" si="91"/>
        <v>221.94754863813228</v>
      </c>
      <c r="BZ45" s="46">
        <f t="shared" si="92"/>
        <v>1.5083400113840826E-2</v>
      </c>
      <c r="CA45" s="47">
        <f t="shared" si="93"/>
        <v>80.69338521400779</v>
      </c>
      <c r="CB45" s="44">
        <f t="shared" si="94"/>
        <v>1.0246714275386279E-2</v>
      </c>
      <c r="CC45" s="48">
        <f t="shared" si="95"/>
        <v>54.818015564202334</v>
      </c>
      <c r="CD45" s="46">
        <f t="shared" si="64"/>
        <v>0.48349836748975722</v>
      </c>
      <c r="CE45" s="49">
        <f t="shared" si="65"/>
        <v>0.43994381564012336</v>
      </c>
      <c r="CF45" s="49">
        <f t="shared" si="66"/>
        <v>0.44347184478888813</v>
      </c>
      <c r="CG45" s="47">
        <f t="shared" si="67"/>
        <v>2353.6175875486379</v>
      </c>
      <c r="CH45" s="44">
        <f t="shared" si="2"/>
        <v>0.1684564229864029</v>
      </c>
      <c r="CI45" s="50">
        <f t="shared" si="3"/>
        <v>0.15328151340509893</v>
      </c>
      <c r="CJ45" s="50">
        <f t="shared" si="4"/>
        <v>0.15451071956287415</v>
      </c>
      <c r="CK45" s="45">
        <f t="shared" si="5"/>
        <v>820.02758754863817</v>
      </c>
      <c r="CL45" s="46">
        <f t="shared" si="6"/>
        <v>2.6556300809306977E-2</v>
      </c>
      <c r="CM45" s="49">
        <f t="shared" si="68"/>
        <v>2.416405326866158E-2</v>
      </c>
      <c r="CN45" s="49">
        <f t="shared" si="69"/>
        <v>2.4357831385897078E-2</v>
      </c>
      <c r="CO45" s="47">
        <f t="shared" si="70"/>
        <v>129.27319066147859</v>
      </c>
      <c r="CP45" s="44">
        <f t="shared" si="7"/>
        <v>5.0244670350090274E-2</v>
      </c>
      <c r="CQ45" s="50">
        <f t="shared" si="8"/>
        <v>4.5718524561237886E-2</v>
      </c>
      <c r="CR45" s="50">
        <f t="shared" si="71"/>
        <v>4.608515384787959E-2</v>
      </c>
      <c r="CS45" s="45">
        <f t="shared" si="9"/>
        <v>244.58560311284046</v>
      </c>
      <c r="CT45" s="46">
        <f t="shared" si="10"/>
        <v>0.74299135323541421</v>
      </c>
      <c r="CU45" s="49">
        <f t="shared" si="11"/>
        <v>0.67606112638411664</v>
      </c>
      <c r="CV45" s="49">
        <f t="shared" si="12"/>
        <v>0.68148264448583029</v>
      </c>
      <c r="CW45" s="47">
        <f t="shared" si="13"/>
        <v>3616.8012840466922</v>
      </c>
      <c r="CX45" s="44">
        <f t="shared" si="14"/>
        <v>1.5634458663916204E-2</v>
      </c>
      <c r="CY45" s="50">
        <f t="shared" si="15"/>
        <v>1.4340156435190893E-2</v>
      </c>
      <c r="CZ45" s="48">
        <f t="shared" si="16"/>
        <v>15.764858547594098</v>
      </c>
      <c r="DA45" s="45">
        <f t="shared" si="17"/>
        <v>76.106848249027237</v>
      </c>
      <c r="DB45" s="51">
        <f t="shared" si="18"/>
        <v>2.0780530750000624E-3</v>
      </c>
      <c r="DC45" s="52">
        <f t="shared" si="19"/>
        <v>11.028754863813228</v>
      </c>
      <c r="DD45" s="44">
        <f t="shared" si="20"/>
        <v>1.108482548550203E-2</v>
      </c>
      <c r="DE45" s="50">
        <f t="shared" si="21"/>
        <v>1.0167165677808846E-2</v>
      </c>
      <c r="DF45" s="48">
        <f t="shared" si="22"/>
        <v>11.177278955428386</v>
      </c>
      <c r="DG45" s="45">
        <f t="shared" si="23"/>
        <v>53.959727626459141</v>
      </c>
      <c r="DH45" s="46">
        <f t="shared" si="24"/>
        <v>7.0795039072946301E-3</v>
      </c>
      <c r="DI45" s="49">
        <f t="shared" si="25"/>
        <v>6.4934255605828949E-3</v>
      </c>
      <c r="DJ45" s="47">
        <f t="shared" si="26"/>
        <v>7.1385508180865633</v>
      </c>
      <c r="DK45" s="44">
        <f t="shared" si="27"/>
        <v>3.4504979921948238E-2</v>
      </c>
      <c r="DL45" s="50">
        <f t="shared" si="28"/>
        <v>3.1396698616090658E-2</v>
      </c>
      <c r="DM45" s="50">
        <f t="shared" si="29"/>
        <v>3.1648477284081211E-2</v>
      </c>
      <c r="DN45" s="45">
        <f t="shared" si="30"/>
        <v>167.9664980544747</v>
      </c>
      <c r="DO45" s="46">
        <f t="shared" si="31"/>
        <v>1.1369171064598534E-2</v>
      </c>
      <c r="DP45" s="49">
        <f t="shared" si="32"/>
        <v>1.0427971643244008E-2</v>
      </c>
      <c r="DQ45" s="47">
        <f t="shared" si="33"/>
        <v>55.343891050583657</v>
      </c>
      <c r="DR45" s="53">
        <f t="shared" si="34"/>
        <v>4.5530784459005595E-2</v>
      </c>
      <c r="DS45" s="45">
        <f t="shared" si="35"/>
        <v>241.64342412451361</v>
      </c>
      <c r="DT45" s="46">
        <f t="shared" si="96"/>
        <v>4.5561796892308048E-5</v>
      </c>
      <c r="DU45" s="49">
        <f t="shared" si="97"/>
        <v>4.1457494213042939E-5</v>
      </c>
      <c r="DV45" s="49">
        <f t="shared" si="98"/>
        <v>4.1789953138066238E-5</v>
      </c>
      <c r="DW45" s="47">
        <f t="shared" si="99"/>
        <v>0.22178988326848248</v>
      </c>
      <c r="DY45" s="54">
        <f>VLOOKUP(A45,'[3]Barnet Schools'!$E$8:$V$130,17,0)</f>
        <v>57</v>
      </c>
    </row>
    <row r="46" spans="1:129">
      <c r="A46" s="79">
        <v>2036</v>
      </c>
      <c r="B46" s="80">
        <v>10074</v>
      </c>
      <c r="C46" s="573" t="s">
        <v>74</v>
      </c>
      <c r="D46" s="595">
        <f>VLOOKUP(A46,[4]CFR20152016_BenchMarkDataReport!$B$3:$BO$99,18,0)</f>
        <v>1578607</v>
      </c>
      <c r="E46" s="595">
        <f>VLOOKUP(A46,[4]CFR20152016_BenchMarkDataReport!$B$3:$BO$99,19,0)</f>
        <v>0</v>
      </c>
      <c r="F46" s="595">
        <f>VLOOKUP(A46,[4]CFR20152016_BenchMarkDataReport!$B$3:$BO$99,20,0)</f>
        <v>437042</v>
      </c>
      <c r="G46" s="595">
        <f>VLOOKUP(A46,[4]CFR20152016_BenchMarkDataReport!$B$3:$BO$99,21,0)</f>
        <v>0</v>
      </c>
      <c r="H46" s="595">
        <f>VLOOKUP(A46,[4]CFR20152016_BenchMarkDataReport!$B$3:$BO$99,22,0)</f>
        <v>145903.76</v>
      </c>
      <c r="I46" s="595">
        <f>VLOOKUP(A46,[4]CFR20152016_BenchMarkDataReport!$B$3:$BO$99,23,0)</f>
        <v>0</v>
      </c>
      <c r="J46" s="595">
        <f>VLOOKUP(A46,[4]CFR20152016_BenchMarkDataReport!$B$3:$BO$99,24,0)</f>
        <v>1525</v>
      </c>
      <c r="K46" s="595">
        <f>VLOOKUP(A46,[4]CFR20152016_BenchMarkDataReport!$B$3:$BO$99,25,0)</f>
        <v>59290.2</v>
      </c>
      <c r="L46" s="595">
        <f>VLOOKUP(A46,[4]CFR20152016_BenchMarkDataReport!$B$3:$BO$99,26,0)</f>
        <v>14117.64</v>
      </c>
      <c r="M46" s="595">
        <f>VLOOKUP(A46,[4]CFR20152016_BenchMarkDataReport!$B$3:$BO$99,27,0)</f>
        <v>0</v>
      </c>
      <c r="N46" s="595">
        <f>VLOOKUP(A46,[4]CFR20152016_BenchMarkDataReport!$B$3:$BO$99,28,0)</f>
        <v>7487</v>
      </c>
      <c r="O46" s="595">
        <f>VLOOKUP(A46,[4]CFR20152016_BenchMarkDataReport!$B$3:$BO$99,29,0)</f>
        <v>18802.599999999999</v>
      </c>
      <c r="P46" s="595">
        <f>VLOOKUP(A46,[4]CFR20152016_BenchMarkDataReport!$B$3:$BO$99,30,0)</f>
        <v>4178.34</v>
      </c>
      <c r="Q46" s="595">
        <f>VLOOKUP(A46,[4]CFR20152016_BenchMarkDataReport!$B$3:$BO$99,31,0)</f>
        <v>0</v>
      </c>
      <c r="R46" s="595">
        <f>VLOOKUP(A46,[4]CFR20152016_BenchMarkDataReport!$B$3:$BO$99,32,0)</f>
        <v>0</v>
      </c>
      <c r="S46" s="595">
        <f>VLOOKUP(A46,[4]CFR20152016_BenchMarkDataReport!$B$3:$BO$99,33,0)</f>
        <v>0</v>
      </c>
      <c r="T46" s="595">
        <f>VLOOKUP(A46,[4]CFR20152016_BenchMarkDataReport!$B$3:$BO$99,34,0)</f>
        <v>48169.59</v>
      </c>
      <c r="U46" s="595">
        <f>VLOOKUP(A46,[4]CFR20152016_BenchMarkDataReport!$B$3:$BO$99,35,0)</f>
        <v>877175.79</v>
      </c>
      <c r="V46" s="595">
        <f>VLOOKUP(A46,[4]CFR20152016_BenchMarkDataReport!$B$3:$BO$99,36,0)</f>
        <v>17261.2</v>
      </c>
      <c r="W46" s="595">
        <f>VLOOKUP(A46,[4]CFR20152016_BenchMarkDataReport!$B$3:$BO$99,37,0)</f>
        <v>604210.92000000004</v>
      </c>
      <c r="X46" s="595">
        <f>VLOOKUP(A46,[4]CFR20152016_BenchMarkDataReport!$B$3:$BO$99,38,0)</f>
        <v>73497.84</v>
      </c>
      <c r="Y46" s="595">
        <f>VLOOKUP(A46,[4]CFR20152016_BenchMarkDataReport!$B$3:$BO$99,39,0)</f>
        <v>60994.47</v>
      </c>
      <c r="Z46" s="595">
        <f>VLOOKUP(A46,[4]CFR20152016_BenchMarkDataReport!$B$3:$BO$99,40,0)</f>
        <v>0</v>
      </c>
      <c r="AA46" s="595">
        <f>VLOOKUP(A46,[4]CFR20152016_BenchMarkDataReport!$B$3:$BO$99,41,0)</f>
        <v>9490.64</v>
      </c>
      <c r="AB46" s="595">
        <f>VLOOKUP(A46,[4]CFR20152016_BenchMarkDataReport!$B$3:$BO$99,42,0)</f>
        <v>16845.34</v>
      </c>
      <c r="AC46" s="595">
        <f>VLOOKUP(A46,[4]CFR20152016_BenchMarkDataReport!$B$3:$BO$99,43,0)</f>
        <v>15263.47</v>
      </c>
      <c r="AD46" s="595">
        <f>VLOOKUP(A46,[4]CFR20152016_BenchMarkDataReport!$B$3:$BO$99,44,0)</f>
        <v>381</v>
      </c>
      <c r="AE46" s="595">
        <f>VLOOKUP(A46,[4]CFR20152016_BenchMarkDataReport!$B$3:$BO$99,45,0)</f>
        <v>1062.5999999999999</v>
      </c>
      <c r="AF46" s="595">
        <f>VLOOKUP(A46,[4]CFR20152016_BenchMarkDataReport!$B$3:$BO$99,46,0)</f>
        <v>64323.16</v>
      </c>
      <c r="AG46" s="595">
        <f>VLOOKUP(A46,[4]CFR20152016_BenchMarkDataReport!$B$3:$BO$99,47,0)</f>
        <v>12214.9</v>
      </c>
      <c r="AH46" s="595">
        <f>VLOOKUP(A46,[4]CFR20152016_BenchMarkDataReport!$B$3:$BO$99,48,0)</f>
        <v>15058.41</v>
      </c>
      <c r="AI46" s="595">
        <f>VLOOKUP(A46,[4]CFR20152016_BenchMarkDataReport!$B$3:$BO$99,49,0)</f>
        <v>1751.07</v>
      </c>
      <c r="AJ46" s="595">
        <f>VLOOKUP(A46,[4]CFR20152016_BenchMarkDataReport!$B$3:$BO$99,50,0)</f>
        <v>24636.73</v>
      </c>
      <c r="AK46" s="595">
        <f>VLOOKUP(A46,[4]CFR20152016_BenchMarkDataReport!$B$3:$BO$99,51,0)</f>
        <v>12255.75</v>
      </c>
      <c r="AL46" s="595">
        <f>VLOOKUP(A46,[4]CFR20152016_BenchMarkDataReport!$B$3:$BO$99,52,0)</f>
        <v>21710.79</v>
      </c>
      <c r="AM46" s="595">
        <f>VLOOKUP(A46,[4]CFR20152016_BenchMarkDataReport!$B$3:$BO$99,53,0)</f>
        <v>86214.86</v>
      </c>
      <c r="AN46" s="595">
        <f>VLOOKUP(A46,[4]CFR20152016_BenchMarkDataReport!$B$3:$BO$99,54,0)</f>
        <v>26371.86</v>
      </c>
      <c r="AO46" s="595">
        <f>VLOOKUP(A46,[4]CFR20152016_BenchMarkDataReport!$B$3:$BO$99,55,0)</f>
        <v>0</v>
      </c>
      <c r="AP46" s="595">
        <f>VLOOKUP(A46,[4]CFR20152016_BenchMarkDataReport!$B$3:$BO$99,56,0)</f>
        <v>13813.98</v>
      </c>
      <c r="AQ46" s="595">
        <f>VLOOKUP(A46,[4]CFR20152016_BenchMarkDataReport!$B$3:$BO$99,57,0)</f>
        <v>8754.2800000000007</v>
      </c>
      <c r="AR46" s="595">
        <f>VLOOKUP(A46,[4]CFR20152016_BenchMarkDataReport!$B$3:$BO$99,58,0)</f>
        <v>8501.8799999999992</v>
      </c>
      <c r="AS46" s="595">
        <f>VLOOKUP(A46,[4]CFR20152016_BenchMarkDataReport!$B$3:$BO$99,59,0)</f>
        <v>83121.23</v>
      </c>
      <c r="AT46" s="595">
        <f>VLOOKUP(A46,[4]CFR20152016_BenchMarkDataReport!$B$3:$BO$99,60,0)</f>
        <v>30248.5</v>
      </c>
      <c r="AU46" s="595">
        <f>VLOOKUP(A46,[4]CFR20152016_BenchMarkDataReport!$B$3:$BO$99,61,0)</f>
        <v>123786.2</v>
      </c>
      <c r="AV46" s="595">
        <f>VLOOKUP(A46,[4]CFR20152016_BenchMarkDataReport!$B$3:$BO$99,62,0)</f>
        <v>41320.57</v>
      </c>
      <c r="AW46" s="595">
        <f>VLOOKUP(A46,[4]CFR20152016_BenchMarkDataReport!$B$3:$BO$99,63,0)</f>
        <v>0</v>
      </c>
      <c r="AX46" s="595">
        <f>VLOOKUP(A46,[4]CFR20152016_BenchMarkDataReport!$B$3:$BO$99,64,0)</f>
        <v>40126.69</v>
      </c>
      <c r="AY46" s="595">
        <f>VLOOKUP(A46,[4]CFR20152016_BenchMarkDataReport!$B$3:$BO$99,65,0)</f>
        <v>0</v>
      </c>
      <c r="AZ46" s="595">
        <f>VLOOKUP(A46,[4]CFR20152016_BenchMarkDataReport!$B$3:$BO$99,66,0)</f>
        <v>0</v>
      </c>
      <c r="BA46" s="596">
        <f t="shared" si="0"/>
        <v>2315123.13</v>
      </c>
      <c r="BB46" s="595">
        <f t="shared" si="42"/>
        <v>2290394.13</v>
      </c>
      <c r="BC46" s="601">
        <f t="shared" si="43"/>
        <v>24729</v>
      </c>
      <c r="BD46" s="595">
        <f>VLOOKUP(A46,[4]CFR20152016_BenchMarkDataReport!$B$3:$BO$99,15,0)</f>
        <v>368432</v>
      </c>
      <c r="BE46" s="601">
        <f t="shared" si="1"/>
        <v>393161</v>
      </c>
      <c r="BF46" s="76">
        <f>VLOOKUP(A46,'OCT 15 CENSUS'!$B$9:$U$132,20,0)</f>
        <v>294</v>
      </c>
      <c r="BG46" s="73">
        <f>VLOOKUP(A46,'[2]BUDGET SHARE inc ADJUSTMENTS'!$D$4:$M$139,10,0)</f>
        <v>2212594.6275908146</v>
      </c>
      <c r="BH46" s="76">
        <f>VLOOKUP(A46,'12-13 Pupil Data'!A:CI,81,0)</f>
        <v>2645</v>
      </c>
      <c r="BI46" t="s">
        <v>210</v>
      </c>
      <c r="BJ46" s="44">
        <f t="shared" si="76"/>
        <v>0.6818674046075468</v>
      </c>
      <c r="BK46" s="45">
        <f t="shared" si="77"/>
        <v>5369.4115646258506</v>
      </c>
      <c r="BL46" s="44">
        <f t="shared" si="78"/>
        <v>0</v>
      </c>
      <c r="BM46" s="45">
        <f t="shared" si="79"/>
        <v>0</v>
      </c>
      <c r="BN46" s="44">
        <f t="shared" si="80"/>
        <v>0.1887770003835606</v>
      </c>
      <c r="BO46" s="45">
        <f t="shared" si="81"/>
        <v>1486.5374149659865</v>
      </c>
      <c r="BP46" s="44">
        <f t="shared" si="82"/>
        <v>0</v>
      </c>
      <c r="BQ46" s="45">
        <f t="shared" si="83"/>
        <v>0</v>
      </c>
      <c r="BR46" s="44">
        <f t="shared" si="84"/>
        <v>6.3022030279659469E-2</v>
      </c>
      <c r="BS46" s="45">
        <f t="shared" si="85"/>
        <v>496.27129251700683</v>
      </c>
      <c r="BT46" s="44">
        <f t="shared" si="86"/>
        <v>0</v>
      </c>
      <c r="BU46" s="45">
        <f t="shared" si="87"/>
        <v>0</v>
      </c>
      <c r="BV46" s="44">
        <f t="shared" si="88"/>
        <v>6.5871226469064743E-4</v>
      </c>
      <c r="BW46" s="45">
        <f t="shared" si="89"/>
        <v>5.1870748299319729</v>
      </c>
      <c r="BX46" s="44">
        <f t="shared" si="90"/>
        <v>2.5609955354728799E-2</v>
      </c>
      <c r="BY46" s="45">
        <f t="shared" si="91"/>
        <v>201.66734693877549</v>
      </c>
      <c r="BZ46" s="46">
        <f t="shared" si="92"/>
        <v>8.1216414610310594E-3</v>
      </c>
      <c r="CA46" s="47">
        <f t="shared" si="93"/>
        <v>63.954421768707476</v>
      </c>
      <c r="CB46" s="44">
        <f t="shared" si="94"/>
        <v>1.8048024944573901E-3</v>
      </c>
      <c r="CC46" s="48">
        <f t="shared" si="95"/>
        <v>14.212040816326532</v>
      </c>
      <c r="CD46" s="46">
        <f t="shared" si="64"/>
        <v>0.41791907042947335</v>
      </c>
      <c r="CE46" s="49">
        <f t="shared" si="65"/>
        <v>0.39941093327506949</v>
      </c>
      <c r="CF46" s="49">
        <f t="shared" si="66"/>
        <v>0.40372330590979993</v>
      </c>
      <c r="CG46" s="47">
        <f t="shared" si="67"/>
        <v>3145.1887414965986</v>
      </c>
      <c r="CH46" s="44">
        <f t="shared" si="2"/>
        <v>0.27307800193743376</v>
      </c>
      <c r="CI46" s="50">
        <f t="shared" si="3"/>
        <v>0.2609843563698489</v>
      </c>
      <c r="CJ46" s="50">
        <f t="shared" si="4"/>
        <v>0.26380216054780059</v>
      </c>
      <c r="CK46" s="45">
        <f t="shared" si="5"/>
        <v>2055.1391836734697</v>
      </c>
      <c r="CL46" s="46">
        <f t="shared" si="6"/>
        <v>3.3217941996012246E-2</v>
      </c>
      <c r="CM46" s="49">
        <f t="shared" si="68"/>
        <v>3.1746838450013672E-2</v>
      </c>
      <c r="CN46" s="49">
        <f t="shared" si="69"/>
        <v>3.2089603722482471E-2</v>
      </c>
      <c r="CO46" s="47">
        <f t="shared" si="70"/>
        <v>249.99265306122447</v>
      </c>
      <c r="CP46" s="44">
        <f t="shared" si="7"/>
        <v>2.7566943008631398E-2</v>
      </c>
      <c r="CQ46" s="50">
        <f t="shared" si="8"/>
        <v>2.6346101945774265E-2</v>
      </c>
      <c r="CR46" s="50">
        <f t="shared" si="71"/>
        <v>2.6630556375028782E-2</v>
      </c>
      <c r="CS46" s="45">
        <f t="shared" si="9"/>
        <v>207.46418367346939</v>
      </c>
      <c r="CT46" s="46">
        <f t="shared" si="10"/>
        <v>0.74240027500590111</v>
      </c>
      <c r="CU46" s="49">
        <f t="shared" si="11"/>
        <v>0.70952202874842352</v>
      </c>
      <c r="CV46" s="49">
        <f t="shared" si="12"/>
        <v>0.7171826186962853</v>
      </c>
      <c r="CW46" s="47">
        <f t="shared" si="13"/>
        <v>5587.1797959183677</v>
      </c>
      <c r="CX46" s="44">
        <f t="shared" si="14"/>
        <v>2.9071371320302953E-2</v>
      </c>
      <c r="CY46" s="50">
        <f t="shared" si="15"/>
        <v>2.8083882663461072E-2</v>
      </c>
      <c r="CZ46" s="48">
        <f t="shared" si="16"/>
        <v>24.318775047258981</v>
      </c>
      <c r="DA46" s="45">
        <f t="shared" si="17"/>
        <v>218.78625850340137</v>
      </c>
      <c r="DB46" s="51">
        <f t="shared" si="18"/>
        <v>7.6452780639985312E-4</v>
      </c>
      <c r="DC46" s="52">
        <f t="shared" si="19"/>
        <v>5.9560204081632655</v>
      </c>
      <c r="DD46" s="44">
        <f t="shared" si="20"/>
        <v>1.1134768968876021E-2</v>
      </c>
      <c r="DE46" s="50">
        <f t="shared" si="21"/>
        <v>1.0756546079691533E-2</v>
      </c>
      <c r="DF46" s="48">
        <f t="shared" si="22"/>
        <v>9.3144536862003786</v>
      </c>
      <c r="DG46" s="45">
        <f t="shared" si="23"/>
        <v>83.798401360544219</v>
      </c>
      <c r="DH46" s="46">
        <f t="shared" si="24"/>
        <v>9.8123667703377791E-3</v>
      </c>
      <c r="DI46" s="49">
        <f t="shared" si="25"/>
        <v>9.4790628894949186E-3</v>
      </c>
      <c r="DJ46" s="47">
        <f t="shared" si="26"/>
        <v>8.2082381852551993</v>
      </c>
      <c r="DK46" s="44">
        <f t="shared" si="27"/>
        <v>3.8965501825282439E-2</v>
      </c>
      <c r="DL46" s="50">
        <f t="shared" si="28"/>
        <v>3.7239859462680068E-2</v>
      </c>
      <c r="DM46" s="50">
        <f t="shared" si="29"/>
        <v>3.7641931958671236E-2</v>
      </c>
      <c r="DN46" s="45">
        <f t="shared" si="30"/>
        <v>293.24782312925169</v>
      </c>
      <c r="DO46" s="46">
        <f t="shared" si="31"/>
        <v>6.2433397549380128E-3</v>
      </c>
      <c r="DP46" s="49">
        <f t="shared" si="32"/>
        <v>6.0312676403864165E-3</v>
      </c>
      <c r="DQ46" s="47">
        <f t="shared" si="33"/>
        <v>46.986326530612246</v>
      </c>
      <c r="DR46" s="53">
        <f t="shared" si="34"/>
        <v>3.6291234295121079E-2</v>
      </c>
      <c r="DS46" s="45">
        <f t="shared" si="35"/>
        <v>282.72527210884351</v>
      </c>
      <c r="DT46" s="46">
        <f t="shared" si="96"/>
        <v>4.9263429749300591E-5</v>
      </c>
      <c r="DU46" s="49">
        <f t="shared" si="97"/>
        <v>4.708172908280693E-5</v>
      </c>
      <c r="DV46" s="49">
        <f t="shared" si="98"/>
        <v>4.7590062588922201E-5</v>
      </c>
      <c r="DW46" s="47">
        <f t="shared" si="99"/>
        <v>0.37074829931972791</v>
      </c>
      <c r="DY46" s="54">
        <f>VLOOKUP(A46,'[3]Barnet Schools'!$E$8:$V$130,17,0)</f>
        <v>109</v>
      </c>
    </row>
    <row r="47" spans="1:129">
      <c r="A47" s="79">
        <v>2037</v>
      </c>
      <c r="B47" s="80">
        <v>10075</v>
      </c>
      <c r="C47" s="573" t="s">
        <v>75</v>
      </c>
      <c r="D47" s="595">
        <f>VLOOKUP(A47,[4]CFR20152016_BenchMarkDataReport!$B$3:$BO$99,18,0)</f>
        <v>1421645</v>
      </c>
      <c r="E47" s="595">
        <f>VLOOKUP(A47,[4]CFR20152016_BenchMarkDataReport!$B$3:$BO$99,19,0)</f>
        <v>0</v>
      </c>
      <c r="F47" s="595">
        <f>VLOOKUP(A47,[4]CFR20152016_BenchMarkDataReport!$B$3:$BO$99,20,0)</f>
        <v>63981</v>
      </c>
      <c r="G47" s="595">
        <f>VLOOKUP(A47,[4]CFR20152016_BenchMarkDataReport!$B$3:$BO$99,21,0)</f>
        <v>0</v>
      </c>
      <c r="H47" s="595">
        <f>VLOOKUP(A47,[4]CFR20152016_BenchMarkDataReport!$B$3:$BO$99,22,0)</f>
        <v>89440.01</v>
      </c>
      <c r="I47" s="595">
        <f>VLOOKUP(A47,[4]CFR20152016_BenchMarkDataReport!$B$3:$BO$99,23,0)</f>
        <v>7402.87</v>
      </c>
      <c r="J47" s="595">
        <f>VLOOKUP(A47,[4]CFR20152016_BenchMarkDataReport!$B$3:$BO$99,24,0)</f>
        <v>99602.05</v>
      </c>
      <c r="K47" s="595">
        <f>VLOOKUP(A47,[4]CFR20152016_BenchMarkDataReport!$B$3:$BO$99,25,0)</f>
        <v>67297.649999999994</v>
      </c>
      <c r="L47" s="595">
        <f>VLOOKUP(A47,[4]CFR20152016_BenchMarkDataReport!$B$3:$BO$99,26,0)</f>
        <v>27294.04</v>
      </c>
      <c r="M47" s="595">
        <f>VLOOKUP(A47,[4]CFR20152016_BenchMarkDataReport!$B$3:$BO$99,27,0)</f>
        <v>2804.89</v>
      </c>
      <c r="N47" s="595">
        <f>VLOOKUP(A47,[4]CFR20152016_BenchMarkDataReport!$B$3:$BO$99,28,0)</f>
        <v>3464.19</v>
      </c>
      <c r="O47" s="595">
        <f>VLOOKUP(A47,[4]CFR20152016_BenchMarkDataReport!$B$3:$BO$99,29,0)</f>
        <v>16793.3</v>
      </c>
      <c r="P47" s="595">
        <f>VLOOKUP(A47,[4]CFR20152016_BenchMarkDataReport!$B$3:$BO$99,30,0)</f>
        <v>6371.27</v>
      </c>
      <c r="Q47" s="595">
        <f>VLOOKUP(A47,[4]CFR20152016_BenchMarkDataReport!$B$3:$BO$99,31,0)</f>
        <v>0</v>
      </c>
      <c r="R47" s="595">
        <f>VLOOKUP(A47,[4]CFR20152016_BenchMarkDataReport!$B$3:$BO$99,32,0)</f>
        <v>0</v>
      </c>
      <c r="S47" s="595">
        <f>VLOOKUP(A47,[4]CFR20152016_BenchMarkDataReport!$B$3:$BO$99,33,0)</f>
        <v>0</v>
      </c>
      <c r="T47" s="595">
        <f>VLOOKUP(A47,[4]CFR20152016_BenchMarkDataReport!$B$3:$BO$99,34,0)</f>
        <v>20955.830000000002</v>
      </c>
      <c r="U47" s="595">
        <f>VLOOKUP(A47,[4]CFR20152016_BenchMarkDataReport!$B$3:$BO$99,35,0)</f>
        <v>756538.72</v>
      </c>
      <c r="V47" s="595">
        <f>VLOOKUP(A47,[4]CFR20152016_BenchMarkDataReport!$B$3:$BO$99,36,0)</f>
        <v>0</v>
      </c>
      <c r="W47" s="595">
        <f>VLOOKUP(A47,[4]CFR20152016_BenchMarkDataReport!$B$3:$BO$99,37,0)</f>
        <v>414668.87</v>
      </c>
      <c r="X47" s="595">
        <f>VLOOKUP(A47,[4]CFR20152016_BenchMarkDataReport!$B$3:$BO$99,38,0)</f>
        <v>45309.58</v>
      </c>
      <c r="Y47" s="595">
        <f>VLOOKUP(A47,[4]CFR20152016_BenchMarkDataReport!$B$3:$BO$99,39,0)</f>
        <v>71705.13</v>
      </c>
      <c r="Z47" s="595">
        <f>VLOOKUP(A47,[4]CFR20152016_BenchMarkDataReport!$B$3:$BO$99,40,0)</f>
        <v>0</v>
      </c>
      <c r="AA47" s="595">
        <f>VLOOKUP(A47,[4]CFR20152016_BenchMarkDataReport!$B$3:$BO$99,41,0)</f>
        <v>52082.69</v>
      </c>
      <c r="AB47" s="595">
        <f>VLOOKUP(A47,[4]CFR20152016_BenchMarkDataReport!$B$3:$BO$99,42,0)</f>
        <v>3797.71</v>
      </c>
      <c r="AC47" s="595">
        <f>VLOOKUP(A47,[4]CFR20152016_BenchMarkDataReport!$B$3:$BO$99,43,0)</f>
        <v>4107.51</v>
      </c>
      <c r="AD47" s="595">
        <f>VLOOKUP(A47,[4]CFR20152016_BenchMarkDataReport!$B$3:$BO$99,44,0)</f>
        <v>15710.09</v>
      </c>
      <c r="AE47" s="595">
        <f>VLOOKUP(A47,[4]CFR20152016_BenchMarkDataReport!$B$3:$BO$99,45,0)</f>
        <v>1176</v>
      </c>
      <c r="AF47" s="595">
        <f>VLOOKUP(A47,[4]CFR20152016_BenchMarkDataReport!$B$3:$BO$99,46,0)</f>
        <v>22829.11</v>
      </c>
      <c r="AG47" s="595">
        <f>VLOOKUP(A47,[4]CFR20152016_BenchMarkDataReport!$B$3:$BO$99,47,0)</f>
        <v>1188.44</v>
      </c>
      <c r="AH47" s="595">
        <f>VLOOKUP(A47,[4]CFR20152016_BenchMarkDataReport!$B$3:$BO$99,48,0)</f>
        <v>28152.400000000001</v>
      </c>
      <c r="AI47" s="595">
        <f>VLOOKUP(A47,[4]CFR20152016_BenchMarkDataReport!$B$3:$BO$99,49,0)</f>
        <v>2976.42</v>
      </c>
      <c r="AJ47" s="595">
        <f>VLOOKUP(A47,[4]CFR20152016_BenchMarkDataReport!$B$3:$BO$99,50,0)</f>
        <v>30009.79</v>
      </c>
      <c r="AK47" s="595">
        <f>VLOOKUP(A47,[4]CFR20152016_BenchMarkDataReport!$B$3:$BO$99,51,0)</f>
        <v>31193.53</v>
      </c>
      <c r="AL47" s="595">
        <f>VLOOKUP(A47,[4]CFR20152016_BenchMarkDataReport!$B$3:$BO$99,52,0)</f>
        <v>8270.7099999999991</v>
      </c>
      <c r="AM47" s="595">
        <f>VLOOKUP(A47,[4]CFR20152016_BenchMarkDataReport!$B$3:$BO$99,53,0)</f>
        <v>133122.64000000001</v>
      </c>
      <c r="AN47" s="595">
        <f>VLOOKUP(A47,[4]CFR20152016_BenchMarkDataReport!$B$3:$BO$99,54,0)</f>
        <v>27034.81</v>
      </c>
      <c r="AO47" s="595">
        <f>VLOOKUP(A47,[4]CFR20152016_BenchMarkDataReport!$B$3:$BO$99,55,0)</f>
        <v>0</v>
      </c>
      <c r="AP47" s="595">
        <f>VLOOKUP(A47,[4]CFR20152016_BenchMarkDataReport!$B$3:$BO$99,56,0)</f>
        <v>17640.990000000002</v>
      </c>
      <c r="AQ47" s="595">
        <f>VLOOKUP(A47,[4]CFR20152016_BenchMarkDataReport!$B$3:$BO$99,57,0)</f>
        <v>11125.17</v>
      </c>
      <c r="AR47" s="595">
        <f>VLOOKUP(A47,[4]CFR20152016_BenchMarkDataReport!$B$3:$BO$99,58,0)</f>
        <v>6747.41</v>
      </c>
      <c r="AS47" s="595">
        <f>VLOOKUP(A47,[4]CFR20152016_BenchMarkDataReport!$B$3:$BO$99,59,0)</f>
        <v>82807.17</v>
      </c>
      <c r="AT47" s="595">
        <f>VLOOKUP(A47,[4]CFR20152016_BenchMarkDataReport!$B$3:$BO$99,60,0)</f>
        <v>60754.2</v>
      </c>
      <c r="AU47" s="595">
        <f>VLOOKUP(A47,[4]CFR20152016_BenchMarkDataReport!$B$3:$BO$99,61,0)</f>
        <v>60135.78</v>
      </c>
      <c r="AV47" s="595">
        <f>VLOOKUP(A47,[4]CFR20152016_BenchMarkDataReport!$B$3:$BO$99,62,0)</f>
        <v>42107.06</v>
      </c>
      <c r="AW47" s="595">
        <f>VLOOKUP(A47,[4]CFR20152016_BenchMarkDataReport!$B$3:$BO$99,63,0)</f>
        <v>0</v>
      </c>
      <c r="AX47" s="595">
        <f>VLOOKUP(A47,[4]CFR20152016_BenchMarkDataReport!$B$3:$BO$99,64,0)</f>
        <v>6358.17</v>
      </c>
      <c r="AY47" s="595">
        <f>VLOOKUP(A47,[4]CFR20152016_BenchMarkDataReport!$B$3:$BO$99,65,0)</f>
        <v>0</v>
      </c>
      <c r="AZ47" s="595">
        <f>VLOOKUP(A47,[4]CFR20152016_BenchMarkDataReport!$B$3:$BO$99,66,0)</f>
        <v>0</v>
      </c>
      <c r="BA47" s="596">
        <f t="shared" si="0"/>
        <v>1827052.1</v>
      </c>
      <c r="BB47" s="595">
        <f t="shared" si="42"/>
        <v>1937550.0999999996</v>
      </c>
      <c r="BC47" s="601">
        <f t="shared" si="43"/>
        <v>-110497.99999999953</v>
      </c>
      <c r="BD47" s="595">
        <f>VLOOKUP(A47,[4]CFR20152016_BenchMarkDataReport!$B$3:$BO$99,15,0)</f>
        <v>94199</v>
      </c>
      <c r="BE47" s="601">
        <f t="shared" si="1"/>
        <v>-16298.999999999534</v>
      </c>
      <c r="BF47" s="76">
        <f>VLOOKUP(A47,'OCT 15 CENSUS'!$B$9:$U$132,20,0)</f>
        <v>328</v>
      </c>
      <c r="BG47" s="73">
        <f>VLOOKUP(A47,'[2]BUDGET SHARE inc ADJUSTMENTS'!$D$4:$M$139,10,0)</f>
        <v>1599919.573903603</v>
      </c>
      <c r="BH47" s="76">
        <f>VLOOKUP(A47,'12-13 Pupil Data'!A:CI,81,0)</f>
        <v>2649.88</v>
      </c>
      <c r="BI47" t="s">
        <v>210</v>
      </c>
      <c r="BJ47" s="44">
        <f t="shared" si="76"/>
        <v>0.77810862645898271</v>
      </c>
      <c r="BK47" s="45">
        <f t="shared" si="77"/>
        <v>4334.2835365853662</v>
      </c>
      <c r="BL47" s="44">
        <f t="shared" si="78"/>
        <v>0</v>
      </c>
      <c r="BM47" s="45">
        <f t="shared" si="79"/>
        <v>0</v>
      </c>
      <c r="BN47" s="44">
        <f t="shared" si="80"/>
        <v>3.5018705815778324E-2</v>
      </c>
      <c r="BO47" s="45">
        <f t="shared" si="81"/>
        <v>195.0640243902439</v>
      </c>
      <c r="BP47" s="44">
        <f t="shared" si="82"/>
        <v>0</v>
      </c>
      <c r="BQ47" s="45">
        <f t="shared" si="83"/>
        <v>0</v>
      </c>
      <c r="BR47" s="44">
        <f t="shared" si="84"/>
        <v>4.8953179824483377E-2</v>
      </c>
      <c r="BS47" s="45">
        <f t="shared" si="85"/>
        <v>272.68295731707315</v>
      </c>
      <c r="BT47" s="44">
        <f t="shared" si="86"/>
        <v>4.0518111114620104E-3</v>
      </c>
      <c r="BU47" s="45">
        <f t="shared" si="87"/>
        <v>22.569725609756098</v>
      </c>
      <c r="BV47" s="44">
        <f t="shared" si="88"/>
        <v>5.4515166808872063E-2</v>
      </c>
      <c r="BW47" s="45">
        <f t="shared" si="89"/>
        <v>303.66478658536585</v>
      </c>
      <c r="BX47" s="44">
        <f t="shared" si="90"/>
        <v>3.6834007087154216E-2</v>
      </c>
      <c r="BY47" s="45">
        <f t="shared" si="91"/>
        <v>205.17576219512193</v>
      </c>
      <c r="BZ47" s="46">
        <f t="shared" si="92"/>
        <v>9.1914729744160002E-3</v>
      </c>
      <c r="CA47" s="47">
        <f t="shared" si="93"/>
        <v>51.199085365853655</v>
      </c>
      <c r="CB47" s="44">
        <f t="shared" si="94"/>
        <v>3.4871857239320105E-3</v>
      </c>
      <c r="CC47" s="48">
        <f t="shared" si="95"/>
        <v>19.424603658536586</v>
      </c>
      <c r="CD47" s="46">
        <f t="shared" si="64"/>
        <v>0.51083375272789977</v>
      </c>
      <c r="CE47" s="49">
        <f t="shared" si="65"/>
        <v>0.44732874338941941</v>
      </c>
      <c r="CF47" s="49">
        <f t="shared" si="66"/>
        <v>0.4218176964817581</v>
      </c>
      <c r="CG47" s="47">
        <f t="shared" si="67"/>
        <v>2491.7467073170728</v>
      </c>
      <c r="CH47" s="44">
        <f t="shared" si="2"/>
        <v>0.25918107182616684</v>
      </c>
      <c r="CI47" s="50">
        <f t="shared" si="3"/>
        <v>0.22696061595616238</v>
      </c>
      <c r="CJ47" s="50">
        <f t="shared" si="4"/>
        <v>0.21401710851244574</v>
      </c>
      <c r="CK47" s="45">
        <f t="shared" si="5"/>
        <v>1264.2343597560975</v>
      </c>
      <c r="CL47" s="46">
        <f t="shared" si="6"/>
        <v>2.8319911037434409E-2</v>
      </c>
      <c r="CM47" s="49">
        <f t="shared" si="68"/>
        <v>2.4799281859559451E-2</v>
      </c>
      <c r="CN47" s="49">
        <f t="shared" si="69"/>
        <v>2.3384984986968858E-2</v>
      </c>
      <c r="CO47" s="47">
        <f t="shared" si="70"/>
        <v>138.13896341463416</v>
      </c>
      <c r="CP47" s="44">
        <f t="shared" si="7"/>
        <v>4.4817959083435978E-2</v>
      </c>
      <c r="CQ47" s="50">
        <f t="shared" si="8"/>
        <v>3.9246352088153372E-2</v>
      </c>
      <c r="CR47" s="50">
        <f t="shared" si="71"/>
        <v>3.7008142395905025E-2</v>
      </c>
      <c r="CS47" s="45">
        <f t="shared" si="9"/>
        <v>218.61320121951221</v>
      </c>
      <c r="CT47" s="46">
        <f t="shared" si="10"/>
        <v>0.83773272848323477</v>
      </c>
      <c r="CU47" s="49">
        <f t="shared" si="11"/>
        <v>0.73358881774635742</v>
      </c>
      <c r="CV47" s="49">
        <f t="shared" si="12"/>
        <v>0.69175243004038967</v>
      </c>
      <c r="CW47" s="47">
        <f t="shared" si="13"/>
        <v>4086.2957012195116</v>
      </c>
      <c r="CX47" s="44">
        <f t="shared" si="14"/>
        <v>1.4268910995507002E-2</v>
      </c>
      <c r="CY47" s="50">
        <f t="shared" si="15"/>
        <v>1.178246177995604E-2</v>
      </c>
      <c r="CZ47" s="48">
        <f t="shared" si="16"/>
        <v>8.6151486105031179</v>
      </c>
      <c r="DA47" s="45">
        <f t="shared" si="17"/>
        <v>69.600945121951227</v>
      </c>
      <c r="DB47" s="51">
        <f t="shared" si="18"/>
        <v>1.5361770516282396E-3</v>
      </c>
      <c r="DC47" s="52">
        <f t="shared" si="19"/>
        <v>9.0744512195121949</v>
      </c>
      <c r="DD47" s="44">
        <f t="shared" si="20"/>
        <v>1.8757061598277641E-2</v>
      </c>
      <c r="DE47" s="50">
        <f t="shared" si="21"/>
        <v>1.5488523367731244E-2</v>
      </c>
      <c r="DF47" s="48">
        <f t="shared" si="22"/>
        <v>11.324961885066493</v>
      </c>
      <c r="DG47" s="45">
        <f t="shared" si="23"/>
        <v>91.493262195121957</v>
      </c>
      <c r="DH47" s="46">
        <f t="shared" si="24"/>
        <v>5.1694535993584379E-3</v>
      </c>
      <c r="DI47" s="49">
        <f t="shared" si="25"/>
        <v>4.2686431695366225E-3</v>
      </c>
      <c r="DJ47" s="47">
        <f t="shared" si="26"/>
        <v>3.1211639772367046</v>
      </c>
      <c r="DK47" s="44">
        <f t="shared" si="27"/>
        <v>8.3205832450188408E-2</v>
      </c>
      <c r="DL47" s="50">
        <f t="shared" si="28"/>
        <v>7.2861983519791257E-2</v>
      </c>
      <c r="DM47" s="50">
        <f t="shared" si="29"/>
        <v>6.8706682733003926E-2</v>
      </c>
      <c r="DN47" s="45">
        <f t="shared" si="30"/>
        <v>405.86170731707324</v>
      </c>
      <c r="DO47" s="46">
        <f t="shared" si="31"/>
        <v>1.102617299503262E-2</v>
      </c>
      <c r="DP47" s="49">
        <f t="shared" si="32"/>
        <v>9.1047916644839307E-3</v>
      </c>
      <c r="DQ47" s="47">
        <f t="shared" si="33"/>
        <v>53.783506097560981</v>
      </c>
      <c r="DR47" s="53">
        <f t="shared" si="34"/>
        <v>4.2738079392114825E-2</v>
      </c>
      <c r="DS47" s="45">
        <f t="shared" si="35"/>
        <v>252.46088414634147</v>
      </c>
      <c r="DT47" s="46">
        <f t="shared" si="96"/>
        <v>4.1252073589529426E-5</v>
      </c>
      <c r="DU47" s="49">
        <f t="shared" si="97"/>
        <v>3.6123764615141513E-5</v>
      </c>
      <c r="DV47" s="49">
        <f t="shared" si="98"/>
        <v>3.4063635309352783E-5</v>
      </c>
      <c r="DW47" s="47">
        <f t="shared" si="99"/>
        <v>0.20121951219512196</v>
      </c>
      <c r="DY47" s="54">
        <f>VLOOKUP(A47,'[3]Barnet Schools'!$E$8:$V$130,17,0)</f>
        <v>66</v>
      </c>
    </row>
    <row r="48" spans="1:129">
      <c r="A48" s="79">
        <v>3523</v>
      </c>
      <c r="B48" s="80">
        <v>11093</v>
      </c>
      <c r="C48" s="573" t="s">
        <v>76</v>
      </c>
      <c r="D48" s="595">
        <f>VLOOKUP(A48,[4]CFR20152016_BenchMarkDataReport!$B$3:$BO$99,18,0)</f>
        <v>2570397</v>
      </c>
      <c r="E48" s="595">
        <f>VLOOKUP(A48,[4]CFR20152016_BenchMarkDataReport!$B$3:$BO$99,19,0)</f>
        <v>0</v>
      </c>
      <c r="F48" s="595">
        <f>VLOOKUP(A48,[4]CFR20152016_BenchMarkDataReport!$B$3:$BO$99,20,0)</f>
        <v>141740.96</v>
      </c>
      <c r="G48" s="595">
        <f>VLOOKUP(A48,[4]CFR20152016_BenchMarkDataReport!$B$3:$BO$99,21,0)</f>
        <v>0</v>
      </c>
      <c r="H48" s="595">
        <f>VLOOKUP(A48,[4]CFR20152016_BenchMarkDataReport!$B$3:$BO$99,22,0)</f>
        <v>178045</v>
      </c>
      <c r="I48" s="595">
        <f>VLOOKUP(A48,[4]CFR20152016_BenchMarkDataReport!$B$3:$BO$99,23,0)</f>
        <v>3868</v>
      </c>
      <c r="J48" s="595">
        <f>VLOOKUP(A48,[4]CFR20152016_BenchMarkDataReport!$B$3:$BO$99,24,0)</f>
        <v>8789.75</v>
      </c>
      <c r="K48" s="595">
        <f>VLOOKUP(A48,[4]CFR20152016_BenchMarkDataReport!$B$3:$BO$99,25,0)</f>
        <v>90759.3</v>
      </c>
      <c r="L48" s="595">
        <f>VLOOKUP(A48,[4]CFR20152016_BenchMarkDataReport!$B$3:$BO$99,26,0)</f>
        <v>41301.85</v>
      </c>
      <c r="M48" s="595">
        <f>VLOOKUP(A48,[4]CFR20152016_BenchMarkDataReport!$B$3:$BO$99,27,0)</f>
        <v>15172.55</v>
      </c>
      <c r="N48" s="595">
        <f>VLOOKUP(A48,[4]CFR20152016_BenchMarkDataReport!$B$3:$BO$99,28,0)</f>
        <v>2997.3</v>
      </c>
      <c r="O48" s="595">
        <f>VLOOKUP(A48,[4]CFR20152016_BenchMarkDataReport!$B$3:$BO$99,29,0)</f>
        <v>66959.92</v>
      </c>
      <c r="P48" s="595">
        <f>VLOOKUP(A48,[4]CFR20152016_BenchMarkDataReport!$B$3:$BO$99,30,0)</f>
        <v>14553.83</v>
      </c>
      <c r="Q48" s="595">
        <f>VLOOKUP(A48,[4]CFR20152016_BenchMarkDataReport!$B$3:$BO$99,31,0)</f>
        <v>0</v>
      </c>
      <c r="R48" s="595">
        <f>VLOOKUP(A48,[4]CFR20152016_BenchMarkDataReport!$B$3:$BO$99,32,0)</f>
        <v>0</v>
      </c>
      <c r="S48" s="595">
        <f>VLOOKUP(A48,[4]CFR20152016_BenchMarkDataReport!$B$3:$BO$99,33,0)</f>
        <v>0</v>
      </c>
      <c r="T48" s="595">
        <f>VLOOKUP(A48,[4]CFR20152016_BenchMarkDataReport!$B$3:$BO$99,34,0)</f>
        <v>109400.41</v>
      </c>
      <c r="U48" s="595">
        <f>VLOOKUP(A48,[4]CFR20152016_BenchMarkDataReport!$B$3:$BO$99,35,0)</f>
        <v>1286540.74</v>
      </c>
      <c r="V48" s="595">
        <f>VLOOKUP(A48,[4]CFR20152016_BenchMarkDataReport!$B$3:$BO$99,36,0)</f>
        <v>0</v>
      </c>
      <c r="W48" s="595">
        <f>VLOOKUP(A48,[4]CFR20152016_BenchMarkDataReport!$B$3:$BO$99,37,0)</f>
        <v>806048.86</v>
      </c>
      <c r="X48" s="595">
        <f>VLOOKUP(A48,[4]CFR20152016_BenchMarkDataReport!$B$3:$BO$99,38,0)</f>
        <v>129615.92</v>
      </c>
      <c r="Y48" s="595">
        <f>VLOOKUP(A48,[4]CFR20152016_BenchMarkDataReport!$B$3:$BO$99,39,0)</f>
        <v>190622.07</v>
      </c>
      <c r="Z48" s="595">
        <f>VLOOKUP(A48,[4]CFR20152016_BenchMarkDataReport!$B$3:$BO$99,40,0)</f>
        <v>0</v>
      </c>
      <c r="AA48" s="595">
        <f>VLOOKUP(A48,[4]CFR20152016_BenchMarkDataReport!$B$3:$BO$99,41,0)</f>
        <v>92130.53</v>
      </c>
      <c r="AB48" s="595">
        <f>VLOOKUP(A48,[4]CFR20152016_BenchMarkDataReport!$B$3:$BO$99,42,0)</f>
        <v>40162.31</v>
      </c>
      <c r="AC48" s="595">
        <f>VLOOKUP(A48,[4]CFR20152016_BenchMarkDataReport!$B$3:$BO$99,43,0)</f>
        <v>30731.66</v>
      </c>
      <c r="AD48" s="595">
        <f>VLOOKUP(A48,[4]CFR20152016_BenchMarkDataReport!$B$3:$BO$99,44,0)</f>
        <v>30951.3</v>
      </c>
      <c r="AE48" s="595">
        <f>VLOOKUP(A48,[4]CFR20152016_BenchMarkDataReport!$B$3:$BO$99,45,0)</f>
        <v>2356.1999999999998</v>
      </c>
      <c r="AF48" s="595">
        <f>VLOOKUP(A48,[4]CFR20152016_BenchMarkDataReport!$B$3:$BO$99,46,0)</f>
        <v>42686.05</v>
      </c>
      <c r="AG48" s="595">
        <f>VLOOKUP(A48,[4]CFR20152016_BenchMarkDataReport!$B$3:$BO$99,47,0)</f>
        <v>1224.3800000000001</v>
      </c>
      <c r="AH48" s="595">
        <f>VLOOKUP(A48,[4]CFR20152016_BenchMarkDataReport!$B$3:$BO$99,48,0)</f>
        <v>7264.94</v>
      </c>
      <c r="AI48" s="595">
        <f>VLOOKUP(A48,[4]CFR20152016_BenchMarkDataReport!$B$3:$BO$99,49,0)</f>
        <v>7547.34</v>
      </c>
      <c r="AJ48" s="595">
        <f>VLOOKUP(A48,[4]CFR20152016_BenchMarkDataReport!$B$3:$BO$99,50,0)</f>
        <v>31862.57</v>
      </c>
      <c r="AK48" s="595">
        <f>VLOOKUP(A48,[4]CFR20152016_BenchMarkDataReport!$B$3:$BO$99,51,0)</f>
        <v>13606.49</v>
      </c>
      <c r="AL48" s="595">
        <f>VLOOKUP(A48,[4]CFR20152016_BenchMarkDataReport!$B$3:$BO$99,52,0)</f>
        <v>8857.14</v>
      </c>
      <c r="AM48" s="595">
        <f>VLOOKUP(A48,[4]CFR20152016_BenchMarkDataReport!$B$3:$BO$99,53,0)</f>
        <v>125117.55</v>
      </c>
      <c r="AN48" s="595">
        <f>VLOOKUP(A48,[4]CFR20152016_BenchMarkDataReport!$B$3:$BO$99,54,0)</f>
        <v>22623.17</v>
      </c>
      <c r="AO48" s="595">
        <f>VLOOKUP(A48,[4]CFR20152016_BenchMarkDataReport!$B$3:$BO$99,55,0)</f>
        <v>0</v>
      </c>
      <c r="AP48" s="595">
        <f>VLOOKUP(A48,[4]CFR20152016_BenchMarkDataReport!$B$3:$BO$99,56,0)</f>
        <v>11917.97</v>
      </c>
      <c r="AQ48" s="595">
        <f>VLOOKUP(A48,[4]CFR20152016_BenchMarkDataReport!$B$3:$BO$99,57,0)</f>
        <v>12033.23</v>
      </c>
      <c r="AR48" s="595">
        <f>VLOOKUP(A48,[4]CFR20152016_BenchMarkDataReport!$B$3:$BO$99,58,0)</f>
        <v>1744.55</v>
      </c>
      <c r="AS48" s="595">
        <f>VLOOKUP(A48,[4]CFR20152016_BenchMarkDataReport!$B$3:$BO$99,59,0)</f>
        <v>170244.48000000001</v>
      </c>
      <c r="AT48" s="595">
        <f>VLOOKUP(A48,[4]CFR20152016_BenchMarkDataReport!$B$3:$BO$99,60,0)</f>
        <v>27387.8</v>
      </c>
      <c r="AU48" s="595">
        <f>VLOOKUP(A48,[4]CFR20152016_BenchMarkDataReport!$B$3:$BO$99,61,0)</f>
        <v>124297.64</v>
      </c>
      <c r="AV48" s="595">
        <f>VLOOKUP(A48,[4]CFR20152016_BenchMarkDataReport!$B$3:$BO$99,62,0)</f>
        <v>45827.98</v>
      </c>
      <c r="AW48" s="595">
        <f>VLOOKUP(A48,[4]CFR20152016_BenchMarkDataReport!$B$3:$BO$99,63,0)</f>
        <v>0</v>
      </c>
      <c r="AX48" s="595">
        <f>VLOOKUP(A48,[4]CFR20152016_BenchMarkDataReport!$B$3:$BO$99,64,0)</f>
        <v>25676</v>
      </c>
      <c r="AY48" s="595">
        <f>VLOOKUP(A48,[4]CFR20152016_BenchMarkDataReport!$B$3:$BO$99,65,0)</f>
        <v>0</v>
      </c>
      <c r="AZ48" s="595">
        <f>VLOOKUP(A48,[4]CFR20152016_BenchMarkDataReport!$B$3:$BO$99,66,0)</f>
        <v>0</v>
      </c>
      <c r="BA48" s="596">
        <f t="shared" si="0"/>
        <v>3243985.8699999996</v>
      </c>
      <c r="BB48" s="595">
        <f t="shared" si="42"/>
        <v>3289078.8699999992</v>
      </c>
      <c r="BC48" s="601">
        <f t="shared" si="43"/>
        <v>-45092.999999999534</v>
      </c>
      <c r="BD48" s="595">
        <f>VLOOKUP(A48,[4]CFR20152016_BenchMarkDataReport!$B$3:$BO$99,15,0)</f>
        <v>185005</v>
      </c>
      <c r="BE48" s="601">
        <f t="shared" si="1"/>
        <v>139912.00000000047</v>
      </c>
      <c r="BF48" s="76">
        <f>VLOOKUP(A48,'OCT 15 CENSUS'!$B$9:$U$132,20,0)</f>
        <v>618</v>
      </c>
      <c r="BG48" s="73">
        <f>VLOOKUP(A48,'[2]BUDGET SHARE inc ADJUSTMENTS'!$D$4:$M$139,10,0)</f>
        <v>2996671.6455694232</v>
      </c>
      <c r="BH48" s="76">
        <f>VLOOKUP(A48,'12-13 Pupil Data'!A:CI,81,0)</f>
        <v>2828.63</v>
      </c>
      <c r="BI48" t="s">
        <v>210</v>
      </c>
      <c r="BJ48" s="44">
        <f t="shared" si="76"/>
        <v>0.79235764365397809</v>
      </c>
      <c r="BK48" s="45">
        <f t="shared" si="77"/>
        <v>4159.2184466019417</v>
      </c>
      <c r="BL48" s="44">
        <f t="shared" si="78"/>
        <v>0</v>
      </c>
      <c r="BM48" s="45">
        <f t="shared" si="79"/>
        <v>0</v>
      </c>
      <c r="BN48" s="44">
        <f t="shared" si="80"/>
        <v>4.3693457887965463E-2</v>
      </c>
      <c r="BO48" s="45">
        <f t="shared" si="81"/>
        <v>229.35430420711972</v>
      </c>
      <c r="BP48" s="44">
        <f t="shared" si="82"/>
        <v>0</v>
      </c>
      <c r="BQ48" s="45">
        <f t="shared" si="83"/>
        <v>0</v>
      </c>
      <c r="BR48" s="44">
        <f t="shared" si="84"/>
        <v>5.4884641035751497E-2</v>
      </c>
      <c r="BS48" s="45">
        <f t="shared" si="85"/>
        <v>288.0987055016181</v>
      </c>
      <c r="BT48" s="44">
        <f t="shared" si="86"/>
        <v>1.1923603107432772E-3</v>
      </c>
      <c r="BU48" s="45">
        <f t="shared" si="87"/>
        <v>6.2588996763754041</v>
      </c>
      <c r="BV48" s="44">
        <f t="shared" si="88"/>
        <v>2.7095524925945503E-3</v>
      </c>
      <c r="BW48" s="45">
        <f t="shared" si="89"/>
        <v>14.22289644012945</v>
      </c>
      <c r="BX48" s="44">
        <f t="shared" si="90"/>
        <v>2.7977711259266371E-2</v>
      </c>
      <c r="BY48" s="45">
        <f t="shared" si="91"/>
        <v>146.85970873786408</v>
      </c>
      <c r="BZ48" s="46">
        <f t="shared" si="92"/>
        <v>2.06412489706683E-2</v>
      </c>
      <c r="CA48" s="47">
        <f t="shared" si="93"/>
        <v>108.34938511326861</v>
      </c>
      <c r="CB48" s="44">
        <f t="shared" si="94"/>
        <v>4.4864036352908043E-3</v>
      </c>
      <c r="CC48" s="48">
        <f t="shared" si="95"/>
        <v>23.549886731391585</v>
      </c>
      <c r="CD48" s="46">
        <f t="shared" si="64"/>
        <v>0.43846263301574678</v>
      </c>
      <c r="CE48" s="49">
        <f t="shared" si="65"/>
        <v>0.40503522291852651</v>
      </c>
      <c r="CF48" s="49">
        <f t="shared" si="66"/>
        <v>0.39948222342263273</v>
      </c>
      <c r="CG48" s="47">
        <f t="shared" si="67"/>
        <v>2126.0979611650487</v>
      </c>
      <c r="CH48" s="44">
        <f t="shared" si="2"/>
        <v>0.26898137511720466</v>
      </c>
      <c r="CI48" s="50">
        <f t="shared" si="3"/>
        <v>0.24847483691413244</v>
      </c>
      <c r="CJ48" s="50">
        <f t="shared" si="4"/>
        <v>0.24506826739609325</v>
      </c>
      <c r="CK48" s="45">
        <f t="shared" si="5"/>
        <v>1304.2861812297735</v>
      </c>
      <c r="CL48" s="46">
        <f t="shared" si="6"/>
        <v>4.3253294097682353E-2</v>
      </c>
      <c r="CM48" s="49">
        <f t="shared" si="68"/>
        <v>3.9955759733318448E-2</v>
      </c>
      <c r="CN48" s="49">
        <f t="shared" si="69"/>
        <v>3.9407969563223039E-2</v>
      </c>
      <c r="CO48" s="47">
        <f t="shared" si="70"/>
        <v>209.73449838187702</v>
      </c>
      <c r="CP48" s="44">
        <f t="shared" si="7"/>
        <v>6.3611263610357377E-2</v>
      </c>
      <c r="CQ48" s="50">
        <f t="shared" si="8"/>
        <v>5.8761683200549829E-2</v>
      </c>
      <c r="CR48" s="50">
        <f t="shared" si="71"/>
        <v>5.7956065370971192E-2</v>
      </c>
      <c r="CS48" s="45">
        <f t="shared" si="9"/>
        <v>308.44995145631071</v>
      </c>
      <c r="CT48" s="46">
        <f t="shared" si="10"/>
        <v>0.83591344540653234</v>
      </c>
      <c r="CU48" s="49">
        <f t="shared" si="11"/>
        <v>0.77218527465410935</v>
      </c>
      <c r="CV48" s="49">
        <f t="shared" si="12"/>
        <v>0.76159867823418914</v>
      </c>
      <c r="CW48" s="47">
        <f t="shared" si="13"/>
        <v>4053.3302912621352</v>
      </c>
      <c r="CX48" s="44">
        <f t="shared" si="14"/>
        <v>1.4244486900362039E-2</v>
      </c>
      <c r="CY48" s="50">
        <f t="shared" si="15"/>
        <v>1.2978116879270826E-2</v>
      </c>
      <c r="CZ48" s="48">
        <f t="shared" si="16"/>
        <v>15.090715293269181</v>
      </c>
      <c r="DA48" s="45">
        <f t="shared" si="17"/>
        <v>69.071278317152107</v>
      </c>
      <c r="DB48" s="51">
        <f t="shared" si="18"/>
        <v>2.294666773983441E-3</v>
      </c>
      <c r="DC48" s="52">
        <f t="shared" si="19"/>
        <v>12.212524271844661</v>
      </c>
      <c r="DD48" s="44">
        <f t="shared" si="20"/>
        <v>1.0632653079328456E-2</v>
      </c>
      <c r="DE48" s="50">
        <f t="shared" si="21"/>
        <v>9.6873839939265443E-3</v>
      </c>
      <c r="DF48" s="48">
        <f t="shared" si="22"/>
        <v>11.26431169859614</v>
      </c>
      <c r="DG48" s="45">
        <f t="shared" si="23"/>
        <v>51.557556634304206</v>
      </c>
      <c r="DH48" s="46">
        <f t="shared" si="24"/>
        <v>2.9556591604206202E-3</v>
      </c>
      <c r="DI48" s="49">
        <f t="shared" si="25"/>
        <v>2.6928937705893328E-3</v>
      </c>
      <c r="DJ48" s="47">
        <f t="shared" si="26"/>
        <v>3.1312472822532458</v>
      </c>
      <c r="DK48" s="44">
        <f t="shared" si="27"/>
        <v>4.1752172008897338E-2</v>
      </c>
      <c r="DL48" s="50">
        <f t="shared" si="28"/>
        <v>3.8569079833877334E-2</v>
      </c>
      <c r="DM48" s="50">
        <f t="shared" si="29"/>
        <v>3.8040300930819587E-2</v>
      </c>
      <c r="DN48" s="45">
        <f t="shared" si="30"/>
        <v>202.45558252427185</v>
      </c>
      <c r="DO48" s="46">
        <f t="shared" si="31"/>
        <v>3.9770690317775421E-3</v>
      </c>
      <c r="DP48" s="49">
        <f t="shared" si="32"/>
        <v>3.6234977849588638E-3</v>
      </c>
      <c r="DQ48" s="47">
        <f t="shared" si="33"/>
        <v>19.284741100323622</v>
      </c>
      <c r="DR48" s="53">
        <f t="shared" si="34"/>
        <v>5.1760534401535968E-2</v>
      </c>
      <c r="DS48" s="45">
        <f t="shared" si="35"/>
        <v>275.47650485436895</v>
      </c>
      <c r="DT48" s="46">
        <f t="shared" si="96"/>
        <v>4.2380352277757696E-5</v>
      </c>
      <c r="DU48" s="49">
        <f t="shared" si="97"/>
        <v>3.9149369044569854E-5</v>
      </c>
      <c r="DV48" s="49">
        <f t="shared" si="98"/>
        <v>3.8612634424300084E-5</v>
      </c>
      <c r="DW48" s="47">
        <f t="shared" si="99"/>
        <v>0.20550161812297735</v>
      </c>
      <c r="DY48" s="54">
        <f>VLOOKUP(A48,'[3]Barnet Schools'!$E$8:$V$130,17,0)</f>
        <v>127</v>
      </c>
    </row>
    <row r="49" spans="1:129">
      <c r="A49" s="79">
        <v>5948</v>
      </c>
      <c r="B49" s="80">
        <v>10125</v>
      </c>
      <c r="C49" s="573" t="s">
        <v>77</v>
      </c>
      <c r="D49" s="595">
        <f>VLOOKUP(A49,[4]CFR20152016_BenchMarkDataReport!$B$3:$BO$99,18,0)</f>
        <v>881873</v>
      </c>
      <c r="E49" s="595">
        <f>VLOOKUP(A49,[4]CFR20152016_BenchMarkDataReport!$B$3:$BO$99,19,0)</f>
        <v>0</v>
      </c>
      <c r="F49" s="595">
        <f>VLOOKUP(A49,[4]CFR20152016_BenchMarkDataReport!$B$3:$BO$99,20,0)</f>
        <v>83093</v>
      </c>
      <c r="G49" s="595">
        <f>VLOOKUP(A49,[4]CFR20152016_BenchMarkDataReport!$B$3:$BO$99,21,0)</f>
        <v>0</v>
      </c>
      <c r="H49" s="595">
        <f>VLOOKUP(A49,[4]CFR20152016_BenchMarkDataReport!$B$3:$BO$99,22,0)</f>
        <v>20702</v>
      </c>
      <c r="I49" s="595">
        <f>VLOOKUP(A49,[4]CFR20152016_BenchMarkDataReport!$B$3:$BO$99,23,0)</f>
        <v>46832.15</v>
      </c>
      <c r="J49" s="595">
        <f>VLOOKUP(A49,[4]CFR20152016_BenchMarkDataReport!$B$3:$BO$99,24,0)</f>
        <v>5735.45</v>
      </c>
      <c r="K49" s="595">
        <f>VLOOKUP(A49,[4]CFR20152016_BenchMarkDataReport!$B$3:$BO$99,25,0)</f>
        <v>48178.47</v>
      </c>
      <c r="L49" s="595">
        <f>VLOOKUP(A49,[4]CFR20152016_BenchMarkDataReport!$B$3:$BO$99,26,0)</f>
        <v>22929.32</v>
      </c>
      <c r="M49" s="595">
        <f>VLOOKUP(A49,[4]CFR20152016_BenchMarkDataReport!$B$3:$BO$99,27,0)</f>
        <v>12075.68</v>
      </c>
      <c r="N49" s="595">
        <f>VLOOKUP(A49,[4]CFR20152016_BenchMarkDataReport!$B$3:$BO$99,28,0)</f>
        <v>3547.75</v>
      </c>
      <c r="O49" s="595">
        <f>VLOOKUP(A49,[4]CFR20152016_BenchMarkDataReport!$B$3:$BO$99,29,0)</f>
        <v>33485.53</v>
      </c>
      <c r="P49" s="595">
        <f>VLOOKUP(A49,[4]CFR20152016_BenchMarkDataReport!$B$3:$BO$99,30,0)</f>
        <v>261512.78</v>
      </c>
      <c r="Q49" s="595">
        <f>VLOOKUP(A49,[4]CFR20152016_BenchMarkDataReport!$B$3:$BO$99,31,0)</f>
        <v>0</v>
      </c>
      <c r="R49" s="595">
        <f>VLOOKUP(A49,[4]CFR20152016_BenchMarkDataReport!$B$3:$BO$99,32,0)</f>
        <v>0</v>
      </c>
      <c r="S49" s="595">
        <f>VLOOKUP(A49,[4]CFR20152016_BenchMarkDataReport!$B$3:$BO$99,33,0)</f>
        <v>0</v>
      </c>
      <c r="T49" s="595">
        <f>VLOOKUP(A49,[4]CFR20152016_BenchMarkDataReport!$B$3:$BO$99,34,0)</f>
        <v>41569.83</v>
      </c>
      <c r="U49" s="595">
        <f>VLOOKUP(A49,[4]CFR20152016_BenchMarkDataReport!$B$3:$BO$99,35,0)</f>
        <v>658650.85</v>
      </c>
      <c r="V49" s="595">
        <f>VLOOKUP(A49,[4]CFR20152016_BenchMarkDataReport!$B$3:$BO$99,36,0)</f>
        <v>4628.63</v>
      </c>
      <c r="W49" s="595">
        <f>VLOOKUP(A49,[4]CFR20152016_BenchMarkDataReport!$B$3:$BO$99,37,0)</f>
        <v>379745.01</v>
      </c>
      <c r="X49" s="595">
        <f>VLOOKUP(A49,[4]CFR20152016_BenchMarkDataReport!$B$3:$BO$99,38,0)</f>
        <v>40868.03</v>
      </c>
      <c r="Y49" s="595">
        <f>VLOOKUP(A49,[4]CFR20152016_BenchMarkDataReport!$B$3:$BO$99,39,0)</f>
        <v>64934.64</v>
      </c>
      <c r="Z49" s="595">
        <f>VLOOKUP(A49,[4]CFR20152016_BenchMarkDataReport!$B$3:$BO$99,40,0)</f>
        <v>0</v>
      </c>
      <c r="AA49" s="595">
        <f>VLOOKUP(A49,[4]CFR20152016_BenchMarkDataReport!$B$3:$BO$99,41,0)</f>
        <v>3651.41</v>
      </c>
      <c r="AB49" s="595">
        <f>VLOOKUP(A49,[4]CFR20152016_BenchMarkDataReport!$B$3:$BO$99,42,0)</f>
        <v>2110.5500000000002</v>
      </c>
      <c r="AC49" s="595">
        <f>VLOOKUP(A49,[4]CFR20152016_BenchMarkDataReport!$B$3:$BO$99,43,0)</f>
        <v>4106.5</v>
      </c>
      <c r="AD49" s="595">
        <f>VLOOKUP(A49,[4]CFR20152016_BenchMarkDataReport!$B$3:$BO$99,44,0)</f>
        <v>7114.98</v>
      </c>
      <c r="AE49" s="595">
        <f>VLOOKUP(A49,[4]CFR20152016_BenchMarkDataReport!$B$3:$BO$99,45,0)</f>
        <v>7228.95</v>
      </c>
      <c r="AF49" s="595">
        <f>VLOOKUP(A49,[4]CFR20152016_BenchMarkDataReport!$B$3:$BO$99,46,0)</f>
        <v>8491.75</v>
      </c>
      <c r="AG49" s="595">
        <f>VLOOKUP(A49,[4]CFR20152016_BenchMarkDataReport!$B$3:$BO$99,47,0)</f>
        <v>394.96</v>
      </c>
      <c r="AH49" s="595">
        <f>VLOOKUP(A49,[4]CFR20152016_BenchMarkDataReport!$B$3:$BO$99,48,0)</f>
        <v>16756.41</v>
      </c>
      <c r="AI49" s="595">
        <f>VLOOKUP(A49,[4]CFR20152016_BenchMarkDataReport!$B$3:$BO$99,49,0)</f>
        <v>2345.5100000000002</v>
      </c>
      <c r="AJ49" s="595">
        <f>VLOOKUP(A49,[4]CFR20152016_BenchMarkDataReport!$B$3:$BO$99,50,0)</f>
        <v>15491.82</v>
      </c>
      <c r="AK49" s="595">
        <f>VLOOKUP(A49,[4]CFR20152016_BenchMarkDataReport!$B$3:$BO$99,51,0)</f>
        <v>0</v>
      </c>
      <c r="AL49" s="595">
        <f>VLOOKUP(A49,[4]CFR20152016_BenchMarkDataReport!$B$3:$BO$99,52,0)</f>
        <v>58977.4</v>
      </c>
      <c r="AM49" s="595">
        <f>VLOOKUP(A49,[4]CFR20152016_BenchMarkDataReport!$B$3:$BO$99,53,0)</f>
        <v>32072.080000000002</v>
      </c>
      <c r="AN49" s="595">
        <f>VLOOKUP(A49,[4]CFR20152016_BenchMarkDataReport!$B$3:$BO$99,54,0)</f>
        <v>15831.8</v>
      </c>
      <c r="AO49" s="595">
        <f>VLOOKUP(A49,[4]CFR20152016_BenchMarkDataReport!$B$3:$BO$99,55,0)</f>
        <v>0</v>
      </c>
      <c r="AP49" s="595">
        <f>VLOOKUP(A49,[4]CFR20152016_BenchMarkDataReport!$B$3:$BO$99,56,0)</f>
        <v>7888.87</v>
      </c>
      <c r="AQ49" s="595">
        <f>VLOOKUP(A49,[4]CFR20152016_BenchMarkDataReport!$B$3:$BO$99,57,0)</f>
        <v>9927.68</v>
      </c>
      <c r="AR49" s="595">
        <f>VLOOKUP(A49,[4]CFR20152016_BenchMarkDataReport!$B$3:$BO$99,58,0)</f>
        <v>5866.86</v>
      </c>
      <c r="AS49" s="595">
        <f>VLOOKUP(A49,[4]CFR20152016_BenchMarkDataReport!$B$3:$BO$99,59,0)</f>
        <v>58528.959999999999</v>
      </c>
      <c r="AT49" s="595">
        <f>VLOOKUP(A49,[4]CFR20152016_BenchMarkDataReport!$B$3:$BO$99,60,0)</f>
        <v>0</v>
      </c>
      <c r="AU49" s="595">
        <f>VLOOKUP(A49,[4]CFR20152016_BenchMarkDataReport!$B$3:$BO$99,61,0)</f>
        <v>14940</v>
      </c>
      <c r="AV49" s="595">
        <f>VLOOKUP(A49,[4]CFR20152016_BenchMarkDataReport!$B$3:$BO$99,62,0)</f>
        <v>24985.89</v>
      </c>
      <c r="AW49" s="595">
        <f>VLOOKUP(A49,[4]CFR20152016_BenchMarkDataReport!$B$3:$BO$99,63,0)</f>
        <v>0</v>
      </c>
      <c r="AX49" s="595">
        <f>VLOOKUP(A49,[4]CFR20152016_BenchMarkDataReport!$B$3:$BO$99,64,0)</f>
        <v>0</v>
      </c>
      <c r="AY49" s="595">
        <f>VLOOKUP(A49,[4]CFR20152016_BenchMarkDataReport!$B$3:$BO$99,65,0)</f>
        <v>0</v>
      </c>
      <c r="AZ49" s="595">
        <f>VLOOKUP(A49,[4]CFR20152016_BenchMarkDataReport!$B$3:$BO$99,66,0)</f>
        <v>0</v>
      </c>
      <c r="BA49" s="596">
        <f t="shared" si="0"/>
        <v>1461534.9600000002</v>
      </c>
      <c r="BB49" s="595">
        <f t="shared" si="42"/>
        <v>1445539.5399999998</v>
      </c>
      <c r="BC49" s="601">
        <f t="shared" si="43"/>
        <v>15995.420000000391</v>
      </c>
      <c r="BD49" s="595">
        <f>VLOOKUP(A49,[4]CFR20152016_BenchMarkDataReport!$B$3:$BO$99,15,0)</f>
        <v>474</v>
      </c>
      <c r="BE49" s="601">
        <f t="shared" si="1"/>
        <v>16469.420000000391</v>
      </c>
      <c r="BF49" s="76">
        <f>VLOOKUP(A49,'OCT 15 CENSUS'!$B$9:$U$132,20,0)</f>
        <v>226</v>
      </c>
      <c r="BG49" s="73">
        <f>VLOOKUP(A49,'[2]BUDGET SHARE inc ADJUSTMENTS'!$D$4:$M$139,10,0)</f>
        <v>1029896.3318649016</v>
      </c>
      <c r="BH49" s="76">
        <f>VLOOKUP(A49,'12-13 Pupil Data'!A:CI,81,0)</f>
        <v>1635</v>
      </c>
      <c r="BI49" t="s">
        <v>210</v>
      </c>
      <c r="BJ49" s="44">
        <f t="shared" si="76"/>
        <v>0.60338823506486627</v>
      </c>
      <c r="BK49" s="45">
        <f t="shared" si="77"/>
        <v>3902.0929203539822</v>
      </c>
      <c r="BL49" s="44">
        <f t="shared" si="78"/>
        <v>0</v>
      </c>
      <c r="BM49" s="45">
        <f t="shared" si="79"/>
        <v>0</v>
      </c>
      <c r="BN49" s="44">
        <f t="shared" si="80"/>
        <v>5.6853241471555349E-2</v>
      </c>
      <c r="BO49" s="45">
        <f t="shared" si="81"/>
        <v>367.66814159292034</v>
      </c>
      <c r="BP49" s="44">
        <f t="shared" si="82"/>
        <v>0</v>
      </c>
      <c r="BQ49" s="45">
        <f t="shared" si="83"/>
        <v>0</v>
      </c>
      <c r="BR49" s="44">
        <f t="shared" si="84"/>
        <v>1.4164560251093821E-2</v>
      </c>
      <c r="BS49" s="45">
        <f t="shared" si="85"/>
        <v>91.601769911504419</v>
      </c>
      <c r="BT49" s="44">
        <f t="shared" si="86"/>
        <v>3.2043126768585811E-2</v>
      </c>
      <c r="BU49" s="45">
        <f t="shared" si="87"/>
        <v>207.22190265486725</v>
      </c>
      <c r="BV49" s="44">
        <f t="shared" si="88"/>
        <v>3.9242646648698703E-3</v>
      </c>
      <c r="BW49" s="45">
        <f t="shared" si="89"/>
        <v>25.378097345132744</v>
      </c>
      <c r="BX49" s="44">
        <f t="shared" si="90"/>
        <v>3.2964295291301134E-2</v>
      </c>
      <c r="BY49" s="45">
        <f t="shared" si="91"/>
        <v>213.17907079646019</v>
      </c>
      <c r="BZ49" s="46">
        <f t="shared" si="92"/>
        <v>2.2911206995691703E-2</v>
      </c>
      <c r="CA49" s="47">
        <f t="shared" si="93"/>
        <v>148.16606194690266</v>
      </c>
      <c r="CB49" s="44">
        <f t="shared" si="94"/>
        <v>0.17893022552125606</v>
      </c>
      <c r="CC49" s="48">
        <f t="shared" si="95"/>
        <v>1157.1361946902655</v>
      </c>
      <c r="CD49" s="46">
        <f t="shared" si="64"/>
        <v>0.64402548050535902</v>
      </c>
      <c r="CE49" s="49">
        <f t="shared" si="65"/>
        <v>0.45382388937176016</v>
      </c>
      <c r="CF49" s="49">
        <f t="shared" si="66"/>
        <v>0.45884561552705788</v>
      </c>
      <c r="CG49" s="47">
        <f t="shared" si="67"/>
        <v>2934.8649557522122</v>
      </c>
      <c r="CH49" s="44">
        <f t="shared" si="2"/>
        <v>0.36872158706728331</v>
      </c>
      <c r="CI49" s="50">
        <f t="shared" si="3"/>
        <v>0.25982615564666339</v>
      </c>
      <c r="CJ49" s="50">
        <f t="shared" si="4"/>
        <v>0.26270122642235028</v>
      </c>
      <c r="CK49" s="45">
        <f t="shared" si="5"/>
        <v>1680.2876548672566</v>
      </c>
      <c r="CL49" s="46">
        <f t="shared" si="6"/>
        <v>3.9681692938936433E-2</v>
      </c>
      <c r="CM49" s="49">
        <f t="shared" si="68"/>
        <v>2.7962403307820974E-2</v>
      </c>
      <c r="CN49" s="49">
        <f t="shared" si="69"/>
        <v>2.8271817455785404E-2</v>
      </c>
      <c r="CO49" s="47">
        <f t="shared" si="70"/>
        <v>180.83199115044246</v>
      </c>
      <c r="CP49" s="44">
        <f t="shared" si="7"/>
        <v>6.3049685673138137E-2</v>
      </c>
      <c r="CQ49" s="50">
        <f t="shared" si="8"/>
        <v>4.4429070653226106E-2</v>
      </c>
      <c r="CR49" s="50">
        <f t="shared" si="71"/>
        <v>4.4920694455718592E-2</v>
      </c>
      <c r="CS49" s="45">
        <f t="shared" si="9"/>
        <v>287.32141592920351</v>
      </c>
      <c r="CT49" s="46">
        <f t="shared" si="10"/>
        <v>1.1190238612784749</v>
      </c>
      <c r="CU49" s="49">
        <f t="shared" si="11"/>
        <v>0.78853985812285987</v>
      </c>
      <c r="CV49" s="49">
        <f t="shared" si="12"/>
        <v>0.7972653380342678</v>
      </c>
      <c r="CW49" s="47">
        <f t="shared" si="13"/>
        <v>5099.4626991150435</v>
      </c>
      <c r="CX49" s="44">
        <f t="shared" si="14"/>
        <v>8.2452473489476614E-3</v>
      </c>
      <c r="CY49" s="50">
        <f t="shared" si="15"/>
        <v>5.8744501724248936E-3</v>
      </c>
      <c r="CZ49" s="48">
        <f t="shared" si="16"/>
        <v>5.1937308868501528</v>
      </c>
      <c r="DA49" s="45">
        <f t="shared" si="17"/>
        <v>37.57411504424779</v>
      </c>
      <c r="DB49" s="51">
        <f t="shared" si="18"/>
        <v>1.6225844642063548E-3</v>
      </c>
      <c r="DC49" s="52">
        <f t="shared" si="19"/>
        <v>10.378362831858409</v>
      </c>
      <c r="DD49" s="44">
        <f t="shared" si="20"/>
        <v>1.5042115910780975E-2</v>
      </c>
      <c r="DE49" s="50">
        <f t="shared" si="21"/>
        <v>1.071698114878269E-2</v>
      </c>
      <c r="DF49" s="48">
        <f t="shared" si="22"/>
        <v>9.4751192660550458</v>
      </c>
      <c r="DG49" s="45">
        <f t="shared" si="23"/>
        <v>68.547876106194693</v>
      </c>
      <c r="DH49" s="46">
        <f t="shared" si="24"/>
        <v>5.7265375334627819E-2</v>
      </c>
      <c r="DI49" s="49">
        <f t="shared" si="25"/>
        <v>4.0799575776391428E-2</v>
      </c>
      <c r="DJ49" s="47">
        <f t="shared" si="26"/>
        <v>36.071804281345564</v>
      </c>
      <c r="DK49" s="44">
        <f t="shared" si="27"/>
        <v>3.1141076055611307E-2</v>
      </c>
      <c r="DL49" s="50">
        <f t="shared" si="28"/>
        <v>2.1944107310303405E-2</v>
      </c>
      <c r="DM49" s="50">
        <f t="shared" si="29"/>
        <v>2.2186926827335352E-2</v>
      </c>
      <c r="DN49" s="45">
        <f t="shared" si="30"/>
        <v>141.91185840707965</v>
      </c>
      <c r="DO49" s="46">
        <f t="shared" si="31"/>
        <v>7.6598680429467107E-3</v>
      </c>
      <c r="DP49" s="49">
        <f t="shared" si="32"/>
        <v>5.4573879037580677E-3</v>
      </c>
      <c r="DQ49" s="47">
        <f t="shared" si="33"/>
        <v>34.90650442477876</v>
      </c>
      <c r="DR49" s="53">
        <f t="shared" si="34"/>
        <v>4.0489352508475837E-2</v>
      </c>
      <c r="DS49" s="45">
        <f t="shared" si="35"/>
        <v>258.97769911504423</v>
      </c>
      <c r="DT49" s="46">
        <f t="shared" si="96"/>
        <v>1.3593601187654753E-5</v>
      </c>
      <c r="DU49" s="49">
        <f t="shared" si="97"/>
        <v>9.5789703176173065E-6</v>
      </c>
      <c r="DV49" s="49">
        <f t="shared" si="98"/>
        <v>9.684965103064564E-6</v>
      </c>
      <c r="DW49" s="47">
        <f t="shared" si="99"/>
        <v>6.1946902654867256E-2</v>
      </c>
      <c r="DY49" s="54">
        <f>VLOOKUP(A49,'[3]Barnet Schools'!$E$8:$V$130,17,0)</f>
        <v>14</v>
      </c>
    </row>
    <row r="50" spans="1:129">
      <c r="A50" s="79">
        <v>5949</v>
      </c>
      <c r="B50" s="80">
        <v>10126</v>
      </c>
      <c r="C50" s="573" t="s">
        <v>78</v>
      </c>
      <c r="D50" s="595">
        <f>VLOOKUP(A50,[4]CFR20152016_BenchMarkDataReport!$B$3:$BO$99,18,0)</f>
        <v>1304155.23</v>
      </c>
      <c r="E50" s="595">
        <f>VLOOKUP(A50,[4]CFR20152016_BenchMarkDataReport!$B$3:$BO$99,19,0)</f>
        <v>0</v>
      </c>
      <c r="F50" s="595">
        <f>VLOOKUP(A50,[4]CFR20152016_BenchMarkDataReport!$B$3:$BO$99,20,0)</f>
        <v>41953</v>
      </c>
      <c r="G50" s="595">
        <f>VLOOKUP(A50,[4]CFR20152016_BenchMarkDataReport!$B$3:$BO$99,21,0)</f>
        <v>0</v>
      </c>
      <c r="H50" s="595">
        <f>VLOOKUP(A50,[4]CFR20152016_BenchMarkDataReport!$B$3:$BO$99,22,0)</f>
        <v>25992</v>
      </c>
      <c r="I50" s="595">
        <f>VLOOKUP(A50,[4]CFR20152016_BenchMarkDataReport!$B$3:$BO$99,23,0)</f>
        <v>0</v>
      </c>
      <c r="J50" s="595">
        <f>VLOOKUP(A50,[4]CFR20152016_BenchMarkDataReport!$B$3:$BO$99,24,0)</f>
        <v>0</v>
      </c>
      <c r="K50" s="595">
        <f>VLOOKUP(A50,[4]CFR20152016_BenchMarkDataReport!$B$3:$BO$99,25,0)</f>
        <v>2935.74</v>
      </c>
      <c r="L50" s="595">
        <f>VLOOKUP(A50,[4]CFR20152016_BenchMarkDataReport!$B$3:$BO$99,26,0)</f>
        <v>14759.88</v>
      </c>
      <c r="M50" s="595">
        <f>VLOOKUP(A50,[4]CFR20152016_BenchMarkDataReport!$B$3:$BO$99,27,0)</f>
        <v>24897.599999999999</v>
      </c>
      <c r="N50" s="595">
        <f>VLOOKUP(A50,[4]CFR20152016_BenchMarkDataReport!$B$3:$BO$99,28,0)</f>
        <v>13893.91</v>
      </c>
      <c r="O50" s="595">
        <f>VLOOKUP(A50,[4]CFR20152016_BenchMarkDataReport!$B$3:$BO$99,29,0)</f>
        <v>20752.400000000001</v>
      </c>
      <c r="P50" s="595">
        <f>VLOOKUP(A50,[4]CFR20152016_BenchMarkDataReport!$B$3:$BO$99,30,0)</f>
        <v>197008.79</v>
      </c>
      <c r="Q50" s="595">
        <f>VLOOKUP(A50,[4]CFR20152016_BenchMarkDataReport!$B$3:$BO$99,31,0)</f>
        <v>0</v>
      </c>
      <c r="R50" s="595">
        <f>VLOOKUP(A50,[4]CFR20152016_BenchMarkDataReport!$B$3:$BO$99,32,0)</f>
        <v>0</v>
      </c>
      <c r="S50" s="595">
        <f>VLOOKUP(A50,[4]CFR20152016_BenchMarkDataReport!$B$3:$BO$99,33,0)</f>
        <v>0</v>
      </c>
      <c r="T50" s="595">
        <f>VLOOKUP(A50,[4]CFR20152016_BenchMarkDataReport!$B$3:$BO$99,34,0)</f>
        <v>79513.81</v>
      </c>
      <c r="U50" s="595">
        <f>VLOOKUP(A50,[4]CFR20152016_BenchMarkDataReport!$B$3:$BO$99,35,0)</f>
        <v>604462.65</v>
      </c>
      <c r="V50" s="595">
        <f>VLOOKUP(A50,[4]CFR20152016_BenchMarkDataReport!$B$3:$BO$99,36,0)</f>
        <v>27902.45</v>
      </c>
      <c r="W50" s="595">
        <f>VLOOKUP(A50,[4]CFR20152016_BenchMarkDataReport!$B$3:$BO$99,37,0)</f>
        <v>307087.65999999997</v>
      </c>
      <c r="X50" s="595">
        <f>VLOOKUP(A50,[4]CFR20152016_BenchMarkDataReport!$B$3:$BO$99,38,0)</f>
        <v>38949.65</v>
      </c>
      <c r="Y50" s="595">
        <f>VLOOKUP(A50,[4]CFR20152016_BenchMarkDataReport!$B$3:$BO$99,39,0)</f>
        <v>122796.8</v>
      </c>
      <c r="Z50" s="595">
        <f>VLOOKUP(A50,[4]CFR20152016_BenchMarkDataReport!$B$3:$BO$99,40,0)</f>
        <v>0</v>
      </c>
      <c r="AA50" s="595">
        <f>VLOOKUP(A50,[4]CFR20152016_BenchMarkDataReport!$B$3:$BO$99,41,0)</f>
        <v>28183.119999999999</v>
      </c>
      <c r="AB50" s="595">
        <f>VLOOKUP(A50,[4]CFR20152016_BenchMarkDataReport!$B$3:$BO$99,42,0)</f>
        <v>38638.800000000003</v>
      </c>
      <c r="AC50" s="595">
        <f>VLOOKUP(A50,[4]CFR20152016_BenchMarkDataReport!$B$3:$BO$99,43,0)</f>
        <v>14327.99</v>
      </c>
      <c r="AD50" s="595">
        <f>VLOOKUP(A50,[4]CFR20152016_BenchMarkDataReport!$B$3:$BO$99,44,0)</f>
        <v>13227.53</v>
      </c>
      <c r="AE50" s="595">
        <f>VLOOKUP(A50,[4]CFR20152016_BenchMarkDataReport!$B$3:$BO$99,45,0)</f>
        <v>0</v>
      </c>
      <c r="AF50" s="595">
        <f>VLOOKUP(A50,[4]CFR20152016_BenchMarkDataReport!$B$3:$BO$99,46,0)</f>
        <v>20276.88</v>
      </c>
      <c r="AG50" s="595">
        <f>VLOOKUP(A50,[4]CFR20152016_BenchMarkDataReport!$B$3:$BO$99,47,0)</f>
        <v>0</v>
      </c>
      <c r="AH50" s="595">
        <f>VLOOKUP(A50,[4]CFR20152016_BenchMarkDataReport!$B$3:$BO$99,48,0)</f>
        <v>31710.45</v>
      </c>
      <c r="AI50" s="595">
        <f>VLOOKUP(A50,[4]CFR20152016_BenchMarkDataReport!$B$3:$BO$99,49,0)</f>
        <v>3097.72</v>
      </c>
      <c r="AJ50" s="595">
        <f>VLOOKUP(A50,[4]CFR20152016_BenchMarkDataReport!$B$3:$BO$99,50,0)</f>
        <v>20719.32</v>
      </c>
      <c r="AK50" s="595">
        <f>VLOOKUP(A50,[4]CFR20152016_BenchMarkDataReport!$B$3:$BO$99,51,0)</f>
        <v>0</v>
      </c>
      <c r="AL50" s="595">
        <f>VLOOKUP(A50,[4]CFR20152016_BenchMarkDataReport!$B$3:$BO$99,52,0)</f>
        <v>8444.52</v>
      </c>
      <c r="AM50" s="595">
        <f>VLOOKUP(A50,[4]CFR20152016_BenchMarkDataReport!$B$3:$BO$99,53,0)</f>
        <v>55532.82</v>
      </c>
      <c r="AN50" s="595">
        <f>VLOOKUP(A50,[4]CFR20152016_BenchMarkDataReport!$B$3:$BO$99,54,0)</f>
        <v>11796.73</v>
      </c>
      <c r="AO50" s="595">
        <f>VLOOKUP(A50,[4]CFR20152016_BenchMarkDataReport!$B$3:$BO$99,55,0)</f>
        <v>0</v>
      </c>
      <c r="AP50" s="595">
        <f>VLOOKUP(A50,[4]CFR20152016_BenchMarkDataReport!$B$3:$BO$99,56,0)</f>
        <v>11931</v>
      </c>
      <c r="AQ50" s="595">
        <f>VLOOKUP(A50,[4]CFR20152016_BenchMarkDataReport!$B$3:$BO$99,57,0)</f>
        <v>12845.44</v>
      </c>
      <c r="AR50" s="595">
        <f>VLOOKUP(A50,[4]CFR20152016_BenchMarkDataReport!$B$3:$BO$99,58,0)</f>
        <v>2264.75</v>
      </c>
      <c r="AS50" s="595">
        <f>VLOOKUP(A50,[4]CFR20152016_BenchMarkDataReport!$B$3:$BO$99,59,0)</f>
        <v>93937.78</v>
      </c>
      <c r="AT50" s="595">
        <f>VLOOKUP(A50,[4]CFR20152016_BenchMarkDataReport!$B$3:$BO$99,60,0)</f>
        <v>74000.160000000003</v>
      </c>
      <c r="AU50" s="595">
        <f>VLOOKUP(A50,[4]CFR20152016_BenchMarkDataReport!$B$3:$BO$99,61,0)</f>
        <v>23826.09</v>
      </c>
      <c r="AV50" s="595">
        <f>VLOOKUP(A50,[4]CFR20152016_BenchMarkDataReport!$B$3:$BO$99,62,0)</f>
        <v>76128.05</v>
      </c>
      <c r="AW50" s="595">
        <f>VLOOKUP(A50,[4]CFR20152016_BenchMarkDataReport!$B$3:$BO$99,63,0)</f>
        <v>0</v>
      </c>
      <c r="AX50" s="595">
        <f>VLOOKUP(A50,[4]CFR20152016_BenchMarkDataReport!$B$3:$BO$99,64,0)</f>
        <v>0</v>
      </c>
      <c r="AY50" s="595">
        <f>VLOOKUP(A50,[4]CFR20152016_BenchMarkDataReport!$B$3:$BO$99,65,0)</f>
        <v>0</v>
      </c>
      <c r="AZ50" s="595">
        <f>VLOOKUP(A50,[4]CFR20152016_BenchMarkDataReport!$B$3:$BO$99,66,0)</f>
        <v>0</v>
      </c>
      <c r="BA50" s="596">
        <f t="shared" si="0"/>
        <v>1725862.3599999999</v>
      </c>
      <c r="BB50" s="595">
        <f t="shared" si="42"/>
        <v>1642088.36</v>
      </c>
      <c r="BC50" s="601">
        <f t="shared" si="43"/>
        <v>83773.999999999767</v>
      </c>
      <c r="BD50" s="595">
        <f>VLOOKUP(A50,[4]CFR20152016_BenchMarkDataReport!$B$3:$BO$99,15,0)</f>
        <v>-60298</v>
      </c>
      <c r="BE50" s="601">
        <f t="shared" si="1"/>
        <v>23475.999999999767</v>
      </c>
      <c r="BF50" s="76">
        <f>VLOOKUP(A50,'OCT 15 CENSUS'!$B$9:$U$132,20,0)</f>
        <v>355</v>
      </c>
      <c r="BG50" s="73">
        <f>VLOOKUP(A50,'[2]BUDGET SHARE inc ADJUSTMENTS'!$D$4:$M$139,10,0)</f>
        <v>1379957.8512087613</v>
      </c>
      <c r="BH50" s="76">
        <f>VLOOKUP(A50,'12-13 Pupil Data'!A:CI,81,0)</f>
        <v>1567</v>
      </c>
      <c r="BI50" t="s">
        <v>210</v>
      </c>
      <c r="BJ50" s="44">
        <f t="shared" si="76"/>
        <v>0.75565425159396837</v>
      </c>
      <c r="BK50" s="45">
        <f t="shared" si="77"/>
        <v>3673.6767042253518</v>
      </c>
      <c r="BL50" s="44">
        <f t="shared" si="78"/>
        <v>0</v>
      </c>
      <c r="BM50" s="45">
        <f t="shared" si="79"/>
        <v>0</v>
      </c>
      <c r="BN50" s="44">
        <f t="shared" si="80"/>
        <v>2.4308427469268177E-2</v>
      </c>
      <c r="BO50" s="45">
        <f t="shared" si="81"/>
        <v>118.17746478873239</v>
      </c>
      <c r="BP50" s="44">
        <f t="shared" si="82"/>
        <v>0</v>
      </c>
      <c r="BQ50" s="45">
        <f t="shared" si="83"/>
        <v>0</v>
      </c>
      <c r="BR50" s="44">
        <f t="shared" si="84"/>
        <v>1.5060297160661179E-2</v>
      </c>
      <c r="BS50" s="45">
        <f t="shared" si="85"/>
        <v>73.21690140845071</v>
      </c>
      <c r="BT50" s="44">
        <f t="shared" si="86"/>
        <v>0</v>
      </c>
      <c r="BU50" s="45">
        <f t="shared" si="87"/>
        <v>0</v>
      </c>
      <c r="BV50" s="44">
        <f t="shared" si="88"/>
        <v>0</v>
      </c>
      <c r="BW50" s="45">
        <f t="shared" si="89"/>
        <v>0</v>
      </c>
      <c r="BX50" s="44">
        <f t="shared" si="90"/>
        <v>1.7010278849815116E-3</v>
      </c>
      <c r="BY50" s="45">
        <f t="shared" si="91"/>
        <v>8.2696901408450696</v>
      </c>
      <c r="BZ50" s="46">
        <f t="shared" si="92"/>
        <v>1.2024365604682405E-2</v>
      </c>
      <c r="CA50" s="47">
        <f t="shared" si="93"/>
        <v>58.457464788732402</v>
      </c>
      <c r="CB50" s="44">
        <f t="shared" si="94"/>
        <v>0.11415092800332005</v>
      </c>
      <c r="CC50" s="48">
        <f t="shared" si="95"/>
        <v>554.95433802816899</v>
      </c>
      <c r="CD50" s="46">
        <f t="shared" si="64"/>
        <v>0.51187451803782691</v>
      </c>
      <c r="CE50" s="49">
        <f t="shared" si="65"/>
        <v>0.40928249921390025</v>
      </c>
      <c r="CF50" s="49">
        <f t="shared" si="66"/>
        <v>0.43016275932922388</v>
      </c>
      <c r="CG50" s="47">
        <f t="shared" si="67"/>
        <v>1989.7612957746478</v>
      </c>
      <c r="CH50" s="44">
        <f t="shared" si="2"/>
        <v>0.22253408662518886</v>
      </c>
      <c r="CI50" s="50">
        <f t="shared" si="3"/>
        <v>0.17793287988504483</v>
      </c>
      <c r="CJ50" s="50">
        <f t="shared" si="4"/>
        <v>0.18701043590614086</v>
      </c>
      <c r="CK50" s="45">
        <f t="shared" si="5"/>
        <v>865.0356619718309</v>
      </c>
      <c r="CL50" s="46">
        <f t="shared" si="6"/>
        <v>2.822524613043972E-2</v>
      </c>
      <c r="CM50" s="49">
        <f t="shared" si="68"/>
        <v>2.2568224965518111E-2</v>
      </c>
      <c r="CN50" s="49">
        <f t="shared" si="69"/>
        <v>2.3719582300674735E-2</v>
      </c>
      <c r="CO50" s="47">
        <f t="shared" si="70"/>
        <v>109.71732394366198</v>
      </c>
      <c r="CP50" s="44">
        <f t="shared" si="7"/>
        <v>8.898590626694669E-2</v>
      </c>
      <c r="CQ50" s="50">
        <f t="shared" si="8"/>
        <v>7.1150981008705705E-2</v>
      </c>
      <c r="CR50" s="50">
        <f t="shared" si="71"/>
        <v>7.4780872327722972E-2</v>
      </c>
      <c r="CS50" s="45">
        <f t="shared" si="9"/>
        <v>345.90647887323945</v>
      </c>
      <c r="CT50" s="46">
        <f t="shared" si="10"/>
        <v>0.81841798936882604</v>
      </c>
      <c r="CU50" s="49">
        <f t="shared" si="11"/>
        <v>0.65438725368574591</v>
      </c>
      <c r="CV50" s="49">
        <f t="shared" si="12"/>
        <v>0.6877719600911123</v>
      </c>
      <c r="CW50" s="47">
        <f t="shared" si="13"/>
        <v>3181.358676056338</v>
      </c>
      <c r="CX50" s="44">
        <f t="shared" si="14"/>
        <v>1.4693840092462719E-2</v>
      </c>
      <c r="CY50" s="50">
        <f t="shared" si="15"/>
        <v>1.2348227107583905E-2</v>
      </c>
      <c r="CZ50" s="48">
        <f t="shared" si="16"/>
        <v>12.939936183790683</v>
      </c>
      <c r="DA50" s="45">
        <f t="shared" si="17"/>
        <v>57.117971830985915</v>
      </c>
      <c r="DB50" s="51">
        <f t="shared" si="18"/>
        <v>1.8864514696395507E-3</v>
      </c>
      <c r="DC50" s="52">
        <f t="shared" si="19"/>
        <v>8.7259718309859142</v>
      </c>
      <c r="DD50" s="44">
        <f t="shared" si="20"/>
        <v>1.5014458580637881E-2</v>
      </c>
      <c r="DE50" s="50">
        <f t="shared" si="21"/>
        <v>1.2617664496446463E-2</v>
      </c>
      <c r="DF50" s="48">
        <f t="shared" si="22"/>
        <v>13.222284620293554</v>
      </c>
      <c r="DG50" s="45">
        <f t="shared" si="23"/>
        <v>58.364281690140842</v>
      </c>
      <c r="DH50" s="46">
        <f t="shared" si="24"/>
        <v>6.1194042938362949E-3</v>
      </c>
      <c r="DI50" s="49">
        <f t="shared" si="25"/>
        <v>5.1425490891367134E-3</v>
      </c>
      <c r="DJ50" s="47">
        <f t="shared" si="26"/>
        <v>5.3889725590299937</v>
      </c>
      <c r="DK50" s="44">
        <f t="shared" si="27"/>
        <v>4.024240302075642E-2</v>
      </c>
      <c r="DL50" s="50">
        <f t="shared" si="28"/>
        <v>3.2176853315231929E-2</v>
      </c>
      <c r="DM50" s="50">
        <f t="shared" si="29"/>
        <v>3.3818411574392984E-2</v>
      </c>
      <c r="DN50" s="45">
        <f t="shared" si="30"/>
        <v>156.43047887323942</v>
      </c>
      <c r="DO50" s="46">
        <f t="shared" si="31"/>
        <v>8.6459162426947688E-3</v>
      </c>
      <c r="DP50" s="49">
        <f t="shared" si="32"/>
        <v>7.265747867550805E-3</v>
      </c>
      <c r="DQ50" s="47">
        <f t="shared" si="33"/>
        <v>33.608450704225355</v>
      </c>
      <c r="DR50" s="53">
        <f t="shared" si="34"/>
        <v>5.7206288217036015E-2</v>
      </c>
      <c r="DS50" s="45">
        <f t="shared" si="35"/>
        <v>264.61346478873241</v>
      </c>
      <c r="DT50" s="46">
        <f t="shared" si="96"/>
        <v>9.4205775840274905E-6</v>
      </c>
      <c r="DU50" s="49">
        <f t="shared" si="97"/>
        <v>7.532466262257438E-6</v>
      </c>
      <c r="DV50" s="49">
        <f t="shared" si="98"/>
        <v>7.9167481584243122E-6</v>
      </c>
      <c r="DW50" s="47">
        <f t="shared" si="99"/>
        <v>3.6619718309859155E-2</v>
      </c>
      <c r="DY50" s="54">
        <f>VLOOKUP(A50,'[3]Barnet Schools'!$E$8:$V$130,17,0)</f>
        <v>13</v>
      </c>
    </row>
    <row r="51" spans="1:129">
      <c r="A51" s="79">
        <v>3513</v>
      </c>
      <c r="B51" s="80">
        <v>10114</v>
      </c>
      <c r="C51" s="573" t="s">
        <v>79</v>
      </c>
      <c r="D51" s="595">
        <f>VLOOKUP(A51,[4]CFR20152016_BenchMarkDataReport!$B$3:$BO$99,18,0)</f>
        <v>1596129</v>
      </c>
      <c r="E51" s="595">
        <f>VLOOKUP(A51,[4]CFR20152016_BenchMarkDataReport!$B$3:$BO$99,19,0)</f>
        <v>0</v>
      </c>
      <c r="F51" s="595">
        <f>VLOOKUP(A51,[4]CFR20152016_BenchMarkDataReport!$B$3:$BO$99,20,0)</f>
        <v>129355</v>
      </c>
      <c r="G51" s="595">
        <f>VLOOKUP(A51,[4]CFR20152016_BenchMarkDataReport!$B$3:$BO$99,21,0)</f>
        <v>0</v>
      </c>
      <c r="H51" s="595">
        <f>VLOOKUP(A51,[4]CFR20152016_BenchMarkDataReport!$B$3:$BO$99,22,0)</f>
        <v>23760</v>
      </c>
      <c r="I51" s="595">
        <f>VLOOKUP(A51,[4]CFR20152016_BenchMarkDataReport!$B$3:$BO$99,23,0)</f>
        <v>0</v>
      </c>
      <c r="J51" s="595">
        <f>VLOOKUP(A51,[4]CFR20152016_BenchMarkDataReport!$B$3:$BO$99,24,0)</f>
        <v>3350.01</v>
      </c>
      <c r="K51" s="595">
        <f>VLOOKUP(A51,[4]CFR20152016_BenchMarkDataReport!$B$3:$BO$99,25,0)</f>
        <v>0</v>
      </c>
      <c r="L51" s="595">
        <f>VLOOKUP(A51,[4]CFR20152016_BenchMarkDataReport!$B$3:$BO$99,26,0)</f>
        <v>39074.239999999998</v>
      </c>
      <c r="M51" s="595">
        <f>VLOOKUP(A51,[4]CFR20152016_BenchMarkDataReport!$B$3:$BO$99,27,0)</f>
        <v>22468.73</v>
      </c>
      <c r="N51" s="595">
        <f>VLOOKUP(A51,[4]CFR20152016_BenchMarkDataReport!$B$3:$BO$99,28,0)</f>
        <v>0</v>
      </c>
      <c r="O51" s="595">
        <f>VLOOKUP(A51,[4]CFR20152016_BenchMarkDataReport!$B$3:$BO$99,29,0)</f>
        <v>36805.86</v>
      </c>
      <c r="P51" s="595">
        <f>VLOOKUP(A51,[4]CFR20152016_BenchMarkDataReport!$B$3:$BO$99,30,0)</f>
        <v>59118.52</v>
      </c>
      <c r="Q51" s="595">
        <f>VLOOKUP(A51,[4]CFR20152016_BenchMarkDataReport!$B$3:$BO$99,31,0)</f>
        <v>0</v>
      </c>
      <c r="R51" s="595">
        <f>VLOOKUP(A51,[4]CFR20152016_BenchMarkDataReport!$B$3:$BO$99,32,0)</f>
        <v>0</v>
      </c>
      <c r="S51" s="595">
        <f>VLOOKUP(A51,[4]CFR20152016_BenchMarkDataReport!$B$3:$BO$99,33,0)</f>
        <v>0</v>
      </c>
      <c r="T51" s="595">
        <f>VLOOKUP(A51,[4]CFR20152016_BenchMarkDataReport!$B$3:$BO$99,34,0)</f>
        <v>60459.040000000001</v>
      </c>
      <c r="U51" s="595">
        <f>VLOOKUP(A51,[4]CFR20152016_BenchMarkDataReport!$B$3:$BO$99,35,0)</f>
        <v>1162814.2</v>
      </c>
      <c r="V51" s="595">
        <f>VLOOKUP(A51,[4]CFR20152016_BenchMarkDataReport!$B$3:$BO$99,36,0)</f>
        <v>0</v>
      </c>
      <c r="W51" s="595">
        <f>VLOOKUP(A51,[4]CFR20152016_BenchMarkDataReport!$B$3:$BO$99,37,0)</f>
        <v>206483.75</v>
      </c>
      <c r="X51" s="595">
        <f>VLOOKUP(A51,[4]CFR20152016_BenchMarkDataReport!$B$3:$BO$99,38,0)</f>
        <v>34935.03</v>
      </c>
      <c r="Y51" s="595">
        <f>VLOOKUP(A51,[4]CFR20152016_BenchMarkDataReport!$B$3:$BO$99,39,0)</f>
        <v>84368.25</v>
      </c>
      <c r="Z51" s="595">
        <f>VLOOKUP(A51,[4]CFR20152016_BenchMarkDataReport!$B$3:$BO$99,40,0)</f>
        <v>3467.05</v>
      </c>
      <c r="AA51" s="595">
        <f>VLOOKUP(A51,[4]CFR20152016_BenchMarkDataReport!$B$3:$BO$99,41,0)</f>
        <v>11392.4</v>
      </c>
      <c r="AB51" s="595">
        <f>VLOOKUP(A51,[4]CFR20152016_BenchMarkDataReport!$B$3:$BO$99,42,0)</f>
        <v>8427.2000000000007</v>
      </c>
      <c r="AC51" s="595">
        <f>VLOOKUP(A51,[4]CFR20152016_BenchMarkDataReport!$B$3:$BO$99,43,0)</f>
        <v>1306.8800000000001</v>
      </c>
      <c r="AD51" s="595">
        <f>VLOOKUP(A51,[4]CFR20152016_BenchMarkDataReport!$B$3:$BO$99,44,0)</f>
        <v>13536.32</v>
      </c>
      <c r="AE51" s="595">
        <f>VLOOKUP(A51,[4]CFR20152016_BenchMarkDataReport!$B$3:$BO$99,45,0)</f>
        <v>0</v>
      </c>
      <c r="AF51" s="595">
        <f>VLOOKUP(A51,[4]CFR20152016_BenchMarkDataReport!$B$3:$BO$99,46,0)</f>
        <v>43050.65</v>
      </c>
      <c r="AG51" s="595">
        <f>VLOOKUP(A51,[4]CFR20152016_BenchMarkDataReport!$B$3:$BO$99,47,0)</f>
        <v>100</v>
      </c>
      <c r="AH51" s="595">
        <f>VLOOKUP(A51,[4]CFR20152016_BenchMarkDataReport!$B$3:$BO$99,48,0)</f>
        <v>87468.35</v>
      </c>
      <c r="AI51" s="595">
        <f>VLOOKUP(A51,[4]CFR20152016_BenchMarkDataReport!$B$3:$BO$99,49,0)</f>
        <v>2690.83</v>
      </c>
      <c r="AJ51" s="595">
        <f>VLOOKUP(A51,[4]CFR20152016_BenchMarkDataReport!$B$3:$BO$99,50,0)</f>
        <v>28840.63</v>
      </c>
      <c r="AK51" s="595">
        <f>VLOOKUP(A51,[4]CFR20152016_BenchMarkDataReport!$B$3:$BO$99,51,0)</f>
        <v>0</v>
      </c>
      <c r="AL51" s="595">
        <f>VLOOKUP(A51,[4]CFR20152016_BenchMarkDataReport!$B$3:$BO$99,52,0)</f>
        <v>8503.57</v>
      </c>
      <c r="AM51" s="595">
        <f>VLOOKUP(A51,[4]CFR20152016_BenchMarkDataReport!$B$3:$BO$99,53,0)</f>
        <v>76472.2</v>
      </c>
      <c r="AN51" s="595">
        <f>VLOOKUP(A51,[4]CFR20152016_BenchMarkDataReport!$B$3:$BO$99,54,0)</f>
        <v>10244.379999999999</v>
      </c>
      <c r="AO51" s="595">
        <f>VLOOKUP(A51,[4]CFR20152016_BenchMarkDataReport!$B$3:$BO$99,55,0)</f>
        <v>0</v>
      </c>
      <c r="AP51" s="595">
        <f>VLOOKUP(A51,[4]CFR20152016_BenchMarkDataReport!$B$3:$BO$99,56,0)</f>
        <v>11745.94</v>
      </c>
      <c r="AQ51" s="595">
        <f>VLOOKUP(A51,[4]CFR20152016_BenchMarkDataReport!$B$3:$BO$99,57,0)</f>
        <v>0</v>
      </c>
      <c r="AR51" s="595">
        <f>VLOOKUP(A51,[4]CFR20152016_BenchMarkDataReport!$B$3:$BO$99,58,0)</f>
        <v>0</v>
      </c>
      <c r="AS51" s="595">
        <f>VLOOKUP(A51,[4]CFR20152016_BenchMarkDataReport!$B$3:$BO$99,59,0)</f>
        <v>88542.88</v>
      </c>
      <c r="AT51" s="595">
        <f>VLOOKUP(A51,[4]CFR20152016_BenchMarkDataReport!$B$3:$BO$99,60,0)</f>
        <v>0</v>
      </c>
      <c r="AU51" s="595">
        <f>VLOOKUP(A51,[4]CFR20152016_BenchMarkDataReport!$B$3:$BO$99,61,0)</f>
        <v>127739.89</v>
      </c>
      <c r="AV51" s="595">
        <f>VLOOKUP(A51,[4]CFR20152016_BenchMarkDataReport!$B$3:$BO$99,62,0)</f>
        <v>14710</v>
      </c>
      <c r="AW51" s="595">
        <f>VLOOKUP(A51,[4]CFR20152016_BenchMarkDataReport!$B$3:$BO$99,63,0)</f>
        <v>0</v>
      </c>
      <c r="AX51" s="595">
        <f>VLOOKUP(A51,[4]CFR20152016_BenchMarkDataReport!$B$3:$BO$99,64,0)</f>
        <v>0</v>
      </c>
      <c r="AY51" s="595">
        <f>VLOOKUP(A51,[4]CFR20152016_BenchMarkDataReport!$B$3:$BO$99,65,0)</f>
        <v>0</v>
      </c>
      <c r="AZ51" s="595">
        <f>VLOOKUP(A51,[4]CFR20152016_BenchMarkDataReport!$B$3:$BO$99,66,0)</f>
        <v>0</v>
      </c>
      <c r="BA51" s="596">
        <f t="shared" si="0"/>
        <v>1970520.4000000001</v>
      </c>
      <c r="BB51" s="595">
        <f t="shared" si="42"/>
        <v>2026840.3999999997</v>
      </c>
      <c r="BC51" s="601">
        <f t="shared" si="43"/>
        <v>-56319.999999999534</v>
      </c>
      <c r="BD51" s="595">
        <f>VLOOKUP(A51,[4]CFR20152016_BenchMarkDataReport!$B$3:$BO$99,15,0)</f>
        <v>30932</v>
      </c>
      <c r="BE51" s="601">
        <f t="shared" si="1"/>
        <v>-25387.999999999534</v>
      </c>
      <c r="BF51" s="76">
        <f>VLOOKUP(A51,'OCT 15 CENSUS'!$B$9:$U$132,20,0)</f>
        <v>445</v>
      </c>
      <c r="BG51" s="73">
        <f>VLOOKUP(A51,'[2]BUDGET SHARE inc ADJUSTMENTS'!$D$4:$M$139,10,0)</f>
        <v>1807648.9602730039</v>
      </c>
      <c r="BH51" s="76">
        <f>VLOOKUP(A51,'12-13 Pupil Data'!A:CI,81,0)</f>
        <v>2741</v>
      </c>
      <c r="BI51" t="s">
        <v>210</v>
      </c>
      <c r="BJ51" s="44">
        <f t="shared" si="76"/>
        <v>0.81000379392164623</v>
      </c>
      <c r="BK51" s="45">
        <f t="shared" si="77"/>
        <v>3586.8067415730338</v>
      </c>
      <c r="BL51" s="44">
        <f t="shared" si="78"/>
        <v>0</v>
      </c>
      <c r="BM51" s="45">
        <f t="shared" si="79"/>
        <v>0</v>
      </c>
      <c r="BN51" s="44">
        <f t="shared" si="80"/>
        <v>6.5645095579827534E-2</v>
      </c>
      <c r="BO51" s="45">
        <f t="shared" si="81"/>
        <v>290.68539325842698</v>
      </c>
      <c r="BP51" s="44">
        <f t="shared" si="82"/>
        <v>0</v>
      </c>
      <c r="BQ51" s="45">
        <f t="shared" si="83"/>
        <v>0</v>
      </c>
      <c r="BR51" s="44">
        <f t="shared" si="84"/>
        <v>1.2057728506642204E-2</v>
      </c>
      <c r="BS51" s="45">
        <f t="shared" si="85"/>
        <v>53.393258426966291</v>
      </c>
      <c r="BT51" s="44">
        <f t="shared" si="86"/>
        <v>0</v>
      </c>
      <c r="BU51" s="45">
        <f t="shared" si="87"/>
        <v>0</v>
      </c>
      <c r="BV51" s="44">
        <f t="shared" si="88"/>
        <v>1.7000635974131503E-3</v>
      </c>
      <c r="BW51" s="45">
        <f t="shared" si="89"/>
        <v>7.5281123595505619</v>
      </c>
      <c r="BX51" s="44">
        <f t="shared" si="90"/>
        <v>0</v>
      </c>
      <c r="BY51" s="45">
        <f t="shared" si="91"/>
        <v>0</v>
      </c>
      <c r="BZ51" s="46">
        <f t="shared" si="92"/>
        <v>1.8678243574641498E-2</v>
      </c>
      <c r="CA51" s="47">
        <f t="shared" si="93"/>
        <v>82.709797752808996</v>
      </c>
      <c r="CB51" s="44">
        <f t="shared" si="94"/>
        <v>3.0001475752293654E-2</v>
      </c>
      <c r="CC51" s="48">
        <f t="shared" si="95"/>
        <v>132.85060674157302</v>
      </c>
      <c r="CD51" s="46">
        <f t="shared" si="64"/>
        <v>0.64327434449683396</v>
      </c>
      <c r="CE51" s="49">
        <f t="shared" si="65"/>
        <v>0.59010513161903821</v>
      </c>
      <c r="CF51" s="49">
        <f t="shared" si="66"/>
        <v>0.5737078262304226</v>
      </c>
      <c r="CG51" s="47">
        <f t="shared" si="67"/>
        <v>2613.0656179775278</v>
      </c>
      <c r="CH51" s="44">
        <f t="shared" si="2"/>
        <v>0.11422779230809027</v>
      </c>
      <c r="CI51" s="50">
        <f t="shared" si="3"/>
        <v>0.10478640566217938</v>
      </c>
      <c r="CJ51" s="50">
        <f t="shared" si="4"/>
        <v>0.10187469620202955</v>
      </c>
      <c r="CK51" s="45">
        <f t="shared" si="5"/>
        <v>464.00842696629212</v>
      </c>
      <c r="CL51" s="46">
        <f t="shared" si="6"/>
        <v>1.9326224708321613E-2</v>
      </c>
      <c r="CM51" s="49">
        <f t="shared" si="68"/>
        <v>1.7728834474385547E-2</v>
      </c>
      <c r="CN51" s="49">
        <f t="shared" si="69"/>
        <v>1.7236201725602078E-2</v>
      </c>
      <c r="CO51" s="47">
        <f t="shared" si="70"/>
        <v>78.505685393258418</v>
      </c>
      <c r="CP51" s="44">
        <f t="shared" si="7"/>
        <v>4.6672917061982053E-2</v>
      </c>
      <c r="CQ51" s="50">
        <f t="shared" si="8"/>
        <v>4.2815212671738892E-2</v>
      </c>
      <c r="CR51" s="50">
        <f t="shared" si="71"/>
        <v>4.1625502432258613E-2</v>
      </c>
      <c r="CS51" s="45">
        <f t="shared" si="9"/>
        <v>189.59157303370787</v>
      </c>
      <c r="CT51" s="46">
        <f t="shared" si="10"/>
        <v>0.83172159697031922</v>
      </c>
      <c r="CU51" s="49">
        <f t="shared" si="11"/>
        <v>0.76297646043146761</v>
      </c>
      <c r="CV51" s="49">
        <f t="shared" si="12"/>
        <v>0.741775563581622</v>
      </c>
      <c r="CW51" s="47">
        <f t="shared" si="13"/>
        <v>3378.5633258426965</v>
      </c>
      <c r="CX51" s="44">
        <f t="shared" si="14"/>
        <v>2.3815824281224484E-2</v>
      </c>
      <c r="CY51" s="50">
        <f t="shared" si="15"/>
        <v>2.1240276244740341E-2</v>
      </c>
      <c r="CZ51" s="48">
        <f t="shared" si="16"/>
        <v>15.706183874498359</v>
      </c>
      <c r="DA51" s="45">
        <f t="shared" si="17"/>
        <v>96.743033707865166</v>
      </c>
      <c r="DB51" s="51">
        <f t="shared" si="18"/>
        <v>1.327598364429681E-3</v>
      </c>
      <c r="DC51" s="52">
        <f t="shared" si="19"/>
        <v>6.0468089887640444</v>
      </c>
      <c r="DD51" s="44">
        <f t="shared" si="20"/>
        <v>1.5954773650103109E-2</v>
      </c>
      <c r="DE51" s="50">
        <f t="shared" si="21"/>
        <v>1.4229354220490181E-2</v>
      </c>
      <c r="DF51" s="48">
        <f t="shared" si="22"/>
        <v>10.521937249179132</v>
      </c>
      <c r="DG51" s="45">
        <f t="shared" si="23"/>
        <v>64.810404494382027</v>
      </c>
      <c r="DH51" s="46">
        <f t="shared" si="24"/>
        <v>4.7042153575635234E-3</v>
      </c>
      <c r="DI51" s="49">
        <f t="shared" si="25"/>
        <v>4.1954808084543813E-3</v>
      </c>
      <c r="DJ51" s="47">
        <f t="shared" si="26"/>
        <v>3.1023604523896386</v>
      </c>
      <c r="DK51" s="44">
        <f t="shared" si="27"/>
        <v>4.2304784657110982E-2</v>
      </c>
      <c r="DL51" s="50">
        <f t="shared" si="28"/>
        <v>3.8808123985927777E-2</v>
      </c>
      <c r="DM51" s="50">
        <f t="shared" si="29"/>
        <v>3.7729759087099315E-2</v>
      </c>
      <c r="DN51" s="45">
        <f t="shared" si="30"/>
        <v>171.84764044943819</v>
      </c>
      <c r="DO51" s="46">
        <f t="shared" si="31"/>
        <v>6.4979098586851981E-3</v>
      </c>
      <c r="DP51" s="49">
        <f t="shared" si="32"/>
        <v>5.7951972932846624E-3</v>
      </c>
      <c r="DQ51" s="47">
        <f t="shared" si="33"/>
        <v>26.395370786516857</v>
      </c>
      <c r="DR51" s="53">
        <f t="shared" si="34"/>
        <v>4.3685176198382476E-2</v>
      </c>
      <c r="DS51" s="45">
        <f t="shared" si="35"/>
        <v>198.97276404494383</v>
      </c>
      <c r="DT51" s="46">
        <f t="shared" si="96"/>
        <v>9.957685588069883E-6</v>
      </c>
      <c r="DU51" s="49">
        <f t="shared" si="97"/>
        <v>9.1346428080622764E-6</v>
      </c>
      <c r="DV51" s="49">
        <f t="shared" si="98"/>
        <v>8.8808176509605794E-6</v>
      </c>
      <c r="DW51" s="47">
        <f t="shared" si="99"/>
        <v>4.0449438202247189E-2</v>
      </c>
      <c r="DY51" s="54">
        <f>VLOOKUP(A51,'[3]Barnet Schools'!$E$8:$V$130,17,0)</f>
        <v>18</v>
      </c>
    </row>
    <row r="52" spans="1:129">
      <c r="A52" s="79">
        <v>3305</v>
      </c>
      <c r="B52" s="80">
        <v>10078</v>
      </c>
      <c r="C52" s="573" t="s">
        <v>80</v>
      </c>
      <c r="D52" s="595">
        <f>VLOOKUP(A52,[4]CFR20152016_BenchMarkDataReport!$B$3:$BO$99,18,0)</f>
        <v>615843</v>
      </c>
      <c r="E52" s="595">
        <f>VLOOKUP(A52,[4]CFR20152016_BenchMarkDataReport!$B$3:$BO$99,19,0)</f>
        <v>0</v>
      </c>
      <c r="F52" s="595">
        <f>VLOOKUP(A52,[4]CFR20152016_BenchMarkDataReport!$B$3:$BO$99,20,0)</f>
        <v>24322</v>
      </c>
      <c r="G52" s="595">
        <f>VLOOKUP(A52,[4]CFR20152016_BenchMarkDataReport!$B$3:$BO$99,21,0)</f>
        <v>0</v>
      </c>
      <c r="H52" s="595">
        <f>VLOOKUP(A52,[4]CFR20152016_BenchMarkDataReport!$B$3:$BO$99,22,0)</f>
        <v>9808.5</v>
      </c>
      <c r="I52" s="595">
        <f>VLOOKUP(A52,[4]CFR20152016_BenchMarkDataReport!$B$3:$BO$99,23,0)</f>
        <v>0</v>
      </c>
      <c r="J52" s="595">
        <f>VLOOKUP(A52,[4]CFR20152016_BenchMarkDataReport!$B$3:$BO$99,24,0)</f>
        <v>0</v>
      </c>
      <c r="K52" s="595">
        <f>VLOOKUP(A52,[4]CFR20152016_BenchMarkDataReport!$B$3:$BO$99,25,0)</f>
        <v>7178.08</v>
      </c>
      <c r="L52" s="595">
        <f>VLOOKUP(A52,[4]CFR20152016_BenchMarkDataReport!$B$3:$BO$99,26,0)</f>
        <v>12905.58</v>
      </c>
      <c r="M52" s="595">
        <f>VLOOKUP(A52,[4]CFR20152016_BenchMarkDataReport!$B$3:$BO$99,27,0)</f>
        <v>12778.87</v>
      </c>
      <c r="N52" s="595">
        <f>VLOOKUP(A52,[4]CFR20152016_BenchMarkDataReport!$B$3:$BO$99,28,0)</f>
        <v>0</v>
      </c>
      <c r="O52" s="595">
        <f>VLOOKUP(A52,[4]CFR20152016_BenchMarkDataReport!$B$3:$BO$99,29,0)</f>
        <v>15658.08</v>
      </c>
      <c r="P52" s="595">
        <f>VLOOKUP(A52,[4]CFR20152016_BenchMarkDataReport!$B$3:$BO$99,30,0)</f>
        <v>35687.89</v>
      </c>
      <c r="Q52" s="595">
        <f>VLOOKUP(A52,[4]CFR20152016_BenchMarkDataReport!$B$3:$BO$99,31,0)</f>
        <v>0</v>
      </c>
      <c r="R52" s="595">
        <f>VLOOKUP(A52,[4]CFR20152016_BenchMarkDataReport!$B$3:$BO$99,32,0)</f>
        <v>0</v>
      </c>
      <c r="S52" s="595">
        <f>VLOOKUP(A52,[4]CFR20152016_BenchMarkDataReport!$B$3:$BO$99,33,0)</f>
        <v>0</v>
      </c>
      <c r="T52" s="595">
        <f>VLOOKUP(A52,[4]CFR20152016_BenchMarkDataReport!$B$3:$BO$99,34,0)</f>
        <v>29805.51</v>
      </c>
      <c r="U52" s="595">
        <f>VLOOKUP(A52,[4]CFR20152016_BenchMarkDataReport!$B$3:$BO$99,35,0)</f>
        <v>366716.06</v>
      </c>
      <c r="V52" s="595">
        <f>VLOOKUP(A52,[4]CFR20152016_BenchMarkDataReport!$B$3:$BO$99,36,0)</f>
        <v>0</v>
      </c>
      <c r="W52" s="595">
        <f>VLOOKUP(A52,[4]CFR20152016_BenchMarkDataReport!$B$3:$BO$99,37,0)</f>
        <v>64521.24</v>
      </c>
      <c r="X52" s="595">
        <f>VLOOKUP(A52,[4]CFR20152016_BenchMarkDataReport!$B$3:$BO$99,38,0)</f>
        <v>30962.32</v>
      </c>
      <c r="Y52" s="595">
        <f>VLOOKUP(A52,[4]CFR20152016_BenchMarkDataReport!$B$3:$BO$99,39,0)</f>
        <v>31119.13</v>
      </c>
      <c r="Z52" s="595">
        <f>VLOOKUP(A52,[4]CFR20152016_BenchMarkDataReport!$B$3:$BO$99,40,0)</f>
        <v>0</v>
      </c>
      <c r="AA52" s="595">
        <f>VLOOKUP(A52,[4]CFR20152016_BenchMarkDataReport!$B$3:$BO$99,41,0)</f>
        <v>20142.52</v>
      </c>
      <c r="AB52" s="595">
        <f>VLOOKUP(A52,[4]CFR20152016_BenchMarkDataReport!$B$3:$BO$99,42,0)</f>
        <v>2651.07</v>
      </c>
      <c r="AC52" s="595">
        <f>VLOOKUP(A52,[4]CFR20152016_BenchMarkDataReport!$B$3:$BO$99,43,0)</f>
        <v>1923</v>
      </c>
      <c r="AD52" s="595">
        <f>VLOOKUP(A52,[4]CFR20152016_BenchMarkDataReport!$B$3:$BO$99,44,0)</f>
        <v>6029.98</v>
      </c>
      <c r="AE52" s="595">
        <f>VLOOKUP(A52,[4]CFR20152016_BenchMarkDataReport!$B$3:$BO$99,45,0)</f>
        <v>604.79999999999995</v>
      </c>
      <c r="AF52" s="595">
        <f>VLOOKUP(A52,[4]CFR20152016_BenchMarkDataReport!$B$3:$BO$99,46,0)</f>
        <v>6257.51</v>
      </c>
      <c r="AG52" s="595">
        <f>VLOOKUP(A52,[4]CFR20152016_BenchMarkDataReport!$B$3:$BO$99,47,0)</f>
        <v>15.93</v>
      </c>
      <c r="AH52" s="595">
        <f>VLOOKUP(A52,[4]CFR20152016_BenchMarkDataReport!$B$3:$BO$99,48,0)</f>
        <v>768.96</v>
      </c>
      <c r="AI52" s="595">
        <f>VLOOKUP(A52,[4]CFR20152016_BenchMarkDataReport!$B$3:$BO$99,49,0)</f>
        <v>1103.58</v>
      </c>
      <c r="AJ52" s="595">
        <f>VLOOKUP(A52,[4]CFR20152016_BenchMarkDataReport!$B$3:$BO$99,50,0)</f>
        <v>7133.77</v>
      </c>
      <c r="AK52" s="595">
        <f>VLOOKUP(A52,[4]CFR20152016_BenchMarkDataReport!$B$3:$BO$99,51,0)</f>
        <v>0</v>
      </c>
      <c r="AL52" s="595">
        <f>VLOOKUP(A52,[4]CFR20152016_BenchMarkDataReport!$B$3:$BO$99,52,0)</f>
        <v>4824.99</v>
      </c>
      <c r="AM52" s="595">
        <f>VLOOKUP(A52,[4]CFR20152016_BenchMarkDataReport!$B$3:$BO$99,53,0)</f>
        <v>64044.42</v>
      </c>
      <c r="AN52" s="595">
        <f>VLOOKUP(A52,[4]CFR20152016_BenchMarkDataReport!$B$3:$BO$99,54,0)</f>
        <v>6847.35</v>
      </c>
      <c r="AO52" s="595">
        <f>VLOOKUP(A52,[4]CFR20152016_BenchMarkDataReport!$B$3:$BO$99,55,0)</f>
        <v>0</v>
      </c>
      <c r="AP52" s="595">
        <f>VLOOKUP(A52,[4]CFR20152016_BenchMarkDataReport!$B$3:$BO$99,56,0)</f>
        <v>6253.08</v>
      </c>
      <c r="AQ52" s="595">
        <f>VLOOKUP(A52,[4]CFR20152016_BenchMarkDataReport!$B$3:$BO$99,57,0)</f>
        <v>3037.53</v>
      </c>
      <c r="AR52" s="595">
        <f>VLOOKUP(A52,[4]CFR20152016_BenchMarkDataReport!$B$3:$BO$99,58,0)</f>
        <v>6077.27</v>
      </c>
      <c r="AS52" s="595">
        <f>VLOOKUP(A52,[4]CFR20152016_BenchMarkDataReport!$B$3:$BO$99,59,0)</f>
        <v>37746.18</v>
      </c>
      <c r="AT52" s="595">
        <f>VLOOKUP(A52,[4]CFR20152016_BenchMarkDataReport!$B$3:$BO$99,60,0)</f>
        <v>17436.04</v>
      </c>
      <c r="AU52" s="595">
        <f>VLOOKUP(A52,[4]CFR20152016_BenchMarkDataReport!$B$3:$BO$99,61,0)</f>
        <v>24124.46</v>
      </c>
      <c r="AV52" s="595">
        <f>VLOOKUP(A52,[4]CFR20152016_BenchMarkDataReport!$B$3:$BO$99,62,0)</f>
        <v>20108.32</v>
      </c>
      <c r="AW52" s="595">
        <f>VLOOKUP(A52,[4]CFR20152016_BenchMarkDataReport!$B$3:$BO$99,63,0)</f>
        <v>0</v>
      </c>
      <c r="AX52" s="595">
        <f>VLOOKUP(A52,[4]CFR20152016_BenchMarkDataReport!$B$3:$BO$99,64,0)</f>
        <v>0</v>
      </c>
      <c r="AY52" s="595">
        <f>VLOOKUP(A52,[4]CFR20152016_BenchMarkDataReport!$B$3:$BO$99,65,0)</f>
        <v>0</v>
      </c>
      <c r="AZ52" s="595">
        <f>VLOOKUP(A52,[4]CFR20152016_BenchMarkDataReport!$B$3:$BO$99,66,0)</f>
        <v>0</v>
      </c>
      <c r="BA52" s="596">
        <f t="shared" si="0"/>
        <v>763987.50999999989</v>
      </c>
      <c r="BB52" s="595">
        <f t="shared" si="42"/>
        <v>730449.51</v>
      </c>
      <c r="BC52" s="601">
        <f t="shared" si="43"/>
        <v>33537.999999999884</v>
      </c>
      <c r="BD52" s="595">
        <f>VLOOKUP(A52,[4]CFR20152016_BenchMarkDataReport!$B$3:$BO$99,15,0)</f>
        <v>29665</v>
      </c>
      <c r="BE52" s="601">
        <f t="shared" si="1"/>
        <v>63202.999999999884</v>
      </c>
      <c r="BF52" s="76">
        <f>VLOOKUP(A52,'OCT 15 CENSUS'!$B$9:$U$132,20,0)</f>
        <v>150</v>
      </c>
      <c r="BG52" s="73">
        <f>VLOOKUP(A52,'[2]BUDGET SHARE inc ADJUSTMENTS'!$D$4:$M$139,10,0)</f>
        <v>669002.12762916659</v>
      </c>
      <c r="BH52" s="76">
        <f>VLOOKUP(A52,'12-13 Pupil Data'!A:CI,81,0)</f>
        <v>602.84</v>
      </c>
      <c r="BI52" t="s">
        <v>210</v>
      </c>
      <c r="BJ52" s="44">
        <f t="shared" si="76"/>
        <v>0.80609040323185399</v>
      </c>
      <c r="BK52" s="45">
        <f t="shared" si="77"/>
        <v>4105.62</v>
      </c>
      <c r="BL52" s="44">
        <f t="shared" si="78"/>
        <v>0</v>
      </c>
      <c r="BM52" s="45">
        <f t="shared" si="79"/>
        <v>0</v>
      </c>
      <c r="BN52" s="44">
        <f t="shared" si="80"/>
        <v>3.1835598987737385E-2</v>
      </c>
      <c r="BO52" s="45">
        <f t="shared" si="81"/>
        <v>162.14666666666668</v>
      </c>
      <c r="BP52" s="44">
        <f t="shared" si="82"/>
        <v>0</v>
      </c>
      <c r="BQ52" s="45">
        <f t="shared" si="83"/>
        <v>0</v>
      </c>
      <c r="BR52" s="44">
        <f t="shared" si="84"/>
        <v>1.283856067228115E-2</v>
      </c>
      <c r="BS52" s="45">
        <f t="shared" si="85"/>
        <v>65.39</v>
      </c>
      <c r="BT52" s="44">
        <f t="shared" si="86"/>
        <v>0</v>
      </c>
      <c r="BU52" s="45">
        <f t="shared" si="87"/>
        <v>0</v>
      </c>
      <c r="BV52" s="44">
        <f t="shared" si="88"/>
        <v>0</v>
      </c>
      <c r="BW52" s="45">
        <f t="shared" si="89"/>
        <v>0</v>
      </c>
      <c r="BX52" s="44">
        <f t="shared" si="90"/>
        <v>9.3955462701216155E-3</v>
      </c>
      <c r="BY52" s="45">
        <f t="shared" si="91"/>
        <v>47.853866666666669</v>
      </c>
      <c r="BZ52" s="46">
        <f t="shared" si="92"/>
        <v>2.0495204168979153E-2</v>
      </c>
      <c r="CA52" s="47">
        <f t="shared" si="93"/>
        <v>104.38719999999999</v>
      </c>
      <c r="CB52" s="44">
        <f t="shared" si="94"/>
        <v>4.6712661572176753E-2</v>
      </c>
      <c r="CC52" s="48">
        <f t="shared" si="95"/>
        <v>237.91926666666666</v>
      </c>
      <c r="CD52" s="46">
        <f t="shared" si="64"/>
        <v>0.57421655946203309</v>
      </c>
      <c r="CE52" s="49">
        <f t="shared" si="65"/>
        <v>0.50282510508581491</v>
      </c>
      <c r="CF52" s="49">
        <f t="shared" si="66"/>
        <v>0.52591191415817362</v>
      </c>
      <c r="CG52" s="47">
        <f t="shared" si="67"/>
        <v>2561.0139999999997</v>
      </c>
      <c r="CH52" s="44">
        <f t="shared" si="2"/>
        <v>9.6443998210667362E-2</v>
      </c>
      <c r="CI52" s="50">
        <f t="shared" si="3"/>
        <v>8.4453265472887118E-2</v>
      </c>
      <c r="CJ52" s="50">
        <f t="shared" si="4"/>
        <v>8.8330869028853204E-2</v>
      </c>
      <c r="CK52" s="45">
        <f t="shared" si="5"/>
        <v>430.14159999999998</v>
      </c>
      <c r="CL52" s="46">
        <f t="shared" si="6"/>
        <v>4.6281347579155488E-2</v>
      </c>
      <c r="CM52" s="49">
        <f t="shared" si="68"/>
        <v>4.0527259405065408E-2</v>
      </c>
      <c r="CN52" s="49">
        <f t="shared" si="69"/>
        <v>4.2388035827418104E-2</v>
      </c>
      <c r="CO52" s="47">
        <f t="shared" si="70"/>
        <v>206.41546666666667</v>
      </c>
      <c r="CP52" s="44">
        <f t="shared" si="7"/>
        <v>4.6515741452543766E-2</v>
      </c>
      <c r="CQ52" s="50">
        <f t="shared" si="8"/>
        <v>4.0732511451659736E-2</v>
      </c>
      <c r="CR52" s="50">
        <f t="shared" si="71"/>
        <v>4.2602711856155537E-2</v>
      </c>
      <c r="CS52" s="45">
        <f t="shared" si="9"/>
        <v>207.46086666666667</v>
      </c>
      <c r="CT52" s="46">
        <f t="shared" si="10"/>
        <v>0.7675031943764099</v>
      </c>
      <c r="CU52" s="49">
        <f t="shared" si="11"/>
        <v>0.67208071241897671</v>
      </c>
      <c r="CV52" s="49">
        <f t="shared" si="12"/>
        <v>0.70293875616399548</v>
      </c>
      <c r="CW52" s="47">
        <f t="shared" si="13"/>
        <v>3423.0751333333333</v>
      </c>
      <c r="CX52" s="44">
        <f t="shared" si="14"/>
        <v>9.3534979061659865E-3</v>
      </c>
      <c r="CY52" s="50">
        <f t="shared" si="15"/>
        <v>8.5666564414561656E-3</v>
      </c>
      <c r="CZ52" s="48">
        <f t="shared" si="16"/>
        <v>10.380051091500231</v>
      </c>
      <c r="DA52" s="45">
        <f t="shared" si="17"/>
        <v>41.716733333333337</v>
      </c>
      <c r="DB52" s="51">
        <f t="shared" si="18"/>
        <v>1.5108231094576269E-3</v>
      </c>
      <c r="DC52" s="52">
        <f t="shared" si="19"/>
        <v>7.3571999999999997</v>
      </c>
      <c r="DD52" s="44">
        <f t="shared" si="20"/>
        <v>1.0663299420707236E-2</v>
      </c>
      <c r="DE52" s="50">
        <f t="shared" si="21"/>
        <v>9.7662739208354051E-3</v>
      </c>
      <c r="DF52" s="48">
        <f t="shared" si="22"/>
        <v>11.833604273107293</v>
      </c>
      <c r="DG52" s="45">
        <f t="shared" si="23"/>
        <v>47.558466666666668</v>
      </c>
      <c r="DH52" s="46">
        <f t="shared" si="24"/>
        <v>7.2122192153543218E-3</v>
      </c>
      <c r="DI52" s="49">
        <f t="shared" si="25"/>
        <v>6.6055078878757816E-3</v>
      </c>
      <c r="DJ52" s="47">
        <f t="shared" si="26"/>
        <v>8.0037655099197131</v>
      </c>
      <c r="DK52" s="44">
        <f t="shared" si="27"/>
        <v>9.573126505137268E-2</v>
      </c>
      <c r="DL52" s="50">
        <f t="shared" si="28"/>
        <v>8.3829145322022361E-2</v>
      </c>
      <c r="DM52" s="50">
        <f t="shared" si="29"/>
        <v>8.767809290473752E-2</v>
      </c>
      <c r="DN52" s="45">
        <f t="shared" si="30"/>
        <v>426.96280000000002</v>
      </c>
      <c r="DO52" s="46">
        <f t="shared" si="31"/>
        <v>9.3468761036080497E-3</v>
      </c>
      <c r="DP52" s="49">
        <f t="shared" si="32"/>
        <v>8.5605916827844811E-3</v>
      </c>
      <c r="DQ52" s="47">
        <f t="shared" si="33"/>
        <v>41.687199999999997</v>
      </c>
      <c r="DR52" s="53">
        <f t="shared" si="34"/>
        <v>5.1675275954391427E-2</v>
      </c>
      <c r="DS52" s="45">
        <f t="shared" si="35"/>
        <v>251.6412</v>
      </c>
      <c r="DT52" s="46">
        <f t="shared" si="96"/>
        <v>1.3452872013867159E-5</v>
      </c>
      <c r="DU52" s="49">
        <f t="shared" si="97"/>
        <v>1.1780297298315781E-5</v>
      </c>
      <c r="DV52" s="49">
        <f t="shared" si="98"/>
        <v>1.2321180145633885E-5</v>
      </c>
      <c r="DW52" s="47">
        <f t="shared" si="99"/>
        <v>0.06</v>
      </c>
      <c r="DY52" s="54">
        <f>VLOOKUP(A52,'[3]Barnet Schools'!$E$8:$V$130,17,0)</f>
        <v>9</v>
      </c>
    </row>
    <row r="53" spans="1:129" s="14" customFormat="1">
      <c r="A53" s="573">
        <v>2042</v>
      </c>
      <c r="B53" s="574">
        <v>10079</v>
      </c>
      <c r="C53" s="573" t="s">
        <v>81</v>
      </c>
      <c r="D53" s="595">
        <f>VLOOKUP(A53,[4]CFR20152016_BenchMarkDataReport!$B$3:$BO$99,18,0)</f>
        <v>1140142</v>
      </c>
      <c r="E53" s="595">
        <f>VLOOKUP(A53,[4]CFR20152016_BenchMarkDataReport!$B$3:$BO$99,19,0)</f>
        <v>0</v>
      </c>
      <c r="F53" s="595">
        <f>VLOOKUP(A53,[4]CFR20152016_BenchMarkDataReport!$B$3:$BO$99,20,0)</f>
        <v>77753</v>
      </c>
      <c r="G53" s="595">
        <f>VLOOKUP(A53,[4]CFR20152016_BenchMarkDataReport!$B$3:$BO$99,21,0)</f>
        <v>0</v>
      </c>
      <c r="H53" s="595">
        <f>VLOOKUP(A53,[4]CFR20152016_BenchMarkDataReport!$B$3:$BO$99,22,0)</f>
        <v>50179</v>
      </c>
      <c r="I53" s="595">
        <f>VLOOKUP(A53,[4]CFR20152016_BenchMarkDataReport!$B$3:$BO$99,23,0)</f>
        <v>2305</v>
      </c>
      <c r="J53" s="595">
        <f>VLOOKUP(A53,[4]CFR20152016_BenchMarkDataReport!$B$3:$BO$99,24,0)</f>
        <v>718</v>
      </c>
      <c r="K53" s="595">
        <f>VLOOKUP(A53,[4]CFR20152016_BenchMarkDataReport!$B$3:$BO$99,25,0)</f>
        <v>53914.85</v>
      </c>
      <c r="L53" s="595">
        <f>VLOOKUP(A53,[4]CFR20152016_BenchMarkDataReport!$B$3:$BO$99,26,0)</f>
        <v>33054.400000000001</v>
      </c>
      <c r="M53" s="595">
        <f>VLOOKUP(A53,[4]CFR20152016_BenchMarkDataReport!$B$3:$BO$99,27,0)</f>
        <v>4620</v>
      </c>
      <c r="N53" s="595">
        <f>VLOOKUP(A53,[4]CFR20152016_BenchMarkDataReport!$B$3:$BO$99,28,0)</f>
        <v>2152</v>
      </c>
      <c r="O53" s="595">
        <f>VLOOKUP(A53,[4]CFR20152016_BenchMarkDataReport!$B$3:$BO$99,29,0)</f>
        <v>30683.91</v>
      </c>
      <c r="P53" s="595">
        <f>VLOOKUP(A53,[4]CFR20152016_BenchMarkDataReport!$B$3:$BO$99,30,0)</f>
        <v>5018.07</v>
      </c>
      <c r="Q53" s="595">
        <f>VLOOKUP(A53,[4]CFR20152016_BenchMarkDataReport!$B$3:$BO$99,31,0)</f>
        <v>0</v>
      </c>
      <c r="R53" s="595">
        <f>VLOOKUP(A53,[4]CFR20152016_BenchMarkDataReport!$B$3:$BO$99,32,0)</f>
        <v>0</v>
      </c>
      <c r="S53" s="595">
        <f>VLOOKUP(A53,[4]CFR20152016_BenchMarkDataReport!$B$3:$BO$99,33,0)</f>
        <v>0</v>
      </c>
      <c r="T53" s="595">
        <f>VLOOKUP(A53,[4]CFR20152016_BenchMarkDataReport!$B$3:$BO$99,34,0)</f>
        <v>60447.92</v>
      </c>
      <c r="U53" s="595">
        <f>VLOOKUP(A53,[4]CFR20152016_BenchMarkDataReport!$B$3:$BO$99,35,0)</f>
        <v>607580.4</v>
      </c>
      <c r="V53" s="595">
        <f>VLOOKUP(A53,[4]CFR20152016_BenchMarkDataReport!$B$3:$BO$99,36,0)</f>
        <v>0</v>
      </c>
      <c r="W53" s="595">
        <f>VLOOKUP(A53,[4]CFR20152016_BenchMarkDataReport!$B$3:$BO$99,37,0)</f>
        <v>345264.7</v>
      </c>
      <c r="X53" s="595">
        <f>VLOOKUP(A53,[4]CFR20152016_BenchMarkDataReport!$B$3:$BO$99,38,0)</f>
        <v>42047.11</v>
      </c>
      <c r="Y53" s="595">
        <f>VLOOKUP(A53,[4]CFR20152016_BenchMarkDataReport!$B$3:$BO$99,39,0)</f>
        <v>82057.84</v>
      </c>
      <c r="Z53" s="595">
        <f>VLOOKUP(A53,[4]CFR20152016_BenchMarkDataReport!$B$3:$BO$99,40,0)</f>
        <v>0</v>
      </c>
      <c r="AA53" s="595">
        <f>VLOOKUP(A53,[4]CFR20152016_BenchMarkDataReport!$B$3:$BO$99,41,0)</f>
        <v>83455.899999999994</v>
      </c>
      <c r="AB53" s="595">
        <f>VLOOKUP(A53,[4]CFR20152016_BenchMarkDataReport!$B$3:$BO$99,42,0)</f>
        <v>3701.3</v>
      </c>
      <c r="AC53" s="595">
        <f>VLOOKUP(A53,[4]CFR20152016_BenchMarkDataReport!$B$3:$BO$99,43,0)</f>
        <v>4949.1000000000004</v>
      </c>
      <c r="AD53" s="595">
        <f>VLOOKUP(A53,[4]CFR20152016_BenchMarkDataReport!$B$3:$BO$99,44,0)</f>
        <v>5095.22</v>
      </c>
      <c r="AE53" s="595">
        <f>VLOOKUP(A53,[4]CFR20152016_BenchMarkDataReport!$B$3:$BO$99,45,0)</f>
        <v>1024.8</v>
      </c>
      <c r="AF53" s="595">
        <f>VLOOKUP(A53,[4]CFR20152016_BenchMarkDataReport!$B$3:$BO$99,46,0)</f>
        <v>6731.97</v>
      </c>
      <c r="AG53" s="595">
        <f>VLOOKUP(A53,[4]CFR20152016_BenchMarkDataReport!$B$3:$BO$99,47,0)</f>
        <v>4806</v>
      </c>
      <c r="AH53" s="595">
        <f>VLOOKUP(A53,[4]CFR20152016_BenchMarkDataReport!$B$3:$BO$99,48,0)</f>
        <v>339.01</v>
      </c>
      <c r="AI53" s="595">
        <f>VLOOKUP(A53,[4]CFR20152016_BenchMarkDataReport!$B$3:$BO$99,49,0)</f>
        <v>2001.15</v>
      </c>
      <c r="AJ53" s="595">
        <f>VLOOKUP(A53,[4]CFR20152016_BenchMarkDataReport!$B$3:$BO$99,50,0)</f>
        <v>12124.7</v>
      </c>
      <c r="AK53" s="595">
        <f>VLOOKUP(A53,[4]CFR20152016_BenchMarkDataReport!$B$3:$BO$99,51,0)</f>
        <v>12331.07</v>
      </c>
      <c r="AL53" s="595">
        <f>VLOOKUP(A53,[4]CFR20152016_BenchMarkDataReport!$B$3:$BO$99,52,0)</f>
        <v>5775.46</v>
      </c>
      <c r="AM53" s="595">
        <f>VLOOKUP(A53,[4]CFR20152016_BenchMarkDataReport!$B$3:$BO$99,53,0)</f>
        <v>48902.71</v>
      </c>
      <c r="AN53" s="595">
        <f>VLOOKUP(A53,[4]CFR20152016_BenchMarkDataReport!$B$3:$BO$99,54,0)</f>
        <v>8768.2000000000007</v>
      </c>
      <c r="AO53" s="595">
        <f>VLOOKUP(A53,[4]CFR20152016_BenchMarkDataReport!$B$3:$BO$99,55,0)</f>
        <v>0</v>
      </c>
      <c r="AP53" s="595">
        <f>VLOOKUP(A53,[4]CFR20152016_BenchMarkDataReport!$B$3:$BO$99,56,0)</f>
        <v>6594.84</v>
      </c>
      <c r="AQ53" s="595">
        <f>VLOOKUP(A53,[4]CFR20152016_BenchMarkDataReport!$B$3:$BO$99,57,0)</f>
        <v>6119.34</v>
      </c>
      <c r="AR53" s="595">
        <f>VLOOKUP(A53,[4]CFR20152016_BenchMarkDataReport!$B$3:$BO$99,58,0)</f>
        <v>5839.31</v>
      </c>
      <c r="AS53" s="595">
        <f>VLOOKUP(A53,[4]CFR20152016_BenchMarkDataReport!$B$3:$BO$99,59,0)</f>
        <v>88586.03</v>
      </c>
      <c r="AT53" s="595">
        <f>VLOOKUP(A53,[4]CFR20152016_BenchMarkDataReport!$B$3:$BO$99,60,0)</f>
        <v>12464</v>
      </c>
      <c r="AU53" s="595">
        <f>VLOOKUP(A53,[4]CFR20152016_BenchMarkDataReport!$B$3:$BO$99,61,0)</f>
        <v>51285.599999999999</v>
      </c>
      <c r="AV53" s="595">
        <f>VLOOKUP(A53,[4]CFR20152016_BenchMarkDataReport!$B$3:$BO$99,62,0)</f>
        <v>15937.39</v>
      </c>
      <c r="AW53" s="595">
        <f>VLOOKUP(A53,[4]CFR20152016_BenchMarkDataReport!$B$3:$BO$99,63,0)</f>
        <v>0</v>
      </c>
      <c r="AX53" s="595">
        <f>VLOOKUP(A53,[4]CFR20152016_BenchMarkDataReport!$B$3:$BO$99,64,0)</f>
        <v>0</v>
      </c>
      <c r="AY53" s="595">
        <f>VLOOKUP(A53,[4]CFR20152016_BenchMarkDataReport!$B$3:$BO$99,65,0)</f>
        <v>0</v>
      </c>
      <c r="AZ53" s="595">
        <f>VLOOKUP(A53,[4]CFR20152016_BenchMarkDataReport!$B$3:$BO$99,66,0)</f>
        <v>0</v>
      </c>
      <c r="BA53" s="598">
        <f t="shared" si="0"/>
        <v>1460988.15</v>
      </c>
      <c r="BB53" s="597">
        <f t="shared" si="42"/>
        <v>1463783.1500000001</v>
      </c>
      <c r="BC53" s="602">
        <f t="shared" si="43"/>
        <v>-2795.0000000002328</v>
      </c>
      <c r="BD53" s="595">
        <f>VLOOKUP(A53,[4]CFR20152016_BenchMarkDataReport!$B$3:$BO$99,15,0)</f>
        <v>114538</v>
      </c>
      <c r="BE53" s="602">
        <f t="shared" si="1"/>
        <v>111742.99999999977</v>
      </c>
      <c r="BF53" s="76">
        <f>VLOOKUP(A53,'OCT 15 CENSUS'!$B$9:$U$132,20,0)</f>
        <v>302</v>
      </c>
      <c r="BG53" s="579">
        <f>VLOOKUP(A53,'[2]BUDGET SHARE inc ADJUSTMENTS'!$D$4:$M$139,10,0)</f>
        <v>1332942.415513434</v>
      </c>
      <c r="BH53" s="580">
        <f>VLOOKUP(A53,'12-13 Pupil Data'!A:CI,81,0)</f>
        <v>1858.69</v>
      </c>
      <c r="BI53" s="14" t="s">
        <v>210</v>
      </c>
      <c r="BJ53" s="53">
        <f t="shared" si="76"/>
        <v>0.78039099769563502</v>
      </c>
      <c r="BK53" s="581">
        <f t="shared" si="77"/>
        <v>3775.3046357615895</v>
      </c>
      <c r="BL53" s="53">
        <f t="shared" si="78"/>
        <v>0</v>
      </c>
      <c r="BM53" s="581">
        <f t="shared" si="79"/>
        <v>0</v>
      </c>
      <c r="BN53" s="53">
        <f t="shared" si="80"/>
        <v>5.3219459719779386E-2</v>
      </c>
      <c r="BO53" s="581">
        <f t="shared" si="81"/>
        <v>257.46026490066225</v>
      </c>
      <c r="BP53" s="53">
        <f t="shared" si="82"/>
        <v>0</v>
      </c>
      <c r="BQ53" s="581">
        <f t="shared" si="83"/>
        <v>0</v>
      </c>
      <c r="BR53" s="53">
        <f t="shared" si="84"/>
        <v>3.4345932237711853E-2</v>
      </c>
      <c r="BS53" s="581">
        <f t="shared" si="85"/>
        <v>166.15562913907286</v>
      </c>
      <c r="BT53" s="53">
        <f t="shared" si="86"/>
        <v>1.5776993126193394E-3</v>
      </c>
      <c r="BU53" s="581">
        <f t="shared" si="87"/>
        <v>7.6324503311258276</v>
      </c>
      <c r="BV53" s="53">
        <f t="shared" si="88"/>
        <v>4.9144820236906098E-4</v>
      </c>
      <c r="BW53" s="581">
        <f t="shared" si="89"/>
        <v>2.3774834437086092</v>
      </c>
      <c r="BX53" s="53">
        <f t="shared" si="90"/>
        <v>3.6903002943589926E-2</v>
      </c>
      <c r="BY53" s="581">
        <f t="shared" si="91"/>
        <v>178.52599337748345</v>
      </c>
      <c r="BZ53" s="582">
        <f t="shared" si="92"/>
        <v>2.100216213252654E-2</v>
      </c>
      <c r="CA53" s="583">
        <f t="shared" si="93"/>
        <v>101.60235099337748</v>
      </c>
      <c r="CB53" s="53">
        <f t="shared" si="94"/>
        <v>3.4347095833734175E-3</v>
      </c>
      <c r="CC53" s="584">
        <f t="shared" si="95"/>
        <v>16.616125827814567</v>
      </c>
      <c r="CD53" s="582">
        <f t="shared" si="64"/>
        <v>0.46516968233857731</v>
      </c>
      <c r="CE53" s="585">
        <f t="shared" si="65"/>
        <v>0.42440070441365324</v>
      </c>
      <c r="CF53" s="585">
        <f t="shared" si="66"/>
        <v>0.42359033850061739</v>
      </c>
      <c r="CG53" s="583">
        <f t="shared" si="67"/>
        <v>2053.1271523178807</v>
      </c>
      <c r="CH53" s="53">
        <f t="shared" si="2"/>
        <v>0.2590244679602367</v>
      </c>
      <c r="CI53" s="65">
        <f t="shared" si="3"/>
        <v>0.2363227244519403</v>
      </c>
      <c r="CJ53" s="65">
        <f t="shared" si="4"/>
        <v>0.23587148137345343</v>
      </c>
      <c r="CK53" s="581">
        <f t="shared" si="5"/>
        <v>1143.26059602649</v>
      </c>
      <c r="CL53" s="582">
        <f t="shared" si="6"/>
        <v>3.1544581004126826E-2</v>
      </c>
      <c r="CM53" s="585">
        <f t="shared" si="68"/>
        <v>2.8779911733028091E-2</v>
      </c>
      <c r="CN53" s="585">
        <f t="shared" si="69"/>
        <v>2.8724958338262056E-2</v>
      </c>
      <c r="CO53" s="583">
        <f t="shared" si="70"/>
        <v>139.22884105960264</v>
      </c>
      <c r="CP53" s="53">
        <f t="shared" si="7"/>
        <v>6.1561429094738697E-2</v>
      </c>
      <c r="CQ53" s="65">
        <f t="shared" si="8"/>
        <v>5.6165986014328727E-2</v>
      </c>
      <c r="CR53" s="65">
        <f t="shared" si="71"/>
        <v>5.6058740667973936E-2</v>
      </c>
      <c r="CS53" s="581">
        <f t="shared" si="9"/>
        <v>271.71470198675496</v>
      </c>
      <c r="CT53" s="582">
        <f t="shared" si="10"/>
        <v>0.87055970047515141</v>
      </c>
      <c r="CU53" s="585">
        <f t="shared" si="11"/>
        <v>0.79426102805830423</v>
      </c>
      <c r="CV53" s="585">
        <f t="shared" si="12"/>
        <v>0.79274443758967972</v>
      </c>
      <c r="CW53" s="583">
        <f t="shared" si="13"/>
        <v>3842.4038079470197</v>
      </c>
      <c r="CX53" s="53">
        <f t="shared" si="14"/>
        <v>5.0504582355922131E-3</v>
      </c>
      <c r="CY53" s="65">
        <f t="shared" si="15"/>
        <v>4.599021378269042E-3</v>
      </c>
      <c r="CZ53" s="584">
        <f t="shared" si="16"/>
        <v>3.6218896104245464</v>
      </c>
      <c r="DA53" s="581">
        <f t="shared" si="17"/>
        <v>22.291291390728478</v>
      </c>
      <c r="DB53" s="586">
        <f t="shared" si="18"/>
        <v>1.3671082359432815E-3</v>
      </c>
      <c r="DC53" s="587">
        <f t="shared" si="19"/>
        <v>6.6263245033112588</v>
      </c>
      <c r="DD53" s="53">
        <f t="shared" si="20"/>
        <v>9.0961918976295054E-3</v>
      </c>
      <c r="DE53" s="65">
        <f t="shared" si="21"/>
        <v>8.2831258168260778E-3</v>
      </c>
      <c r="DF53" s="584">
        <f t="shared" si="22"/>
        <v>6.5232502461410995</v>
      </c>
      <c r="DG53" s="581">
        <f t="shared" si="23"/>
        <v>40.148013245033113</v>
      </c>
      <c r="DH53" s="582">
        <f t="shared" si="24"/>
        <v>4.332865345706146E-3</v>
      </c>
      <c r="DI53" s="585">
        <f t="shared" si="25"/>
        <v>3.945570762991772E-3</v>
      </c>
      <c r="DJ53" s="583">
        <f t="shared" si="26"/>
        <v>3.1072744782615711</v>
      </c>
      <c r="DK53" s="53">
        <f t="shared" si="27"/>
        <v>3.6687788932849914E-2</v>
      </c>
      <c r="DL53" s="65">
        <f t="shared" si="28"/>
        <v>3.3472352256929669E-2</v>
      </c>
      <c r="DM53" s="65">
        <f t="shared" si="29"/>
        <v>3.3408438948077789E-2</v>
      </c>
      <c r="DN53" s="581">
        <f t="shared" si="30"/>
        <v>161.92950331125829</v>
      </c>
      <c r="DO53" s="582">
        <f t="shared" si="31"/>
        <v>4.9475805730585477E-3</v>
      </c>
      <c r="DP53" s="585">
        <f t="shared" si="32"/>
        <v>4.5053394691693229E-3</v>
      </c>
      <c r="DQ53" s="583">
        <f t="shared" si="33"/>
        <v>21.837218543046358</v>
      </c>
      <c r="DR53" s="53">
        <f t="shared" si="34"/>
        <v>6.0518547436483328E-2</v>
      </c>
      <c r="DS53" s="581">
        <f t="shared" si="35"/>
        <v>293.3312251655629</v>
      </c>
      <c r="DT53" s="582">
        <f t="shared" si="96"/>
        <v>2.7007918407437893E-5</v>
      </c>
      <c r="DU53" s="585">
        <f t="shared" si="97"/>
        <v>2.4640856943295537E-5</v>
      </c>
      <c r="DV53" s="585">
        <f t="shared" si="98"/>
        <v>2.4593806808064429E-5</v>
      </c>
      <c r="DW53" s="583">
        <f t="shared" si="99"/>
        <v>0.11920529801324503</v>
      </c>
      <c r="DY53" s="588">
        <f>VLOOKUP(A53,'[3]Barnet Schools'!$E$8:$V$130,17,0)</f>
        <v>36</v>
      </c>
    </row>
    <row r="54" spans="1:129">
      <c r="A54" s="79">
        <v>2044</v>
      </c>
      <c r="B54" s="80">
        <v>10081</v>
      </c>
      <c r="C54" s="573" t="s">
        <v>82</v>
      </c>
      <c r="D54" s="595">
        <f>VLOOKUP(A54,[4]CFR20152016_BenchMarkDataReport!$B$3:$BO$99,18,0)</f>
        <v>1509732</v>
      </c>
      <c r="E54" s="595">
        <f>VLOOKUP(A54,[4]CFR20152016_BenchMarkDataReport!$B$3:$BO$99,19,0)</f>
        <v>0</v>
      </c>
      <c r="F54" s="595">
        <f>VLOOKUP(A54,[4]CFR20152016_BenchMarkDataReport!$B$3:$BO$99,20,0)</f>
        <v>148376</v>
      </c>
      <c r="G54" s="595">
        <f>VLOOKUP(A54,[4]CFR20152016_BenchMarkDataReport!$B$3:$BO$99,21,0)</f>
        <v>0</v>
      </c>
      <c r="H54" s="595">
        <f>VLOOKUP(A54,[4]CFR20152016_BenchMarkDataReport!$B$3:$BO$99,22,0)</f>
        <v>109169</v>
      </c>
      <c r="I54" s="595">
        <f>VLOOKUP(A54,[4]CFR20152016_BenchMarkDataReport!$B$3:$BO$99,23,0)</f>
        <v>8939.65</v>
      </c>
      <c r="J54" s="595">
        <f>VLOOKUP(A54,[4]CFR20152016_BenchMarkDataReport!$B$3:$BO$99,24,0)</f>
        <v>5142.3599999999997</v>
      </c>
      <c r="K54" s="595">
        <f>VLOOKUP(A54,[4]CFR20152016_BenchMarkDataReport!$B$3:$BO$99,25,0)</f>
        <v>40081.78</v>
      </c>
      <c r="L54" s="595">
        <f>VLOOKUP(A54,[4]CFR20152016_BenchMarkDataReport!$B$3:$BO$99,26,0)</f>
        <v>2155.5300000000002</v>
      </c>
      <c r="M54" s="595">
        <f>VLOOKUP(A54,[4]CFR20152016_BenchMarkDataReport!$B$3:$BO$99,27,0)</f>
        <v>9234</v>
      </c>
      <c r="N54" s="595">
        <f>VLOOKUP(A54,[4]CFR20152016_BenchMarkDataReport!$B$3:$BO$99,28,0)</f>
        <v>3331.39</v>
      </c>
      <c r="O54" s="595">
        <f>VLOOKUP(A54,[4]CFR20152016_BenchMarkDataReport!$B$3:$BO$99,29,0)</f>
        <v>11986.05</v>
      </c>
      <c r="P54" s="595">
        <f>VLOOKUP(A54,[4]CFR20152016_BenchMarkDataReport!$B$3:$BO$99,30,0)</f>
        <v>25289.75</v>
      </c>
      <c r="Q54" s="595">
        <f>VLOOKUP(A54,[4]CFR20152016_BenchMarkDataReport!$B$3:$BO$99,31,0)</f>
        <v>0</v>
      </c>
      <c r="R54" s="595">
        <f>VLOOKUP(A54,[4]CFR20152016_BenchMarkDataReport!$B$3:$BO$99,32,0)</f>
        <v>0</v>
      </c>
      <c r="S54" s="595">
        <f>VLOOKUP(A54,[4]CFR20152016_BenchMarkDataReport!$B$3:$BO$99,33,0)</f>
        <v>0</v>
      </c>
      <c r="T54" s="595">
        <f>VLOOKUP(A54,[4]CFR20152016_BenchMarkDataReport!$B$3:$BO$99,34,0)</f>
        <v>131292.66</v>
      </c>
      <c r="U54" s="595">
        <f>VLOOKUP(A54,[4]CFR20152016_BenchMarkDataReport!$B$3:$BO$99,35,0)</f>
        <v>823802.17</v>
      </c>
      <c r="V54" s="595">
        <f>VLOOKUP(A54,[4]CFR20152016_BenchMarkDataReport!$B$3:$BO$99,36,0)</f>
        <v>428.72</v>
      </c>
      <c r="W54" s="595">
        <f>VLOOKUP(A54,[4]CFR20152016_BenchMarkDataReport!$B$3:$BO$99,37,0)</f>
        <v>423763.04</v>
      </c>
      <c r="X54" s="595">
        <f>VLOOKUP(A54,[4]CFR20152016_BenchMarkDataReport!$B$3:$BO$99,38,0)</f>
        <v>33159.550000000003</v>
      </c>
      <c r="Y54" s="595">
        <f>VLOOKUP(A54,[4]CFR20152016_BenchMarkDataReport!$B$3:$BO$99,39,0)</f>
        <v>94907.42</v>
      </c>
      <c r="Z54" s="595">
        <f>VLOOKUP(A54,[4]CFR20152016_BenchMarkDataReport!$B$3:$BO$99,40,0)</f>
        <v>0</v>
      </c>
      <c r="AA54" s="595">
        <f>VLOOKUP(A54,[4]CFR20152016_BenchMarkDataReport!$B$3:$BO$99,41,0)</f>
        <v>66298.89</v>
      </c>
      <c r="AB54" s="595">
        <f>VLOOKUP(A54,[4]CFR20152016_BenchMarkDataReport!$B$3:$BO$99,42,0)</f>
        <v>8490.08</v>
      </c>
      <c r="AC54" s="595">
        <f>VLOOKUP(A54,[4]CFR20152016_BenchMarkDataReport!$B$3:$BO$99,43,0)</f>
        <v>3790.09</v>
      </c>
      <c r="AD54" s="595">
        <f>VLOOKUP(A54,[4]CFR20152016_BenchMarkDataReport!$B$3:$BO$99,44,0)</f>
        <v>11424.04</v>
      </c>
      <c r="AE54" s="595">
        <f>VLOOKUP(A54,[4]CFR20152016_BenchMarkDataReport!$B$3:$BO$99,45,0)</f>
        <v>7939.7</v>
      </c>
      <c r="AF54" s="595">
        <f>VLOOKUP(A54,[4]CFR20152016_BenchMarkDataReport!$B$3:$BO$99,46,0)</f>
        <v>47277.83</v>
      </c>
      <c r="AG54" s="595">
        <f>VLOOKUP(A54,[4]CFR20152016_BenchMarkDataReport!$B$3:$BO$99,47,0)</f>
        <v>5787.5</v>
      </c>
      <c r="AH54" s="595">
        <f>VLOOKUP(A54,[4]CFR20152016_BenchMarkDataReport!$B$3:$BO$99,48,0)</f>
        <v>44648.5</v>
      </c>
      <c r="AI54" s="595">
        <f>VLOOKUP(A54,[4]CFR20152016_BenchMarkDataReport!$B$3:$BO$99,49,0)</f>
        <v>7091.05</v>
      </c>
      <c r="AJ54" s="595">
        <f>VLOOKUP(A54,[4]CFR20152016_BenchMarkDataReport!$B$3:$BO$99,50,0)</f>
        <v>27423.119999999999</v>
      </c>
      <c r="AK54" s="595">
        <f>VLOOKUP(A54,[4]CFR20152016_BenchMarkDataReport!$B$3:$BO$99,51,0)</f>
        <v>12571.5</v>
      </c>
      <c r="AL54" s="595">
        <f>VLOOKUP(A54,[4]CFR20152016_BenchMarkDataReport!$B$3:$BO$99,52,0)</f>
        <v>11259.87</v>
      </c>
      <c r="AM54" s="595">
        <f>VLOOKUP(A54,[4]CFR20152016_BenchMarkDataReport!$B$3:$BO$99,53,0)</f>
        <v>60887.26</v>
      </c>
      <c r="AN54" s="595">
        <f>VLOOKUP(A54,[4]CFR20152016_BenchMarkDataReport!$B$3:$BO$99,54,0)</f>
        <v>11933.82</v>
      </c>
      <c r="AO54" s="595">
        <f>VLOOKUP(A54,[4]CFR20152016_BenchMarkDataReport!$B$3:$BO$99,55,0)</f>
        <v>0</v>
      </c>
      <c r="AP54" s="595">
        <f>VLOOKUP(A54,[4]CFR20152016_BenchMarkDataReport!$B$3:$BO$99,56,0)</f>
        <v>7347.67</v>
      </c>
      <c r="AQ54" s="595">
        <f>VLOOKUP(A54,[4]CFR20152016_BenchMarkDataReport!$B$3:$BO$99,57,0)</f>
        <v>7813.94</v>
      </c>
      <c r="AR54" s="595">
        <f>VLOOKUP(A54,[4]CFR20152016_BenchMarkDataReport!$B$3:$BO$99,58,0)</f>
        <v>4048.24</v>
      </c>
      <c r="AS54" s="595">
        <f>VLOOKUP(A54,[4]CFR20152016_BenchMarkDataReport!$B$3:$BO$99,59,0)</f>
        <v>117701.71</v>
      </c>
      <c r="AT54" s="595">
        <f>VLOOKUP(A54,[4]CFR20152016_BenchMarkDataReport!$B$3:$BO$99,60,0)</f>
        <v>30095.58</v>
      </c>
      <c r="AU54" s="595">
        <f>VLOOKUP(A54,[4]CFR20152016_BenchMarkDataReport!$B$3:$BO$99,61,0)</f>
        <v>50085.88</v>
      </c>
      <c r="AV54" s="595">
        <f>VLOOKUP(A54,[4]CFR20152016_BenchMarkDataReport!$B$3:$BO$99,62,0)</f>
        <v>21195</v>
      </c>
      <c r="AW54" s="595">
        <f>VLOOKUP(A54,[4]CFR20152016_BenchMarkDataReport!$B$3:$BO$99,63,0)</f>
        <v>0</v>
      </c>
      <c r="AX54" s="595">
        <f>VLOOKUP(A54,[4]CFR20152016_BenchMarkDataReport!$B$3:$BO$99,64,0)</f>
        <v>20064</v>
      </c>
      <c r="AY54" s="595">
        <f>VLOOKUP(A54,[4]CFR20152016_BenchMarkDataReport!$B$3:$BO$99,65,0)</f>
        <v>0</v>
      </c>
      <c r="AZ54" s="595">
        <f>VLOOKUP(A54,[4]CFR20152016_BenchMarkDataReport!$B$3:$BO$99,66,0)</f>
        <v>0</v>
      </c>
      <c r="BA54" s="596">
        <f t="shared" si="0"/>
        <v>2004730.17</v>
      </c>
      <c r="BB54" s="595">
        <f t="shared" si="42"/>
        <v>1961236.1700000002</v>
      </c>
      <c r="BC54" s="601">
        <f t="shared" si="43"/>
        <v>43493.999999999767</v>
      </c>
      <c r="BD54" s="595">
        <f>VLOOKUP(A54,[4]CFR20152016_BenchMarkDataReport!$B$3:$BO$99,15,0)</f>
        <v>62352</v>
      </c>
      <c r="BE54" s="601">
        <f t="shared" si="1"/>
        <v>105845.99999999977</v>
      </c>
      <c r="BF54" s="76">
        <f>VLOOKUP(A54,'OCT 15 CENSUS'!$B$9:$U$132,20,0)</f>
        <v>362</v>
      </c>
      <c r="BG54" s="73">
        <f>VLOOKUP(A54,'[2]BUDGET SHARE inc ADJUSTMENTS'!$D$4:$M$139,10,0)</f>
        <v>1896226.1720326513</v>
      </c>
      <c r="BH54" s="76">
        <f>VLOOKUP(A54,'12-13 Pupil Data'!A:CI,81,0)</f>
        <v>1941</v>
      </c>
      <c r="BI54" t="s">
        <v>210</v>
      </c>
      <c r="BJ54" s="44">
        <f t="shared" si="76"/>
        <v>0.75308489022240832</v>
      </c>
      <c r="BK54" s="45">
        <f t="shared" si="77"/>
        <v>4170.5303867403318</v>
      </c>
      <c r="BL54" s="44">
        <f t="shared" si="78"/>
        <v>0</v>
      </c>
      <c r="BM54" s="45">
        <f t="shared" si="79"/>
        <v>0</v>
      </c>
      <c r="BN54" s="44">
        <f t="shared" si="80"/>
        <v>7.4012953074876903E-2</v>
      </c>
      <c r="BO54" s="45">
        <f t="shared" si="81"/>
        <v>409.87845303867402</v>
      </c>
      <c r="BP54" s="44">
        <f t="shared" si="82"/>
        <v>0</v>
      </c>
      <c r="BQ54" s="45">
        <f t="shared" si="83"/>
        <v>0</v>
      </c>
      <c r="BR54" s="44">
        <f t="shared" si="84"/>
        <v>5.4455707622737083E-2</v>
      </c>
      <c r="BS54" s="45">
        <f t="shared" si="85"/>
        <v>301.5718232044199</v>
      </c>
      <c r="BT54" s="44">
        <f t="shared" si="86"/>
        <v>4.4592784274803425E-3</v>
      </c>
      <c r="BU54" s="45">
        <f t="shared" si="87"/>
        <v>24.695165745856354</v>
      </c>
      <c r="BV54" s="44">
        <f t="shared" si="88"/>
        <v>2.5651132890367983E-3</v>
      </c>
      <c r="BW54" s="45">
        <f t="shared" si="89"/>
        <v>14.205414364640884</v>
      </c>
      <c r="BX54" s="44">
        <f t="shared" si="90"/>
        <v>1.9993603428435459E-2</v>
      </c>
      <c r="BY54" s="45">
        <f t="shared" si="91"/>
        <v>110.72314917127072</v>
      </c>
      <c r="BZ54" s="46">
        <f t="shared" si="92"/>
        <v>5.9788844301175955E-3</v>
      </c>
      <c r="CA54" s="47">
        <f t="shared" si="93"/>
        <v>33.110635359116017</v>
      </c>
      <c r="CB54" s="44">
        <f t="shared" si="94"/>
        <v>1.2615039359636116E-2</v>
      </c>
      <c r="CC54" s="48">
        <f t="shared" si="95"/>
        <v>69.861187845303874</v>
      </c>
      <c r="CD54" s="46">
        <f t="shared" si="64"/>
        <v>0.45054038521375778</v>
      </c>
      <c r="CE54" s="49">
        <f t="shared" si="65"/>
        <v>0.42615534139439826</v>
      </c>
      <c r="CF54" s="49">
        <f t="shared" si="66"/>
        <v>0.43560611570813518</v>
      </c>
      <c r="CG54" s="47">
        <f t="shared" si="67"/>
        <v>2360.0178729281765</v>
      </c>
      <c r="CH54" s="44">
        <f t="shared" si="2"/>
        <v>0.22347705471533971</v>
      </c>
      <c r="CI54" s="50">
        <f t="shared" si="3"/>
        <v>0.21138158458502174</v>
      </c>
      <c r="CJ54" s="50">
        <f t="shared" si="4"/>
        <v>0.216069357929494</v>
      </c>
      <c r="CK54" s="45">
        <f t="shared" si="5"/>
        <v>1170.616132596685</v>
      </c>
      <c r="CL54" s="46">
        <f t="shared" si="6"/>
        <v>1.748712811217808E-2</v>
      </c>
      <c r="CM54" s="49">
        <f t="shared" si="68"/>
        <v>1.6540654945099171E-2</v>
      </c>
      <c r="CN54" s="49">
        <f t="shared" si="69"/>
        <v>1.690747422835874E-2</v>
      </c>
      <c r="CO54" s="47">
        <f t="shared" si="70"/>
        <v>91.60096685082874</v>
      </c>
      <c r="CP54" s="44">
        <f t="shared" si="7"/>
        <v>5.0050685619566368E-2</v>
      </c>
      <c r="CQ54" s="50">
        <f t="shared" si="8"/>
        <v>4.7341742754337855E-2</v>
      </c>
      <c r="CR54" s="50">
        <f t="shared" si="71"/>
        <v>4.8391632507980918E-2</v>
      </c>
      <c r="CS54" s="45">
        <f t="shared" si="9"/>
        <v>262.17519337016574</v>
      </c>
      <c r="CT54" s="46">
        <f t="shared" si="10"/>
        <v>0.76064754894394726</v>
      </c>
      <c r="CU54" s="49">
        <f t="shared" si="11"/>
        <v>0.71947826774113932</v>
      </c>
      <c r="CV54" s="49">
        <f t="shared" si="12"/>
        <v>0.73543401455827717</v>
      </c>
      <c r="CW54" s="47">
        <f t="shared" si="13"/>
        <v>3984.4193093922645</v>
      </c>
      <c r="CX54" s="44">
        <f t="shared" si="14"/>
        <v>2.4932590161078065E-2</v>
      </c>
      <c r="CY54" s="50">
        <f t="shared" si="15"/>
        <v>2.4106138120020496E-2</v>
      </c>
      <c r="CZ54" s="48">
        <f t="shared" si="16"/>
        <v>24.357460072127772</v>
      </c>
      <c r="DA54" s="45">
        <f t="shared" si="17"/>
        <v>130.60174033149173</v>
      </c>
      <c r="DB54" s="51">
        <f t="shared" si="18"/>
        <v>3.6156022963822862E-3</v>
      </c>
      <c r="DC54" s="52">
        <f t="shared" si="19"/>
        <v>19.588535911602211</v>
      </c>
      <c r="DD54" s="44">
        <f t="shared" si="20"/>
        <v>1.4461945734355046E-2</v>
      </c>
      <c r="DE54" s="50">
        <f t="shared" si="21"/>
        <v>1.3982568963124924E-2</v>
      </c>
      <c r="DF54" s="48">
        <f t="shared" si="22"/>
        <v>14.128346213292117</v>
      </c>
      <c r="DG54" s="45">
        <f t="shared" si="23"/>
        <v>75.754475138121549</v>
      </c>
      <c r="DH54" s="46">
        <f t="shared" si="24"/>
        <v>5.938041656671173E-3</v>
      </c>
      <c r="DI54" s="49">
        <f t="shared" si="25"/>
        <v>5.7412106569501012E-3</v>
      </c>
      <c r="DJ54" s="47">
        <f t="shared" si="26"/>
        <v>5.8010664605873261</v>
      </c>
      <c r="DK54" s="44">
        <f t="shared" si="27"/>
        <v>3.2109703419361715E-2</v>
      </c>
      <c r="DL54" s="50">
        <f t="shared" si="28"/>
        <v>3.0371798115853169E-2</v>
      </c>
      <c r="DM54" s="50">
        <f t="shared" si="29"/>
        <v>3.1045348301933468E-2</v>
      </c>
      <c r="DN54" s="45">
        <f t="shared" si="30"/>
        <v>168.19685082872928</v>
      </c>
      <c r="DO54" s="46">
        <f t="shared" si="31"/>
        <v>3.874891143456636E-3</v>
      </c>
      <c r="DP54" s="49">
        <f t="shared" si="32"/>
        <v>3.7464483433425561E-3</v>
      </c>
      <c r="DQ54" s="47">
        <f t="shared" si="33"/>
        <v>20.297430939226519</v>
      </c>
      <c r="DR54" s="53">
        <f t="shared" si="34"/>
        <v>6.0014042062053137E-2</v>
      </c>
      <c r="DS54" s="45">
        <f t="shared" si="35"/>
        <v>325.14284530386743</v>
      </c>
      <c r="DT54" s="46">
        <f t="shared" si="96"/>
        <v>4.0079607127525371E-5</v>
      </c>
      <c r="DU54" s="49">
        <f t="shared" si="97"/>
        <v>3.7910338826297011E-5</v>
      </c>
      <c r="DV54" s="49">
        <f t="shared" si="98"/>
        <v>3.8751069943809976E-5</v>
      </c>
      <c r="DW54" s="47">
        <f t="shared" si="99"/>
        <v>0.20994475138121546</v>
      </c>
      <c r="DY54" s="54">
        <f>VLOOKUP(A54,'[3]Barnet Schools'!$E$8:$V$130,17,0)</f>
        <v>76</v>
      </c>
    </row>
    <row r="55" spans="1:129">
      <c r="A55" s="79">
        <v>2043</v>
      </c>
      <c r="B55" s="80">
        <v>10080</v>
      </c>
      <c r="C55" s="573" t="s">
        <v>83</v>
      </c>
      <c r="D55" s="595">
        <f>VLOOKUP(A55,[4]CFR20152016_BenchMarkDataReport!$B$3:$BO$99,18,0)</f>
        <v>1623667</v>
      </c>
      <c r="E55" s="595">
        <f>VLOOKUP(A55,[4]CFR20152016_BenchMarkDataReport!$B$3:$BO$99,19,0)</f>
        <v>0</v>
      </c>
      <c r="F55" s="595">
        <f>VLOOKUP(A55,[4]CFR20152016_BenchMarkDataReport!$B$3:$BO$99,20,0)</f>
        <v>162742</v>
      </c>
      <c r="G55" s="595">
        <f>VLOOKUP(A55,[4]CFR20152016_BenchMarkDataReport!$B$3:$BO$99,21,0)</f>
        <v>0</v>
      </c>
      <c r="H55" s="595">
        <f>VLOOKUP(A55,[4]CFR20152016_BenchMarkDataReport!$B$3:$BO$99,22,0)</f>
        <v>110429.01</v>
      </c>
      <c r="I55" s="595">
        <f>VLOOKUP(A55,[4]CFR20152016_BenchMarkDataReport!$B$3:$BO$99,23,0)</f>
        <v>1600</v>
      </c>
      <c r="J55" s="595">
        <f>VLOOKUP(A55,[4]CFR20152016_BenchMarkDataReport!$B$3:$BO$99,24,0)</f>
        <v>0</v>
      </c>
      <c r="K55" s="595">
        <f>VLOOKUP(A55,[4]CFR20152016_BenchMarkDataReport!$B$3:$BO$99,25,0)</f>
        <v>73860.52</v>
      </c>
      <c r="L55" s="595">
        <f>VLOOKUP(A55,[4]CFR20152016_BenchMarkDataReport!$B$3:$BO$99,26,0)</f>
        <v>79498.45</v>
      </c>
      <c r="M55" s="595">
        <f>VLOOKUP(A55,[4]CFR20152016_BenchMarkDataReport!$B$3:$BO$99,27,0)</f>
        <v>8852.61</v>
      </c>
      <c r="N55" s="595">
        <f>VLOOKUP(A55,[4]CFR20152016_BenchMarkDataReport!$B$3:$BO$99,28,0)</f>
        <v>5860.52</v>
      </c>
      <c r="O55" s="595">
        <f>VLOOKUP(A55,[4]CFR20152016_BenchMarkDataReport!$B$3:$BO$99,29,0)</f>
        <v>53069.85</v>
      </c>
      <c r="P55" s="595">
        <f>VLOOKUP(A55,[4]CFR20152016_BenchMarkDataReport!$B$3:$BO$99,30,0)</f>
        <v>17325.3</v>
      </c>
      <c r="Q55" s="595">
        <f>VLOOKUP(A55,[4]CFR20152016_BenchMarkDataReport!$B$3:$BO$99,31,0)</f>
        <v>0</v>
      </c>
      <c r="R55" s="595">
        <f>VLOOKUP(A55,[4]CFR20152016_BenchMarkDataReport!$B$3:$BO$99,32,0)</f>
        <v>0</v>
      </c>
      <c r="S55" s="595">
        <f>VLOOKUP(A55,[4]CFR20152016_BenchMarkDataReport!$B$3:$BO$99,33,0)</f>
        <v>0</v>
      </c>
      <c r="T55" s="595">
        <f>VLOOKUP(A55,[4]CFR20152016_BenchMarkDataReport!$B$3:$BO$99,34,0)</f>
        <v>9922.58</v>
      </c>
      <c r="U55" s="595">
        <f>VLOOKUP(A55,[4]CFR20152016_BenchMarkDataReport!$B$3:$BO$99,35,0)</f>
        <v>892011.6</v>
      </c>
      <c r="V55" s="595">
        <f>VLOOKUP(A55,[4]CFR20152016_BenchMarkDataReport!$B$3:$BO$99,36,0)</f>
        <v>1007.5</v>
      </c>
      <c r="W55" s="595">
        <f>VLOOKUP(A55,[4]CFR20152016_BenchMarkDataReport!$B$3:$BO$99,37,0)</f>
        <v>368637.47</v>
      </c>
      <c r="X55" s="595">
        <f>VLOOKUP(A55,[4]CFR20152016_BenchMarkDataReport!$B$3:$BO$99,38,0)</f>
        <v>57168.480000000003</v>
      </c>
      <c r="Y55" s="595">
        <f>VLOOKUP(A55,[4]CFR20152016_BenchMarkDataReport!$B$3:$BO$99,39,0)</f>
        <v>79094.17</v>
      </c>
      <c r="Z55" s="595">
        <f>VLOOKUP(A55,[4]CFR20152016_BenchMarkDataReport!$B$3:$BO$99,40,0)</f>
        <v>0</v>
      </c>
      <c r="AA55" s="595">
        <f>VLOOKUP(A55,[4]CFR20152016_BenchMarkDataReport!$B$3:$BO$99,41,0)</f>
        <v>37155.26</v>
      </c>
      <c r="AB55" s="595">
        <f>VLOOKUP(A55,[4]CFR20152016_BenchMarkDataReport!$B$3:$BO$99,42,0)</f>
        <v>0</v>
      </c>
      <c r="AC55" s="595">
        <f>VLOOKUP(A55,[4]CFR20152016_BenchMarkDataReport!$B$3:$BO$99,43,0)</f>
        <v>8725.65</v>
      </c>
      <c r="AD55" s="595">
        <f>VLOOKUP(A55,[4]CFR20152016_BenchMarkDataReport!$B$3:$BO$99,44,0)</f>
        <v>10799.61</v>
      </c>
      <c r="AE55" s="595">
        <f>VLOOKUP(A55,[4]CFR20152016_BenchMarkDataReport!$B$3:$BO$99,45,0)</f>
        <v>6708.7</v>
      </c>
      <c r="AF55" s="595">
        <f>VLOOKUP(A55,[4]CFR20152016_BenchMarkDataReport!$B$3:$BO$99,46,0)</f>
        <v>45600.62</v>
      </c>
      <c r="AG55" s="595">
        <f>VLOOKUP(A55,[4]CFR20152016_BenchMarkDataReport!$B$3:$BO$99,47,0)</f>
        <v>10359.219999999999</v>
      </c>
      <c r="AH55" s="595">
        <f>VLOOKUP(A55,[4]CFR20152016_BenchMarkDataReport!$B$3:$BO$99,48,0)</f>
        <v>45225.65</v>
      </c>
      <c r="AI55" s="595">
        <f>VLOOKUP(A55,[4]CFR20152016_BenchMarkDataReport!$B$3:$BO$99,49,0)</f>
        <v>9364.23</v>
      </c>
      <c r="AJ55" s="595">
        <f>VLOOKUP(A55,[4]CFR20152016_BenchMarkDataReport!$B$3:$BO$99,50,0)</f>
        <v>43867.35</v>
      </c>
      <c r="AK55" s="595">
        <f>VLOOKUP(A55,[4]CFR20152016_BenchMarkDataReport!$B$3:$BO$99,51,0)</f>
        <v>12571.5</v>
      </c>
      <c r="AL55" s="595">
        <f>VLOOKUP(A55,[4]CFR20152016_BenchMarkDataReport!$B$3:$BO$99,52,0)</f>
        <v>8592.7900000000009</v>
      </c>
      <c r="AM55" s="595">
        <f>VLOOKUP(A55,[4]CFR20152016_BenchMarkDataReport!$B$3:$BO$99,53,0)</f>
        <v>111332</v>
      </c>
      <c r="AN55" s="595">
        <f>VLOOKUP(A55,[4]CFR20152016_BenchMarkDataReport!$B$3:$BO$99,54,0)</f>
        <v>21369.11</v>
      </c>
      <c r="AO55" s="595">
        <f>VLOOKUP(A55,[4]CFR20152016_BenchMarkDataReport!$B$3:$BO$99,55,0)</f>
        <v>0</v>
      </c>
      <c r="AP55" s="595">
        <f>VLOOKUP(A55,[4]CFR20152016_BenchMarkDataReport!$B$3:$BO$99,56,0)</f>
        <v>19143.37</v>
      </c>
      <c r="AQ55" s="595">
        <f>VLOOKUP(A55,[4]CFR20152016_BenchMarkDataReport!$B$3:$BO$99,57,0)</f>
        <v>11896.01</v>
      </c>
      <c r="AR55" s="595">
        <f>VLOOKUP(A55,[4]CFR20152016_BenchMarkDataReport!$B$3:$BO$99,58,0)</f>
        <v>2301.04</v>
      </c>
      <c r="AS55" s="595">
        <f>VLOOKUP(A55,[4]CFR20152016_BenchMarkDataReport!$B$3:$BO$99,59,0)</f>
        <v>96305.96</v>
      </c>
      <c r="AT55" s="595">
        <f>VLOOKUP(A55,[4]CFR20152016_BenchMarkDataReport!$B$3:$BO$99,60,0)</f>
        <v>158420.39000000001</v>
      </c>
      <c r="AU55" s="595">
        <f>VLOOKUP(A55,[4]CFR20152016_BenchMarkDataReport!$B$3:$BO$99,61,0)</f>
        <v>52645.64</v>
      </c>
      <c r="AV55" s="595">
        <f>VLOOKUP(A55,[4]CFR20152016_BenchMarkDataReport!$B$3:$BO$99,62,0)</f>
        <v>32347.8</v>
      </c>
      <c r="AW55" s="595">
        <f>VLOOKUP(A55,[4]CFR20152016_BenchMarkDataReport!$B$3:$BO$99,63,0)</f>
        <v>0</v>
      </c>
      <c r="AX55" s="595">
        <f>VLOOKUP(A55,[4]CFR20152016_BenchMarkDataReport!$B$3:$BO$99,64,0)</f>
        <v>22315.72</v>
      </c>
      <c r="AY55" s="595">
        <f>VLOOKUP(A55,[4]CFR20152016_BenchMarkDataReport!$B$3:$BO$99,65,0)</f>
        <v>0</v>
      </c>
      <c r="AZ55" s="595">
        <f>VLOOKUP(A55,[4]CFR20152016_BenchMarkDataReport!$B$3:$BO$99,66,0)</f>
        <v>0</v>
      </c>
      <c r="BA55" s="596">
        <f t="shared" si="0"/>
        <v>2146827.84</v>
      </c>
      <c r="BB55" s="595">
        <f t="shared" si="42"/>
        <v>2164966.8400000003</v>
      </c>
      <c r="BC55" s="601">
        <f t="shared" si="43"/>
        <v>-18139.000000000466</v>
      </c>
      <c r="BD55" s="595">
        <f>VLOOKUP(A55,[4]CFR20152016_BenchMarkDataReport!$B$3:$BO$99,15,0)</f>
        <v>209805</v>
      </c>
      <c r="BE55" s="601">
        <f t="shared" si="1"/>
        <v>191665.99999999953</v>
      </c>
      <c r="BF55" s="76">
        <f>VLOOKUP(A55,'OCT 15 CENSUS'!$B$9:$U$132,20,0)</f>
        <v>412</v>
      </c>
      <c r="BG55" s="73">
        <f>VLOOKUP(A55,'[2]BUDGET SHARE inc ADJUSTMENTS'!$D$4:$M$139,10,0)</f>
        <v>1907358.0238116777</v>
      </c>
      <c r="BH55" s="76">
        <f>VLOOKUP(A55,'12-13 Pupil Data'!A:CI,81,0)</f>
        <v>3363</v>
      </c>
      <c r="BI55" t="s">
        <v>210</v>
      </c>
      <c r="BJ55" s="44">
        <f t="shared" si="76"/>
        <v>0.75630983060104162</v>
      </c>
      <c r="BK55" s="45">
        <f t="shared" si="77"/>
        <v>3940.9393203883496</v>
      </c>
      <c r="BL55" s="44">
        <f t="shared" si="78"/>
        <v>0</v>
      </c>
      <c r="BM55" s="45">
        <f t="shared" si="79"/>
        <v>0</v>
      </c>
      <c r="BN55" s="44">
        <f t="shared" si="80"/>
        <v>7.5805799127330126E-2</v>
      </c>
      <c r="BO55" s="45">
        <f t="shared" si="81"/>
        <v>395.00485436893206</v>
      </c>
      <c r="BP55" s="44">
        <f t="shared" si="82"/>
        <v>0</v>
      </c>
      <c r="BQ55" s="45">
        <f t="shared" si="83"/>
        <v>0</v>
      </c>
      <c r="BR55" s="44">
        <f t="shared" si="84"/>
        <v>5.1438223383576023E-2</v>
      </c>
      <c r="BS55" s="45">
        <f t="shared" si="85"/>
        <v>268.0315776699029</v>
      </c>
      <c r="BT55" s="44">
        <f t="shared" si="86"/>
        <v>7.452856583041145E-4</v>
      </c>
      <c r="BU55" s="45">
        <f t="shared" si="87"/>
        <v>3.883495145631068</v>
      </c>
      <c r="BV55" s="44">
        <f t="shared" si="88"/>
        <v>0</v>
      </c>
      <c r="BW55" s="45">
        <f t="shared" si="89"/>
        <v>0</v>
      </c>
      <c r="BX55" s="44">
        <f t="shared" si="90"/>
        <v>3.4404491419302637E-2</v>
      </c>
      <c r="BY55" s="45">
        <f t="shared" si="91"/>
        <v>179.27310679611651</v>
      </c>
      <c r="BZ55" s="46">
        <f t="shared" si="92"/>
        <v>2.4720123808344131E-2</v>
      </c>
      <c r="CA55" s="47">
        <f t="shared" si="93"/>
        <v>128.81031553398057</v>
      </c>
      <c r="CB55" s="44">
        <f t="shared" si="94"/>
        <v>8.0701860098851708E-3</v>
      </c>
      <c r="CC55" s="48">
        <f t="shared" si="95"/>
        <v>42.051699029126212</v>
      </c>
      <c r="CD55" s="46">
        <f t="shared" si="64"/>
        <v>0.55125439318350722</v>
      </c>
      <c r="CE55" s="49">
        <f t="shared" si="65"/>
        <v>0.48976423279474524</v>
      </c>
      <c r="CF55" s="49">
        <f t="shared" si="66"/>
        <v>0.48566078268432039</v>
      </c>
      <c r="CG55" s="47">
        <f t="shared" si="67"/>
        <v>2552.0375970873788</v>
      </c>
      <c r="CH55" s="44">
        <f t="shared" si="2"/>
        <v>0.19327125028331715</v>
      </c>
      <c r="CI55" s="50">
        <f t="shared" si="3"/>
        <v>0.17171263719032076</v>
      </c>
      <c r="CJ55" s="50">
        <f t="shared" si="4"/>
        <v>0.17027395671335083</v>
      </c>
      <c r="CK55" s="45">
        <f t="shared" si="5"/>
        <v>894.751140776699</v>
      </c>
      <c r="CL55" s="46">
        <f t="shared" si="6"/>
        <v>2.9972600469498699E-2</v>
      </c>
      <c r="CM55" s="49">
        <f t="shared" si="68"/>
        <v>2.6629280156903502E-2</v>
      </c>
      <c r="CN55" s="49">
        <f t="shared" si="69"/>
        <v>2.6406168881552013E-2</v>
      </c>
      <c r="CO55" s="47">
        <f t="shared" si="70"/>
        <v>138.75844660194176</v>
      </c>
      <c r="CP55" s="44">
        <f t="shared" si="7"/>
        <v>4.1467920029999217E-2</v>
      </c>
      <c r="CQ55" s="50">
        <f t="shared" si="8"/>
        <v>3.6842344097792211E-2</v>
      </c>
      <c r="CR55" s="50">
        <f t="shared" si="71"/>
        <v>3.6533663490199222E-2</v>
      </c>
      <c r="CS55" s="45">
        <f t="shared" si="9"/>
        <v>191.97614077669903</v>
      </c>
      <c r="CT55" s="46">
        <f t="shared" si="10"/>
        <v>0.75238862451850375</v>
      </c>
      <c r="CU55" s="49">
        <f t="shared" si="11"/>
        <v>0.66846276783889658</v>
      </c>
      <c r="CV55" s="49">
        <f t="shared" si="12"/>
        <v>0.6628621064699538</v>
      </c>
      <c r="CW55" s="47">
        <f t="shared" si="13"/>
        <v>3483.1904854368927</v>
      </c>
      <c r="CX55" s="44">
        <f t="shared" si="14"/>
        <v>2.3907740146693279E-2</v>
      </c>
      <c r="CY55" s="50">
        <f t="shared" si="15"/>
        <v>2.1062964641065818E-2</v>
      </c>
      <c r="CZ55" s="48">
        <f t="shared" si="16"/>
        <v>13.559506393101397</v>
      </c>
      <c r="DA55" s="45">
        <f t="shared" si="17"/>
        <v>110.68111650485437</v>
      </c>
      <c r="DB55" s="51">
        <f t="shared" si="18"/>
        <v>4.3253456944402887E-3</v>
      </c>
      <c r="DC55" s="52">
        <f t="shared" si="19"/>
        <v>22.72871359223301</v>
      </c>
      <c r="DD55" s="44">
        <f t="shared" si="20"/>
        <v>2.2999011959136638E-2</v>
      </c>
      <c r="DE55" s="50">
        <f t="shared" si="21"/>
        <v>2.026236577369471E-2</v>
      </c>
      <c r="DF55" s="48">
        <f t="shared" si="22"/>
        <v>13.044112399643176</v>
      </c>
      <c r="DG55" s="45">
        <f t="shared" si="23"/>
        <v>106.47415048543689</v>
      </c>
      <c r="DH55" s="46">
        <f t="shared" si="24"/>
        <v>4.5050745023884446E-3</v>
      </c>
      <c r="DI55" s="49">
        <f t="shared" si="25"/>
        <v>3.9690169111319968E-3</v>
      </c>
      <c r="DJ55" s="47">
        <f t="shared" si="26"/>
        <v>2.5550966399048471</v>
      </c>
      <c r="DK55" s="44">
        <f t="shared" si="27"/>
        <v>5.8369744227417433E-2</v>
      </c>
      <c r="DL55" s="50">
        <f t="shared" si="28"/>
        <v>5.1858839318946047E-2</v>
      </c>
      <c r="DM55" s="50">
        <f t="shared" si="29"/>
        <v>5.1424344217669393E-2</v>
      </c>
      <c r="DN55" s="45">
        <f t="shared" si="30"/>
        <v>270.22330097087377</v>
      </c>
      <c r="DO55" s="46">
        <f t="shared" si="31"/>
        <v>1.0036589754525349E-2</v>
      </c>
      <c r="DP55" s="49">
        <f t="shared" si="32"/>
        <v>8.8423386660277884E-3</v>
      </c>
      <c r="DQ55" s="47">
        <f t="shared" si="33"/>
        <v>46.46449029126213</v>
      </c>
      <c r="DR55" s="53">
        <f t="shared" si="34"/>
        <v>4.4483803733455791E-2</v>
      </c>
      <c r="DS55" s="45">
        <f t="shared" si="35"/>
        <v>233.75233009708739</v>
      </c>
      <c r="DT55" s="46">
        <f t="shared" si="96"/>
        <v>4.2467118909395431E-5</v>
      </c>
      <c r="DU55" s="49">
        <f t="shared" si="97"/>
        <v>3.7730086451645796E-5</v>
      </c>
      <c r="DV55" s="49">
        <f t="shared" si="98"/>
        <v>3.7413967966363858E-5</v>
      </c>
      <c r="DW55" s="47">
        <f t="shared" si="99"/>
        <v>0.19660194174757281</v>
      </c>
      <c r="DY55" s="54">
        <f>VLOOKUP(A55,'[3]Barnet Schools'!$E$8:$V$130,17,0)</f>
        <v>81</v>
      </c>
    </row>
    <row r="56" spans="1:129">
      <c r="A56" s="79">
        <v>2045</v>
      </c>
      <c r="B56" s="80">
        <v>10082</v>
      </c>
      <c r="C56" s="573" t="s">
        <v>84</v>
      </c>
      <c r="D56" s="595">
        <f>VLOOKUP(A56,[4]CFR20152016_BenchMarkDataReport!$B$3:$BO$99,18,0)</f>
        <v>1298491</v>
      </c>
      <c r="E56" s="595">
        <f>VLOOKUP(A56,[4]CFR20152016_BenchMarkDataReport!$B$3:$BO$99,19,0)</f>
        <v>0</v>
      </c>
      <c r="F56" s="595">
        <f>VLOOKUP(A56,[4]CFR20152016_BenchMarkDataReport!$B$3:$BO$99,20,0)</f>
        <v>28807</v>
      </c>
      <c r="G56" s="595">
        <f>VLOOKUP(A56,[4]CFR20152016_BenchMarkDataReport!$B$3:$BO$99,21,0)</f>
        <v>0</v>
      </c>
      <c r="H56" s="595">
        <f>VLOOKUP(A56,[4]CFR20152016_BenchMarkDataReport!$B$3:$BO$99,22,0)</f>
        <v>74905.440000000002</v>
      </c>
      <c r="I56" s="595">
        <f>VLOOKUP(A56,[4]CFR20152016_BenchMarkDataReport!$B$3:$BO$99,23,0)</f>
        <v>12731</v>
      </c>
      <c r="J56" s="595">
        <f>VLOOKUP(A56,[4]CFR20152016_BenchMarkDataReport!$B$3:$BO$99,24,0)</f>
        <v>30105</v>
      </c>
      <c r="K56" s="595">
        <f>VLOOKUP(A56,[4]CFR20152016_BenchMarkDataReport!$B$3:$BO$99,25,0)</f>
        <v>65763.039999999994</v>
      </c>
      <c r="L56" s="595">
        <f>VLOOKUP(A56,[4]CFR20152016_BenchMarkDataReport!$B$3:$BO$99,26,0)</f>
        <v>18344.91</v>
      </c>
      <c r="M56" s="595">
        <f>VLOOKUP(A56,[4]CFR20152016_BenchMarkDataReport!$B$3:$BO$99,27,0)</f>
        <v>5515.5</v>
      </c>
      <c r="N56" s="595">
        <f>VLOOKUP(A56,[4]CFR20152016_BenchMarkDataReport!$B$3:$BO$99,28,0)</f>
        <v>0</v>
      </c>
      <c r="O56" s="595">
        <f>VLOOKUP(A56,[4]CFR20152016_BenchMarkDataReport!$B$3:$BO$99,29,0)</f>
        <v>20023</v>
      </c>
      <c r="P56" s="595">
        <f>VLOOKUP(A56,[4]CFR20152016_BenchMarkDataReport!$B$3:$BO$99,30,0)</f>
        <v>0</v>
      </c>
      <c r="Q56" s="595">
        <f>VLOOKUP(A56,[4]CFR20152016_BenchMarkDataReport!$B$3:$BO$99,31,0)</f>
        <v>0</v>
      </c>
      <c r="R56" s="595">
        <f>VLOOKUP(A56,[4]CFR20152016_BenchMarkDataReport!$B$3:$BO$99,32,0)</f>
        <v>0</v>
      </c>
      <c r="S56" s="595">
        <f>VLOOKUP(A56,[4]CFR20152016_BenchMarkDataReport!$B$3:$BO$99,33,0)</f>
        <v>0</v>
      </c>
      <c r="T56" s="595">
        <f>VLOOKUP(A56,[4]CFR20152016_BenchMarkDataReport!$B$3:$BO$99,34,0)</f>
        <v>20156.330000000002</v>
      </c>
      <c r="U56" s="595">
        <f>VLOOKUP(A56,[4]CFR20152016_BenchMarkDataReport!$B$3:$BO$99,35,0)</f>
        <v>695532.37</v>
      </c>
      <c r="V56" s="595">
        <f>VLOOKUP(A56,[4]CFR20152016_BenchMarkDataReport!$B$3:$BO$99,36,0)</f>
        <v>0</v>
      </c>
      <c r="W56" s="595">
        <f>VLOOKUP(A56,[4]CFR20152016_BenchMarkDataReport!$B$3:$BO$99,37,0)</f>
        <v>346393.57</v>
      </c>
      <c r="X56" s="595">
        <f>VLOOKUP(A56,[4]CFR20152016_BenchMarkDataReport!$B$3:$BO$99,38,0)</f>
        <v>24355.64</v>
      </c>
      <c r="Y56" s="595">
        <f>VLOOKUP(A56,[4]CFR20152016_BenchMarkDataReport!$B$3:$BO$99,39,0)</f>
        <v>43428.29</v>
      </c>
      <c r="Z56" s="595">
        <f>VLOOKUP(A56,[4]CFR20152016_BenchMarkDataReport!$B$3:$BO$99,40,0)</f>
        <v>0</v>
      </c>
      <c r="AA56" s="595">
        <f>VLOOKUP(A56,[4]CFR20152016_BenchMarkDataReport!$B$3:$BO$99,41,0)</f>
        <v>38278.14</v>
      </c>
      <c r="AB56" s="595">
        <f>VLOOKUP(A56,[4]CFR20152016_BenchMarkDataReport!$B$3:$BO$99,42,0)</f>
        <v>4971.83</v>
      </c>
      <c r="AC56" s="595">
        <f>VLOOKUP(A56,[4]CFR20152016_BenchMarkDataReport!$B$3:$BO$99,43,0)</f>
        <v>9564.99</v>
      </c>
      <c r="AD56" s="595">
        <f>VLOOKUP(A56,[4]CFR20152016_BenchMarkDataReport!$B$3:$BO$99,44,0)</f>
        <v>12724.42</v>
      </c>
      <c r="AE56" s="595">
        <f>VLOOKUP(A56,[4]CFR20152016_BenchMarkDataReport!$B$3:$BO$99,45,0)</f>
        <v>0</v>
      </c>
      <c r="AF56" s="595">
        <f>VLOOKUP(A56,[4]CFR20152016_BenchMarkDataReport!$B$3:$BO$99,46,0)</f>
        <v>28269.74</v>
      </c>
      <c r="AG56" s="595">
        <f>VLOOKUP(A56,[4]CFR20152016_BenchMarkDataReport!$B$3:$BO$99,47,0)</f>
        <v>1831.37</v>
      </c>
      <c r="AH56" s="595">
        <f>VLOOKUP(A56,[4]CFR20152016_BenchMarkDataReport!$B$3:$BO$99,48,0)</f>
        <v>17064.84</v>
      </c>
      <c r="AI56" s="595">
        <f>VLOOKUP(A56,[4]CFR20152016_BenchMarkDataReport!$B$3:$BO$99,49,0)</f>
        <v>467.08</v>
      </c>
      <c r="AJ56" s="595">
        <f>VLOOKUP(A56,[4]CFR20152016_BenchMarkDataReport!$B$3:$BO$99,50,0)</f>
        <v>16231.95</v>
      </c>
      <c r="AK56" s="595">
        <f>VLOOKUP(A56,[4]CFR20152016_BenchMarkDataReport!$B$3:$BO$99,51,0)</f>
        <v>9568.44</v>
      </c>
      <c r="AL56" s="595">
        <f>VLOOKUP(A56,[4]CFR20152016_BenchMarkDataReport!$B$3:$BO$99,52,0)</f>
        <v>6902.59</v>
      </c>
      <c r="AM56" s="595">
        <f>VLOOKUP(A56,[4]CFR20152016_BenchMarkDataReport!$B$3:$BO$99,53,0)</f>
        <v>66475.75</v>
      </c>
      <c r="AN56" s="595">
        <f>VLOOKUP(A56,[4]CFR20152016_BenchMarkDataReport!$B$3:$BO$99,54,0)</f>
        <v>15287.99</v>
      </c>
      <c r="AO56" s="595">
        <f>VLOOKUP(A56,[4]CFR20152016_BenchMarkDataReport!$B$3:$BO$99,55,0)</f>
        <v>0</v>
      </c>
      <c r="AP56" s="595">
        <f>VLOOKUP(A56,[4]CFR20152016_BenchMarkDataReport!$B$3:$BO$99,56,0)</f>
        <v>7295.63</v>
      </c>
      <c r="AQ56" s="595">
        <f>VLOOKUP(A56,[4]CFR20152016_BenchMarkDataReport!$B$3:$BO$99,57,0)</f>
        <v>10785.61</v>
      </c>
      <c r="AR56" s="595">
        <f>VLOOKUP(A56,[4]CFR20152016_BenchMarkDataReport!$B$3:$BO$99,58,0)</f>
        <v>21122.34</v>
      </c>
      <c r="AS56" s="595">
        <f>VLOOKUP(A56,[4]CFR20152016_BenchMarkDataReport!$B$3:$BO$99,59,0)</f>
        <v>55551.01</v>
      </c>
      <c r="AT56" s="595">
        <f>VLOOKUP(A56,[4]CFR20152016_BenchMarkDataReport!$B$3:$BO$99,60,0)</f>
        <v>20296.46</v>
      </c>
      <c r="AU56" s="595">
        <f>VLOOKUP(A56,[4]CFR20152016_BenchMarkDataReport!$B$3:$BO$99,61,0)</f>
        <v>37878.959999999999</v>
      </c>
      <c r="AV56" s="595">
        <f>VLOOKUP(A56,[4]CFR20152016_BenchMarkDataReport!$B$3:$BO$99,62,0)</f>
        <v>41514.21</v>
      </c>
      <c r="AW56" s="595">
        <f>VLOOKUP(A56,[4]CFR20152016_BenchMarkDataReport!$B$3:$BO$99,63,0)</f>
        <v>0</v>
      </c>
      <c r="AX56" s="595">
        <f>VLOOKUP(A56,[4]CFR20152016_BenchMarkDataReport!$B$3:$BO$99,64,0)</f>
        <v>0</v>
      </c>
      <c r="AY56" s="595">
        <f>VLOOKUP(A56,[4]CFR20152016_BenchMarkDataReport!$B$3:$BO$99,65,0)</f>
        <v>0</v>
      </c>
      <c r="AZ56" s="595">
        <f>VLOOKUP(A56,[4]CFR20152016_BenchMarkDataReport!$B$3:$BO$99,66,0)</f>
        <v>0</v>
      </c>
      <c r="BA56" s="596">
        <f t="shared" si="0"/>
        <v>1574842.22</v>
      </c>
      <c r="BB56" s="595">
        <f t="shared" si="42"/>
        <v>1531793.22</v>
      </c>
      <c r="BC56" s="601">
        <f t="shared" si="43"/>
        <v>43049</v>
      </c>
      <c r="BD56" s="595">
        <f>VLOOKUP(A56,[4]CFR20152016_BenchMarkDataReport!$B$3:$BO$99,15,0)</f>
        <v>399125</v>
      </c>
      <c r="BE56" s="601">
        <f t="shared" si="1"/>
        <v>442174</v>
      </c>
      <c r="BF56" s="76">
        <f>VLOOKUP(A56,'OCT 15 CENSUS'!$B$9:$U$132,20,0)</f>
        <v>289</v>
      </c>
      <c r="BG56" s="73">
        <f>VLOOKUP(A56,'[2]BUDGET SHARE inc ADJUSTMENTS'!$D$4:$M$139,10,0)</f>
        <v>1426334.5391135726</v>
      </c>
      <c r="BH56" s="76">
        <f>VLOOKUP(A56,'12-13 Pupil Data'!A:CI,81,0)</f>
        <v>2362</v>
      </c>
      <c r="BI56" t="s">
        <v>210</v>
      </c>
      <c r="BJ56" s="44">
        <f t="shared" si="76"/>
        <v>0.82452132887318708</v>
      </c>
      <c r="BK56" s="45">
        <f t="shared" si="77"/>
        <v>4493.0484429065746</v>
      </c>
      <c r="BL56" s="44">
        <f t="shared" si="78"/>
        <v>0</v>
      </c>
      <c r="BM56" s="45">
        <f t="shared" si="79"/>
        <v>0</v>
      </c>
      <c r="BN56" s="44">
        <f t="shared" si="80"/>
        <v>1.8291991181186393E-2</v>
      </c>
      <c r="BO56" s="45">
        <f t="shared" si="81"/>
        <v>99.678200692041528</v>
      </c>
      <c r="BP56" s="44">
        <f t="shared" si="82"/>
        <v>0</v>
      </c>
      <c r="BQ56" s="45">
        <f t="shared" si="83"/>
        <v>0</v>
      </c>
      <c r="BR56" s="44">
        <f t="shared" si="84"/>
        <v>4.7563774357027334E-2</v>
      </c>
      <c r="BS56" s="45">
        <f t="shared" si="85"/>
        <v>259.18837370242215</v>
      </c>
      <c r="BT56" s="44">
        <f t="shared" si="86"/>
        <v>8.08398443877127E-3</v>
      </c>
      <c r="BU56" s="45">
        <f t="shared" si="87"/>
        <v>44.05190311418685</v>
      </c>
      <c r="BV56" s="44">
        <f t="shared" si="88"/>
        <v>1.9116200732794679E-2</v>
      </c>
      <c r="BW56" s="45">
        <f t="shared" si="89"/>
        <v>104.16955017301038</v>
      </c>
      <c r="BX56" s="44">
        <f t="shared" si="90"/>
        <v>4.175849438428187E-2</v>
      </c>
      <c r="BY56" s="45">
        <f t="shared" si="91"/>
        <v>227.55377162629756</v>
      </c>
      <c r="BZ56" s="46">
        <f t="shared" si="92"/>
        <v>1.2714289562290247E-2</v>
      </c>
      <c r="CA56" s="47">
        <f t="shared" si="93"/>
        <v>69.283737024221452</v>
      </c>
      <c r="CB56" s="44">
        <f t="shared" si="94"/>
        <v>0</v>
      </c>
      <c r="CC56" s="48">
        <f t="shared" si="95"/>
        <v>0</v>
      </c>
      <c r="CD56" s="46">
        <f t="shared" si="64"/>
        <v>0.50186601415742749</v>
      </c>
      <c r="CE56" s="49">
        <f t="shared" si="65"/>
        <v>0.45454003004821647</v>
      </c>
      <c r="CF56" s="49">
        <f t="shared" si="66"/>
        <v>0.46731426974196943</v>
      </c>
      <c r="CG56" s="47">
        <f t="shared" si="67"/>
        <v>2476.9163667820067</v>
      </c>
      <c r="CH56" s="44">
        <f t="shared" si="2"/>
        <v>0.24285576805513945</v>
      </c>
      <c r="CI56" s="50">
        <f t="shared" si="3"/>
        <v>0.2199544599458351</v>
      </c>
      <c r="CJ56" s="50">
        <f t="shared" si="4"/>
        <v>0.2261359859002379</v>
      </c>
      <c r="CK56" s="45">
        <f t="shared" si="5"/>
        <v>1198.5936678200692</v>
      </c>
      <c r="CL56" s="46">
        <f t="shared" si="6"/>
        <v>1.7075685494607987E-2</v>
      </c>
      <c r="CM56" s="49">
        <f t="shared" si="68"/>
        <v>1.5465447706882027E-2</v>
      </c>
      <c r="CN56" s="49">
        <f t="shared" si="69"/>
        <v>1.5900083432932286E-2</v>
      </c>
      <c r="CO56" s="47">
        <f t="shared" si="70"/>
        <v>84.275570934256052</v>
      </c>
      <c r="CP56" s="44">
        <f t="shared" si="7"/>
        <v>3.044747835033812E-2</v>
      </c>
      <c r="CQ56" s="50">
        <f t="shared" si="8"/>
        <v>2.7576279990766315E-2</v>
      </c>
      <c r="CR56" s="50">
        <f t="shared" si="71"/>
        <v>2.8351274462489136E-2</v>
      </c>
      <c r="CS56" s="45">
        <f t="shared" si="9"/>
        <v>150.27089965397923</v>
      </c>
      <c r="CT56" s="46">
        <f t="shared" si="10"/>
        <v>0.80485186225206506</v>
      </c>
      <c r="CU56" s="49">
        <f t="shared" si="11"/>
        <v>0.72895430121247307</v>
      </c>
      <c r="CV56" s="49">
        <f t="shared" si="12"/>
        <v>0.74944058702649163</v>
      </c>
      <c r="CW56" s="47">
        <f t="shared" si="13"/>
        <v>3972.276851211072</v>
      </c>
      <c r="CX56" s="44">
        <f t="shared" si="14"/>
        <v>1.9819852373180881E-2</v>
      </c>
      <c r="CY56" s="50">
        <f t="shared" si="15"/>
        <v>1.8455323885034562E-2</v>
      </c>
      <c r="CZ56" s="48">
        <f t="shared" si="16"/>
        <v>11.968560541913634</v>
      </c>
      <c r="DA56" s="45">
        <f t="shared" si="17"/>
        <v>97.819169550173015</v>
      </c>
      <c r="DB56" s="51">
        <f t="shared" si="18"/>
        <v>3.0492366326050193E-4</v>
      </c>
      <c r="DC56" s="52">
        <f t="shared" si="19"/>
        <v>1.6161937716262975</v>
      </c>
      <c r="DD56" s="44">
        <f t="shared" si="20"/>
        <v>1.1380184350080808E-2</v>
      </c>
      <c r="DE56" s="50">
        <f t="shared" si="21"/>
        <v>1.0596697901561414E-2</v>
      </c>
      <c r="DF56" s="48">
        <f t="shared" si="22"/>
        <v>6.8721210838272651</v>
      </c>
      <c r="DG56" s="45">
        <f t="shared" si="23"/>
        <v>56.165916955017302</v>
      </c>
      <c r="DH56" s="46">
        <f t="shared" si="24"/>
        <v>4.83939062731368E-3</v>
      </c>
      <c r="DI56" s="49">
        <f t="shared" si="25"/>
        <v>4.5062152710141912E-3</v>
      </c>
      <c r="DJ56" s="47">
        <f t="shared" si="26"/>
        <v>2.9223497036409825</v>
      </c>
      <c r="DK56" s="44">
        <f t="shared" si="27"/>
        <v>4.6606001731762617E-2</v>
      </c>
      <c r="DL56" s="50">
        <f t="shared" si="28"/>
        <v>4.2211054006413416E-2</v>
      </c>
      <c r="DM56" s="50">
        <f t="shared" si="29"/>
        <v>4.3397339230943979E-2</v>
      </c>
      <c r="DN56" s="45">
        <f t="shared" si="30"/>
        <v>230.01989619377161</v>
      </c>
      <c r="DO56" s="46">
        <f t="shared" si="31"/>
        <v>5.1149501045764708E-3</v>
      </c>
      <c r="DP56" s="49">
        <f t="shared" si="32"/>
        <v>4.7628034285202023E-3</v>
      </c>
      <c r="DQ56" s="47">
        <f t="shared" si="33"/>
        <v>25.24439446366782</v>
      </c>
      <c r="DR56" s="53">
        <f t="shared" si="34"/>
        <v>3.626534526638002E-2</v>
      </c>
      <c r="DS56" s="45">
        <f t="shared" si="35"/>
        <v>192.21802768166091</v>
      </c>
      <c r="DT56" s="46">
        <f t="shared" si="96"/>
        <v>3.7859280918457954E-5</v>
      </c>
      <c r="DU56" s="49">
        <f t="shared" si="97"/>
        <v>3.42891492964927E-5</v>
      </c>
      <c r="DV56" s="49">
        <f t="shared" si="98"/>
        <v>3.5252799983015982E-5</v>
      </c>
      <c r="DW56" s="47">
        <f t="shared" si="99"/>
        <v>0.18685121107266436</v>
      </c>
      <c r="DY56" s="54">
        <f>VLOOKUP(A56,'[3]Barnet Schools'!$E$8:$V$130,17,0)</f>
        <v>54</v>
      </c>
    </row>
    <row r="57" spans="1:129" s="14" customFormat="1">
      <c r="A57" s="573">
        <v>2077</v>
      </c>
      <c r="B57" s="574">
        <v>10127</v>
      </c>
      <c r="C57" s="573" t="s">
        <v>85</v>
      </c>
      <c r="D57" s="595">
        <f>VLOOKUP(A57,[4]CFR20152016_BenchMarkDataReport!$B$3:$BO$99,18,0)</f>
        <v>3699711</v>
      </c>
      <c r="E57" s="595">
        <f>VLOOKUP(A57,[4]CFR20152016_BenchMarkDataReport!$B$3:$BO$99,19,0)</f>
        <v>0</v>
      </c>
      <c r="F57" s="595">
        <f>VLOOKUP(A57,[4]CFR20152016_BenchMarkDataReport!$B$3:$BO$99,20,0)</f>
        <v>343234</v>
      </c>
      <c r="G57" s="595">
        <f>VLOOKUP(A57,[4]CFR20152016_BenchMarkDataReport!$B$3:$BO$99,21,0)</f>
        <v>0</v>
      </c>
      <c r="H57" s="595">
        <f>VLOOKUP(A57,[4]CFR20152016_BenchMarkDataReport!$B$3:$BO$99,22,0)</f>
        <v>494819.99</v>
      </c>
      <c r="I57" s="595">
        <f>VLOOKUP(A57,[4]CFR20152016_BenchMarkDataReport!$B$3:$BO$99,23,0)</f>
        <v>12517.9</v>
      </c>
      <c r="J57" s="595">
        <f>VLOOKUP(A57,[4]CFR20152016_BenchMarkDataReport!$B$3:$BO$99,24,0)</f>
        <v>275</v>
      </c>
      <c r="K57" s="595">
        <f>VLOOKUP(A57,[4]CFR20152016_BenchMarkDataReport!$B$3:$BO$99,25,0)</f>
        <v>74982.92</v>
      </c>
      <c r="L57" s="595">
        <f>VLOOKUP(A57,[4]CFR20152016_BenchMarkDataReport!$B$3:$BO$99,26,0)</f>
        <v>40471.43</v>
      </c>
      <c r="M57" s="595">
        <f>VLOOKUP(A57,[4]CFR20152016_BenchMarkDataReport!$B$3:$BO$99,27,0)</f>
        <v>0</v>
      </c>
      <c r="N57" s="595">
        <f>VLOOKUP(A57,[4]CFR20152016_BenchMarkDataReport!$B$3:$BO$99,28,0)</f>
        <v>3420</v>
      </c>
      <c r="O57" s="595">
        <f>VLOOKUP(A57,[4]CFR20152016_BenchMarkDataReport!$B$3:$BO$99,29,0)</f>
        <v>20898.8</v>
      </c>
      <c r="P57" s="595">
        <f>VLOOKUP(A57,[4]CFR20152016_BenchMarkDataReport!$B$3:$BO$99,30,0)</f>
        <v>21164.34</v>
      </c>
      <c r="Q57" s="595">
        <f>VLOOKUP(A57,[4]CFR20152016_BenchMarkDataReport!$B$3:$BO$99,31,0)</f>
        <v>0</v>
      </c>
      <c r="R57" s="595">
        <f>VLOOKUP(A57,[4]CFR20152016_BenchMarkDataReport!$B$3:$BO$99,32,0)</f>
        <v>0</v>
      </c>
      <c r="S57" s="595">
        <f>VLOOKUP(A57,[4]CFR20152016_BenchMarkDataReport!$B$3:$BO$99,33,0)</f>
        <v>0</v>
      </c>
      <c r="T57" s="595">
        <f>VLOOKUP(A57,[4]CFR20152016_BenchMarkDataReport!$B$3:$BO$99,34,0)</f>
        <v>81030.36</v>
      </c>
      <c r="U57" s="595">
        <f>VLOOKUP(A57,[4]CFR20152016_BenchMarkDataReport!$B$3:$BO$99,35,0)</f>
        <v>1542524.95</v>
      </c>
      <c r="V57" s="595">
        <f>VLOOKUP(A57,[4]CFR20152016_BenchMarkDataReport!$B$3:$BO$99,36,0)</f>
        <v>0</v>
      </c>
      <c r="W57" s="595">
        <f>VLOOKUP(A57,[4]CFR20152016_BenchMarkDataReport!$B$3:$BO$99,37,0)</f>
        <v>1037155.04</v>
      </c>
      <c r="X57" s="595">
        <f>VLOOKUP(A57,[4]CFR20152016_BenchMarkDataReport!$B$3:$BO$99,38,0)</f>
        <v>150463.14000000001</v>
      </c>
      <c r="Y57" s="595">
        <f>VLOOKUP(A57,[4]CFR20152016_BenchMarkDataReport!$B$3:$BO$99,39,0)</f>
        <v>210457.98</v>
      </c>
      <c r="Z57" s="595">
        <f>VLOOKUP(A57,[4]CFR20152016_BenchMarkDataReport!$B$3:$BO$99,40,0)</f>
        <v>0</v>
      </c>
      <c r="AA57" s="595">
        <f>VLOOKUP(A57,[4]CFR20152016_BenchMarkDataReport!$B$3:$BO$99,41,0)</f>
        <v>146221.88</v>
      </c>
      <c r="AB57" s="595">
        <f>VLOOKUP(A57,[4]CFR20152016_BenchMarkDataReport!$B$3:$BO$99,42,0)</f>
        <v>33318.129999999997</v>
      </c>
      <c r="AC57" s="595">
        <f>VLOOKUP(A57,[4]CFR20152016_BenchMarkDataReport!$B$3:$BO$99,43,0)</f>
        <v>16921.849999999999</v>
      </c>
      <c r="AD57" s="595">
        <f>VLOOKUP(A57,[4]CFR20152016_BenchMarkDataReport!$B$3:$BO$99,44,0)</f>
        <v>25107.75</v>
      </c>
      <c r="AE57" s="595">
        <f>VLOOKUP(A57,[4]CFR20152016_BenchMarkDataReport!$B$3:$BO$99,45,0)</f>
        <v>2385.1999999999998</v>
      </c>
      <c r="AF57" s="595">
        <f>VLOOKUP(A57,[4]CFR20152016_BenchMarkDataReport!$B$3:$BO$99,46,0)</f>
        <v>43464.05</v>
      </c>
      <c r="AG57" s="595">
        <f>VLOOKUP(A57,[4]CFR20152016_BenchMarkDataReport!$B$3:$BO$99,47,0)</f>
        <v>20505.919999999998</v>
      </c>
      <c r="AH57" s="595">
        <f>VLOOKUP(A57,[4]CFR20152016_BenchMarkDataReport!$B$3:$BO$99,48,0)</f>
        <v>8266.01</v>
      </c>
      <c r="AI57" s="595">
        <f>VLOOKUP(A57,[4]CFR20152016_BenchMarkDataReport!$B$3:$BO$99,49,0)</f>
        <v>3951.28</v>
      </c>
      <c r="AJ57" s="595">
        <f>VLOOKUP(A57,[4]CFR20152016_BenchMarkDataReport!$B$3:$BO$99,50,0)</f>
        <v>47487.45</v>
      </c>
      <c r="AK57" s="595">
        <f>VLOOKUP(A57,[4]CFR20152016_BenchMarkDataReport!$B$3:$BO$99,51,0)</f>
        <v>7440</v>
      </c>
      <c r="AL57" s="595">
        <f>VLOOKUP(A57,[4]CFR20152016_BenchMarkDataReport!$B$3:$BO$99,52,0)</f>
        <v>28275.39</v>
      </c>
      <c r="AM57" s="595">
        <f>VLOOKUP(A57,[4]CFR20152016_BenchMarkDataReport!$B$3:$BO$99,53,0)</f>
        <v>228785.57</v>
      </c>
      <c r="AN57" s="595">
        <f>VLOOKUP(A57,[4]CFR20152016_BenchMarkDataReport!$B$3:$BO$99,54,0)</f>
        <v>19134.310000000001</v>
      </c>
      <c r="AO57" s="595">
        <f>VLOOKUP(A57,[4]CFR20152016_BenchMarkDataReport!$B$3:$BO$99,55,0)</f>
        <v>0</v>
      </c>
      <c r="AP57" s="595">
        <f>VLOOKUP(A57,[4]CFR20152016_BenchMarkDataReport!$B$3:$BO$99,56,0)</f>
        <v>93987.92</v>
      </c>
      <c r="AQ57" s="595">
        <f>VLOOKUP(A57,[4]CFR20152016_BenchMarkDataReport!$B$3:$BO$99,57,0)</f>
        <v>19362.91</v>
      </c>
      <c r="AR57" s="595">
        <f>VLOOKUP(A57,[4]CFR20152016_BenchMarkDataReport!$B$3:$BO$99,58,0)</f>
        <v>42539.28</v>
      </c>
      <c r="AS57" s="595">
        <f>VLOOKUP(A57,[4]CFR20152016_BenchMarkDataReport!$B$3:$BO$99,59,0)</f>
        <v>195423.57</v>
      </c>
      <c r="AT57" s="595">
        <f>VLOOKUP(A57,[4]CFR20152016_BenchMarkDataReport!$B$3:$BO$99,60,0)</f>
        <v>286640</v>
      </c>
      <c r="AU57" s="595">
        <f>VLOOKUP(A57,[4]CFR20152016_BenchMarkDataReport!$B$3:$BO$99,61,0)</f>
        <v>352910.7</v>
      </c>
      <c r="AV57" s="595">
        <f>VLOOKUP(A57,[4]CFR20152016_BenchMarkDataReport!$B$3:$BO$99,62,0)</f>
        <v>80632.460000000006</v>
      </c>
      <c r="AW57" s="595">
        <f>VLOOKUP(A57,[4]CFR20152016_BenchMarkDataReport!$B$3:$BO$99,63,0)</f>
        <v>0</v>
      </c>
      <c r="AX57" s="595">
        <f>VLOOKUP(A57,[4]CFR20152016_BenchMarkDataReport!$B$3:$BO$99,64,0)</f>
        <v>45850</v>
      </c>
      <c r="AY57" s="595">
        <f>VLOOKUP(A57,[4]CFR20152016_BenchMarkDataReport!$B$3:$BO$99,65,0)</f>
        <v>0</v>
      </c>
      <c r="AZ57" s="595">
        <f>VLOOKUP(A57,[4]CFR20152016_BenchMarkDataReport!$B$3:$BO$99,66,0)</f>
        <v>0</v>
      </c>
      <c r="BA57" s="598">
        <f t="shared" si="0"/>
        <v>4792525.74</v>
      </c>
      <c r="BB57" s="597">
        <f t="shared" si="42"/>
        <v>4689212.74</v>
      </c>
      <c r="BC57" s="602">
        <f t="shared" si="43"/>
        <v>103313</v>
      </c>
      <c r="BD57" s="595">
        <f>VLOOKUP(A57,[4]CFR20152016_BenchMarkDataReport!$B$3:$BO$99,15,0)</f>
        <v>40272</v>
      </c>
      <c r="BE57" s="602">
        <f t="shared" si="1"/>
        <v>143585</v>
      </c>
      <c r="BF57" s="76">
        <f>VLOOKUP(A57,'OCT 15 CENSUS'!$B$9:$U$132,20,0)</f>
        <v>822</v>
      </c>
      <c r="BG57" s="579">
        <f>VLOOKUP(A57,'[2]BUDGET SHARE inc ADJUSTMENTS'!$D$4:$M$139,10,0)</f>
        <v>4632734.9082459966</v>
      </c>
      <c r="BH57" s="580">
        <f>VLOOKUP(A57,'12-13 Pupil Data'!A:CI,81,0)</f>
        <v>2561.15</v>
      </c>
      <c r="BI57" s="14" t="s">
        <v>210</v>
      </c>
      <c r="BJ57" s="53">
        <f t="shared" si="76"/>
        <v>0.77197519652758295</v>
      </c>
      <c r="BK57" s="581">
        <f t="shared" si="77"/>
        <v>4500.86496350365</v>
      </c>
      <c r="BL57" s="53">
        <f t="shared" si="78"/>
        <v>0</v>
      </c>
      <c r="BM57" s="581">
        <f t="shared" si="79"/>
        <v>0</v>
      </c>
      <c r="BN57" s="53">
        <f t="shared" si="80"/>
        <v>7.1618603346301477E-2</v>
      </c>
      <c r="BO57" s="581">
        <f t="shared" si="81"/>
        <v>417.55961070559613</v>
      </c>
      <c r="BP57" s="53">
        <f t="shared" si="82"/>
        <v>0</v>
      </c>
      <c r="BQ57" s="581">
        <f t="shared" si="83"/>
        <v>0</v>
      </c>
      <c r="BR57" s="53">
        <f t="shared" si="84"/>
        <v>0.10324826966917865</v>
      </c>
      <c r="BS57" s="581">
        <f t="shared" si="85"/>
        <v>601.97079075425791</v>
      </c>
      <c r="BT57" s="53">
        <f t="shared" si="86"/>
        <v>2.6119630188986736E-3</v>
      </c>
      <c r="BU57" s="581">
        <f t="shared" si="87"/>
        <v>15.228588807785888</v>
      </c>
      <c r="BV57" s="53">
        <f t="shared" si="88"/>
        <v>5.738101679971363E-5</v>
      </c>
      <c r="BW57" s="581">
        <f t="shared" si="89"/>
        <v>0.33454987834549876</v>
      </c>
      <c r="BX57" s="53">
        <f t="shared" si="90"/>
        <v>1.5645804335314848E-2</v>
      </c>
      <c r="BY57" s="581">
        <f t="shared" si="91"/>
        <v>91.220097323600967</v>
      </c>
      <c r="BZ57" s="582">
        <f t="shared" si="92"/>
        <v>4.3607068868867461E-3</v>
      </c>
      <c r="CA57" s="583">
        <f t="shared" si="93"/>
        <v>25.424330900243309</v>
      </c>
      <c r="CB57" s="53">
        <f t="shared" si="94"/>
        <v>4.4161139967085492E-3</v>
      </c>
      <c r="CC57" s="584">
        <f t="shared" si="95"/>
        <v>25.747372262773723</v>
      </c>
      <c r="CD57" s="582">
        <f t="shared" si="64"/>
        <v>0.3948347976363149</v>
      </c>
      <c r="CE57" s="585">
        <f t="shared" si="65"/>
        <v>0.3816703444559903</v>
      </c>
      <c r="CF57" s="585">
        <f t="shared" si="66"/>
        <v>0.39007932704712389</v>
      </c>
      <c r="CG57" s="583">
        <f t="shared" si="67"/>
        <v>2225.2614963503647</v>
      </c>
      <c r="CH57" s="53">
        <f t="shared" si="2"/>
        <v>0.2238753264629765</v>
      </c>
      <c r="CI57" s="65">
        <f t="shared" si="3"/>
        <v>0.21641094826962787</v>
      </c>
      <c r="CJ57" s="65">
        <f t="shared" si="4"/>
        <v>0.22117892650782145</v>
      </c>
      <c r="CK57" s="581">
        <f t="shared" si="5"/>
        <v>1261.745790754258</v>
      </c>
      <c r="CL57" s="582">
        <f t="shared" si="6"/>
        <v>3.2478253770183235E-2</v>
      </c>
      <c r="CM57" s="585">
        <f t="shared" si="68"/>
        <v>3.139537441482787E-2</v>
      </c>
      <c r="CN57" s="585">
        <f t="shared" si="69"/>
        <v>3.2087079077585207E-2</v>
      </c>
      <c r="CO57" s="583">
        <f t="shared" si="70"/>
        <v>183.04518248175185</v>
      </c>
      <c r="CP57" s="53">
        <f t="shared" si="7"/>
        <v>4.5428452991211982E-2</v>
      </c>
      <c r="CQ57" s="65">
        <f t="shared" si="8"/>
        <v>4.3913792312777436E-2</v>
      </c>
      <c r="CR57" s="65">
        <f t="shared" si="71"/>
        <v>4.488130346587773E-2</v>
      </c>
      <c r="CS57" s="581">
        <f t="shared" si="9"/>
        <v>256.03160583941605</v>
      </c>
      <c r="CT57" s="582">
        <f t="shared" si="10"/>
        <v>0.66630684706470822</v>
      </c>
      <c r="CU57" s="585">
        <f t="shared" si="11"/>
        <v>0.6440910612615719</v>
      </c>
      <c r="CV57" s="585">
        <f t="shared" si="12"/>
        <v>0.6582817119105584</v>
      </c>
      <c r="CW57" s="583">
        <f t="shared" si="13"/>
        <v>3755.2591119221415</v>
      </c>
      <c r="CX57" s="53">
        <f t="shared" si="14"/>
        <v>9.3819419545540031E-3</v>
      </c>
      <c r="CY57" s="65">
        <f t="shared" si="15"/>
        <v>9.2689439379114204E-3</v>
      </c>
      <c r="CZ57" s="584">
        <f t="shared" si="16"/>
        <v>16.970521054994826</v>
      </c>
      <c r="DA57" s="581">
        <f t="shared" si="17"/>
        <v>52.875973236009735</v>
      </c>
      <c r="DB57" s="586">
        <f t="shared" si="18"/>
        <v>8.4263184868852846E-4</v>
      </c>
      <c r="DC57" s="587">
        <f t="shared" si="19"/>
        <v>4.8069099756691003</v>
      </c>
      <c r="DD57" s="53">
        <f t="shared" si="20"/>
        <v>1.0250413835567219E-2</v>
      </c>
      <c r="DE57" s="65">
        <f t="shared" si="21"/>
        <v>1.0126955766992988E-2</v>
      </c>
      <c r="DF57" s="584">
        <f t="shared" si="22"/>
        <v>18.541455986568533</v>
      </c>
      <c r="DG57" s="581">
        <f t="shared" si="23"/>
        <v>57.770620437956204</v>
      </c>
      <c r="DH57" s="582">
        <f t="shared" si="24"/>
        <v>6.1033904507835019E-3</v>
      </c>
      <c r="DI57" s="585">
        <f t="shared" si="25"/>
        <v>6.0298799751192346E-3</v>
      </c>
      <c r="DJ57" s="583">
        <f t="shared" si="26"/>
        <v>11.040114792183198</v>
      </c>
      <c r="DK57" s="53">
        <f t="shared" si="27"/>
        <v>4.9384558912010074E-2</v>
      </c>
      <c r="DL57" s="65">
        <f t="shared" si="28"/>
        <v>4.7737995038916577E-2</v>
      </c>
      <c r="DM57" s="65">
        <f t="shared" si="29"/>
        <v>4.878976124252362E-2</v>
      </c>
      <c r="DN57" s="581">
        <f t="shared" si="30"/>
        <v>278.32794403892945</v>
      </c>
      <c r="DO57" s="582">
        <f t="shared" si="31"/>
        <v>2.0287782888830312E-2</v>
      </c>
      <c r="DP57" s="585">
        <f t="shared" si="32"/>
        <v>2.0043432706360855E-2</v>
      </c>
      <c r="DQ57" s="583">
        <f t="shared" si="33"/>
        <v>114.34053527980535</v>
      </c>
      <c r="DR57" s="53">
        <f t="shared" si="34"/>
        <v>4.1675134150556792E-2</v>
      </c>
      <c r="DS57" s="581">
        <f t="shared" si="35"/>
        <v>237.74156934306569</v>
      </c>
      <c r="DT57" s="582">
        <f t="shared" si="96"/>
        <v>7.9866430376022957E-5</v>
      </c>
      <c r="DU57" s="585">
        <f t="shared" si="97"/>
        <v>7.7203549875978341E-5</v>
      </c>
      <c r="DV57" s="585">
        <f t="shared" si="98"/>
        <v>7.8904502848382171E-5</v>
      </c>
      <c r="DW57" s="583">
        <f t="shared" si="99"/>
        <v>0.45012165450121655</v>
      </c>
      <c r="DY57" s="588">
        <f>VLOOKUP(A57,'[3]Barnet Schools'!$E$8:$V$130,17,0)</f>
        <v>370</v>
      </c>
    </row>
    <row r="58" spans="1:129">
      <c r="A58" s="79">
        <v>5201</v>
      </c>
      <c r="B58" s="80">
        <v>10084</v>
      </c>
      <c r="C58" s="573" t="s">
        <v>86</v>
      </c>
      <c r="D58" s="595">
        <f>VLOOKUP(A58,[4]CFR20152016_BenchMarkDataReport!$B$3:$BO$99,18,0)</f>
        <v>1717539</v>
      </c>
      <c r="E58" s="595">
        <f>VLOOKUP(A58,[4]CFR20152016_BenchMarkDataReport!$B$3:$BO$99,19,0)</f>
        <v>0</v>
      </c>
      <c r="F58" s="595">
        <f>VLOOKUP(A58,[4]CFR20152016_BenchMarkDataReport!$B$3:$BO$99,20,0)</f>
        <v>72052.070000000007</v>
      </c>
      <c r="G58" s="595">
        <f>VLOOKUP(A58,[4]CFR20152016_BenchMarkDataReport!$B$3:$BO$99,21,0)</f>
        <v>0</v>
      </c>
      <c r="H58" s="595">
        <f>VLOOKUP(A58,[4]CFR20152016_BenchMarkDataReport!$B$3:$BO$99,22,0)</f>
        <v>105273.01</v>
      </c>
      <c r="I58" s="595">
        <f>VLOOKUP(A58,[4]CFR20152016_BenchMarkDataReport!$B$3:$BO$99,23,0)</f>
        <v>2000</v>
      </c>
      <c r="J58" s="595">
        <f>VLOOKUP(A58,[4]CFR20152016_BenchMarkDataReport!$B$3:$BO$99,24,0)</f>
        <v>11225</v>
      </c>
      <c r="K58" s="595">
        <f>VLOOKUP(A58,[4]CFR20152016_BenchMarkDataReport!$B$3:$BO$99,25,0)</f>
        <v>120117.68</v>
      </c>
      <c r="L58" s="595">
        <f>VLOOKUP(A58,[4]CFR20152016_BenchMarkDataReport!$B$3:$BO$99,26,0)</f>
        <v>51293.91</v>
      </c>
      <c r="M58" s="595">
        <f>VLOOKUP(A58,[4]CFR20152016_BenchMarkDataReport!$B$3:$BO$99,27,0)</f>
        <v>19724.3</v>
      </c>
      <c r="N58" s="595">
        <f>VLOOKUP(A58,[4]CFR20152016_BenchMarkDataReport!$B$3:$BO$99,28,0)</f>
        <v>14436.05</v>
      </c>
      <c r="O58" s="595">
        <f>VLOOKUP(A58,[4]CFR20152016_BenchMarkDataReport!$B$3:$BO$99,29,0)</f>
        <v>56564.33</v>
      </c>
      <c r="P58" s="595">
        <f>VLOOKUP(A58,[4]CFR20152016_BenchMarkDataReport!$B$3:$BO$99,30,0)</f>
        <v>9485.31</v>
      </c>
      <c r="Q58" s="595">
        <f>VLOOKUP(A58,[4]CFR20152016_BenchMarkDataReport!$B$3:$BO$99,31,0)</f>
        <v>0</v>
      </c>
      <c r="R58" s="595">
        <f>VLOOKUP(A58,[4]CFR20152016_BenchMarkDataReport!$B$3:$BO$99,32,0)</f>
        <v>0</v>
      </c>
      <c r="S58" s="595">
        <f>VLOOKUP(A58,[4]CFR20152016_BenchMarkDataReport!$B$3:$BO$99,33,0)</f>
        <v>0</v>
      </c>
      <c r="T58" s="595">
        <f>VLOOKUP(A58,[4]CFR20152016_BenchMarkDataReport!$B$3:$BO$99,34,0)</f>
        <v>72703.570000000007</v>
      </c>
      <c r="U58" s="595">
        <f>VLOOKUP(A58,[4]CFR20152016_BenchMarkDataReport!$B$3:$BO$99,35,0)</f>
        <v>940238.35</v>
      </c>
      <c r="V58" s="595">
        <f>VLOOKUP(A58,[4]CFR20152016_BenchMarkDataReport!$B$3:$BO$99,36,0)</f>
        <v>1000</v>
      </c>
      <c r="W58" s="595">
        <f>VLOOKUP(A58,[4]CFR20152016_BenchMarkDataReport!$B$3:$BO$99,37,0)</f>
        <v>309809</v>
      </c>
      <c r="X58" s="595">
        <f>VLOOKUP(A58,[4]CFR20152016_BenchMarkDataReport!$B$3:$BO$99,38,0)</f>
        <v>75874</v>
      </c>
      <c r="Y58" s="595">
        <f>VLOOKUP(A58,[4]CFR20152016_BenchMarkDataReport!$B$3:$BO$99,39,0)</f>
        <v>162296.47</v>
      </c>
      <c r="Z58" s="595">
        <f>VLOOKUP(A58,[4]CFR20152016_BenchMarkDataReport!$B$3:$BO$99,40,0)</f>
        <v>85899.44</v>
      </c>
      <c r="AA58" s="595">
        <f>VLOOKUP(A58,[4]CFR20152016_BenchMarkDataReport!$B$3:$BO$99,41,0)</f>
        <v>108578.62</v>
      </c>
      <c r="AB58" s="595">
        <f>VLOOKUP(A58,[4]CFR20152016_BenchMarkDataReport!$B$3:$BO$99,42,0)</f>
        <v>13960.81</v>
      </c>
      <c r="AC58" s="595">
        <f>VLOOKUP(A58,[4]CFR20152016_BenchMarkDataReport!$B$3:$BO$99,43,0)</f>
        <v>8581</v>
      </c>
      <c r="AD58" s="595">
        <f>VLOOKUP(A58,[4]CFR20152016_BenchMarkDataReport!$B$3:$BO$99,44,0)</f>
        <v>12596.23</v>
      </c>
      <c r="AE58" s="595">
        <f>VLOOKUP(A58,[4]CFR20152016_BenchMarkDataReport!$B$3:$BO$99,45,0)</f>
        <v>10112.25</v>
      </c>
      <c r="AF58" s="595">
        <f>VLOOKUP(A58,[4]CFR20152016_BenchMarkDataReport!$B$3:$BO$99,46,0)</f>
        <v>24240.51</v>
      </c>
      <c r="AG58" s="595">
        <f>VLOOKUP(A58,[4]CFR20152016_BenchMarkDataReport!$B$3:$BO$99,47,0)</f>
        <v>38610.449999999997</v>
      </c>
      <c r="AH58" s="595">
        <f>VLOOKUP(A58,[4]CFR20152016_BenchMarkDataReport!$B$3:$BO$99,48,0)</f>
        <v>4034</v>
      </c>
      <c r="AI58" s="595">
        <f>VLOOKUP(A58,[4]CFR20152016_BenchMarkDataReport!$B$3:$BO$99,49,0)</f>
        <v>9347.2000000000007</v>
      </c>
      <c r="AJ58" s="595">
        <f>VLOOKUP(A58,[4]CFR20152016_BenchMarkDataReport!$B$3:$BO$99,50,0)</f>
        <v>21851.58</v>
      </c>
      <c r="AK58" s="595">
        <f>VLOOKUP(A58,[4]CFR20152016_BenchMarkDataReport!$B$3:$BO$99,51,0)</f>
        <v>0</v>
      </c>
      <c r="AL58" s="595">
        <f>VLOOKUP(A58,[4]CFR20152016_BenchMarkDataReport!$B$3:$BO$99,52,0)</f>
        <v>10261.049999999999</v>
      </c>
      <c r="AM58" s="595">
        <f>VLOOKUP(A58,[4]CFR20152016_BenchMarkDataReport!$B$3:$BO$99,53,0)</f>
        <v>143774.74</v>
      </c>
      <c r="AN58" s="595">
        <f>VLOOKUP(A58,[4]CFR20152016_BenchMarkDataReport!$B$3:$BO$99,54,0)</f>
        <v>15352.67</v>
      </c>
      <c r="AO58" s="595">
        <f>VLOOKUP(A58,[4]CFR20152016_BenchMarkDataReport!$B$3:$BO$99,55,0)</f>
        <v>0</v>
      </c>
      <c r="AP58" s="595">
        <f>VLOOKUP(A58,[4]CFR20152016_BenchMarkDataReport!$B$3:$BO$99,56,0)</f>
        <v>13338.49</v>
      </c>
      <c r="AQ58" s="595">
        <f>VLOOKUP(A58,[4]CFR20152016_BenchMarkDataReport!$B$3:$BO$99,57,0)</f>
        <v>10586.16</v>
      </c>
      <c r="AR58" s="595">
        <f>VLOOKUP(A58,[4]CFR20152016_BenchMarkDataReport!$B$3:$BO$99,58,0)</f>
        <v>14585.05</v>
      </c>
      <c r="AS58" s="595">
        <f>VLOOKUP(A58,[4]CFR20152016_BenchMarkDataReport!$B$3:$BO$99,59,0)</f>
        <v>67685.75</v>
      </c>
      <c r="AT58" s="595">
        <f>VLOOKUP(A58,[4]CFR20152016_BenchMarkDataReport!$B$3:$BO$99,60,0)</f>
        <v>95922.51</v>
      </c>
      <c r="AU58" s="595">
        <f>VLOOKUP(A58,[4]CFR20152016_BenchMarkDataReport!$B$3:$BO$99,61,0)</f>
        <v>90062.82</v>
      </c>
      <c r="AV58" s="595">
        <f>VLOOKUP(A58,[4]CFR20152016_BenchMarkDataReport!$B$3:$BO$99,62,0)</f>
        <v>30893.63</v>
      </c>
      <c r="AW58" s="595">
        <f>VLOOKUP(A58,[4]CFR20152016_BenchMarkDataReport!$B$3:$BO$99,63,0)</f>
        <v>0</v>
      </c>
      <c r="AX58" s="595">
        <f>VLOOKUP(A58,[4]CFR20152016_BenchMarkDataReport!$B$3:$BO$99,64,0)</f>
        <v>5527.45</v>
      </c>
      <c r="AY58" s="595">
        <f>VLOOKUP(A58,[4]CFR20152016_BenchMarkDataReport!$B$3:$BO$99,65,0)</f>
        <v>0</v>
      </c>
      <c r="AZ58" s="595">
        <f>VLOOKUP(A58,[4]CFR20152016_BenchMarkDataReport!$B$3:$BO$99,66,0)</f>
        <v>0</v>
      </c>
      <c r="BA58" s="596">
        <f t="shared" si="0"/>
        <v>2252414.2299999995</v>
      </c>
      <c r="BB58" s="595">
        <f t="shared" si="42"/>
        <v>2325020.2299999995</v>
      </c>
      <c r="BC58" s="601">
        <f t="shared" si="43"/>
        <v>-72606</v>
      </c>
      <c r="BD58" s="595">
        <f>VLOOKUP(A58,[4]CFR20152016_BenchMarkDataReport!$B$3:$BO$99,15,0)</f>
        <v>253451</v>
      </c>
      <c r="BE58" s="601">
        <f t="shared" si="1"/>
        <v>180845</v>
      </c>
      <c r="BF58" s="76">
        <f>VLOOKUP(A58,'OCT 15 CENSUS'!$B$9:$U$132,20,0)</f>
        <v>445</v>
      </c>
      <c r="BG58" s="73">
        <f>VLOOKUP(A58,'[2]BUDGET SHARE inc ADJUSTMENTS'!$D$4:$M$139,10,0)</f>
        <v>1969623.5666352452</v>
      </c>
      <c r="BH58" s="76">
        <f>VLOOKUP(A58,'12-13 Pupil Data'!A:CI,81,0)</f>
        <v>2521</v>
      </c>
      <c r="BI58" t="s">
        <v>210</v>
      </c>
      <c r="BJ58" s="44">
        <f t="shared" si="76"/>
        <v>0.76253247609788022</v>
      </c>
      <c r="BK58" s="45">
        <f t="shared" si="77"/>
        <v>3859.6382022471912</v>
      </c>
      <c r="BL58" s="44">
        <f t="shared" si="78"/>
        <v>0</v>
      </c>
      <c r="BM58" s="45">
        <f t="shared" si="79"/>
        <v>0</v>
      </c>
      <c r="BN58" s="44">
        <f t="shared" si="80"/>
        <v>3.1988818504312157E-2</v>
      </c>
      <c r="BO58" s="45">
        <f t="shared" si="81"/>
        <v>161.91476404494384</v>
      </c>
      <c r="BP58" s="44">
        <f t="shared" si="82"/>
        <v>0</v>
      </c>
      <c r="BQ58" s="45">
        <f t="shared" si="83"/>
        <v>0</v>
      </c>
      <c r="BR58" s="44">
        <f t="shared" si="84"/>
        <v>4.6737855141325411E-2</v>
      </c>
      <c r="BS58" s="45">
        <f t="shared" si="85"/>
        <v>236.56856179775281</v>
      </c>
      <c r="BT58" s="44">
        <f t="shared" si="86"/>
        <v>8.8793614130203765E-4</v>
      </c>
      <c r="BU58" s="45">
        <f t="shared" si="87"/>
        <v>4.4943820224719104</v>
      </c>
      <c r="BV58" s="44">
        <f t="shared" si="88"/>
        <v>4.9835415930576865E-3</v>
      </c>
      <c r="BW58" s="45">
        <f t="shared" si="89"/>
        <v>25.224719101123597</v>
      </c>
      <c r="BX58" s="44">
        <f t="shared" si="90"/>
        <v>5.3328414640676468E-2</v>
      </c>
      <c r="BY58" s="45">
        <f t="shared" si="91"/>
        <v>269.92737078651686</v>
      </c>
      <c r="BZ58" s="46">
        <f t="shared" si="92"/>
        <v>2.5112756457767546E-2</v>
      </c>
      <c r="CA58" s="47">
        <f t="shared" si="93"/>
        <v>127.11085393258428</v>
      </c>
      <c r="CB58" s="44">
        <f t="shared" si="94"/>
        <v>4.2111747802268153E-3</v>
      </c>
      <c r="CC58" s="48">
        <f t="shared" si="95"/>
        <v>21.315303370786516</v>
      </c>
      <c r="CD58" s="46">
        <f t="shared" si="64"/>
        <v>0.5265782140146742</v>
      </c>
      <c r="CE58" s="49">
        <f t="shared" si="65"/>
        <v>0.46046630596895144</v>
      </c>
      <c r="CF58" s="49">
        <f t="shared" si="66"/>
        <v>0.44608681103819908</v>
      </c>
      <c r="CG58" s="47">
        <f t="shared" si="67"/>
        <v>2330.698561797753</v>
      </c>
      <c r="CH58" s="44">
        <f t="shared" si="2"/>
        <v>0.15729350788041904</v>
      </c>
      <c r="CI58" s="50">
        <f t="shared" si="3"/>
        <v>0.1375453040003215</v>
      </c>
      <c r="CJ58" s="50">
        <f t="shared" si="4"/>
        <v>0.13325002337721598</v>
      </c>
      <c r="CK58" s="45">
        <f t="shared" si="5"/>
        <v>696.2</v>
      </c>
      <c r="CL58" s="46">
        <f t="shared" si="6"/>
        <v>3.8522081724284687E-2</v>
      </c>
      <c r="CM58" s="49">
        <f t="shared" si="68"/>
        <v>3.3685633392575402E-2</v>
      </c>
      <c r="CN58" s="49">
        <f t="shared" si="69"/>
        <v>3.2633694546391118E-2</v>
      </c>
      <c r="CO58" s="47">
        <f t="shared" si="70"/>
        <v>170.50337078651685</v>
      </c>
      <c r="CP58" s="44">
        <f t="shared" si="7"/>
        <v>8.2399740107321581E-2</v>
      </c>
      <c r="CQ58" s="50">
        <f t="shared" si="8"/>
        <v>7.2054450659370967E-2</v>
      </c>
      <c r="CR58" s="50">
        <f t="shared" si="71"/>
        <v>6.9804325960639083E-2</v>
      </c>
      <c r="CS58" s="45">
        <f t="shared" si="9"/>
        <v>364.71116853932585</v>
      </c>
      <c r="CT58" s="46">
        <f t="shared" si="10"/>
        <v>0.85483130305771959</v>
      </c>
      <c r="CU58" s="49">
        <f t="shared" si="11"/>
        <v>0.74750721140666931</v>
      </c>
      <c r="CV58" s="49">
        <f t="shared" si="12"/>
        <v>0.72416396996253241</v>
      </c>
      <c r="CW58" s="47">
        <f t="shared" si="13"/>
        <v>3783.5862471910109</v>
      </c>
      <c r="CX58" s="44">
        <f t="shared" si="14"/>
        <v>1.2307179102964654E-2</v>
      </c>
      <c r="CY58" s="50">
        <f t="shared" si="15"/>
        <v>1.0425935089605652E-2</v>
      </c>
      <c r="CZ58" s="48">
        <f t="shared" si="16"/>
        <v>9.6154343514478366</v>
      </c>
      <c r="DA58" s="45">
        <f t="shared" si="17"/>
        <v>54.473056179775277</v>
      </c>
      <c r="DB58" s="51">
        <f t="shared" si="18"/>
        <v>4.0202660946309279E-3</v>
      </c>
      <c r="DC58" s="52">
        <f t="shared" si="19"/>
        <v>21.004943820224721</v>
      </c>
      <c r="DD58" s="44">
        <f t="shared" si="20"/>
        <v>1.1094292518711876E-2</v>
      </c>
      <c r="DE58" s="50">
        <f t="shared" si="21"/>
        <v>9.3984472556610851E-3</v>
      </c>
      <c r="DF58" s="48">
        <f t="shared" si="22"/>
        <v>8.6678222927409774</v>
      </c>
      <c r="DG58" s="45">
        <f t="shared" si="23"/>
        <v>49.104674157303371</v>
      </c>
      <c r="DH58" s="46">
        <f t="shared" si="24"/>
        <v>5.2096502975587334E-3</v>
      </c>
      <c r="DI58" s="49">
        <f t="shared" si="25"/>
        <v>4.413316438111165E-3</v>
      </c>
      <c r="DJ58" s="47">
        <f t="shared" si="26"/>
        <v>4.0702300674335579</v>
      </c>
      <c r="DK58" s="44">
        <f t="shared" si="27"/>
        <v>7.2996049821648812E-2</v>
      </c>
      <c r="DL58" s="50">
        <f t="shared" si="28"/>
        <v>6.3831393926151864E-2</v>
      </c>
      <c r="DM58" s="50">
        <f t="shared" si="29"/>
        <v>6.1838059791849649E-2</v>
      </c>
      <c r="DN58" s="45">
        <f t="shared" si="30"/>
        <v>323.08930337078652</v>
      </c>
      <c r="DO58" s="46">
        <f t="shared" si="31"/>
        <v>6.772101139501727E-3</v>
      </c>
      <c r="DP58" s="49">
        <f t="shared" si="32"/>
        <v>5.7369350287330631E-3</v>
      </c>
      <c r="DQ58" s="47">
        <f t="shared" si="33"/>
        <v>29.974134831460674</v>
      </c>
      <c r="DR58" s="53">
        <f t="shared" si="34"/>
        <v>2.9111897232825375E-2</v>
      </c>
      <c r="DS58" s="45">
        <f t="shared" si="35"/>
        <v>152.10280898876405</v>
      </c>
      <c r="DT58" s="46">
        <f t="shared" si="96"/>
        <v>3.4016652285724675E-5</v>
      </c>
      <c r="DU58" s="49">
        <f t="shared" si="97"/>
        <v>2.9745860733618264E-5</v>
      </c>
      <c r="DV58" s="49">
        <f t="shared" si="98"/>
        <v>2.8816953562593307E-5</v>
      </c>
      <c r="DW58" s="47">
        <f t="shared" si="99"/>
        <v>0.15056179775280898</v>
      </c>
      <c r="DY58" s="54">
        <f>VLOOKUP(A58,'[3]Barnet Schools'!$E$8:$V$130,17,0)</f>
        <v>67</v>
      </c>
    </row>
    <row r="59" spans="1:129">
      <c r="A59" s="79">
        <v>3501</v>
      </c>
      <c r="B59" s="80">
        <v>10085</v>
      </c>
      <c r="C59" s="573" t="s">
        <v>87</v>
      </c>
      <c r="D59" s="595">
        <f>VLOOKUP(A59,[4]CFR20152016_BenchMarkDataReport!$B$3:$BO$99,18,0)</f>
        <v>1021188</v>
      </c>
      <c r="E59" s="595">
        <f>VLOOKUP(A59,[4]CFR20152016_BenchMarkDataReport!$B$3:$BO$99,19,0)</f>
        <v>0</v>
      </c>
      <c r="F59" s="595">
        <f>VLOOKUP(A59,[4]CFR20152016_BenchMarkDataReport!$B$3:$BO$99,20,0)</f>
        <v>33559</v>
      </c>
      <c r="G59" s="595">
        <f>VLOOKUP(A59,[4]CFR20152016_BenchMarkDataReport!$B$3:$BO$99,21,0)</f>
        <v>0</v>
      </c>
      <c r="H59" s="595">
        <f>VLOOKUP(A59,[4]CFR20152016_BenchMarkDataReport!$B$3:$BO$99,22,0)</f>
        <v>40595</v>
      </c>
      <c r="I59" s="595">
        <f>VLOOKUP(A59,[4]CFR20152016_BenchMarkDataReport!$B$3:$BO$99,23,0)</f>
        <v>13529.5</v>
      </c>
      <c r="J59" s="595">
        <f>VLOOKUP(A59,[4]CFR20152016_BenchMarkDataReport!$B$3:$BO$99,24,0)</f>
        <v>6201</v>
      </c>
      <c r="K59" s="595">
        <f>VLOOKUP(A59,[4]CFR20152016_BenchMarkDataReport!$B$3:$BO$99,25,0)</f>
        <v>31116.9</v>
      </c>
      <c r="L59" s="595">
        <f>VLOOKUP(A59,[4]CFR20152016_BenchMarkDataReport!$B$3:$BO$99,26,0)</f>
        <v>31656.29</v>
      </c>
      <c r="M59" s="595">
        <f>VLOOKUP(A59,[4]CFR20152016_BenchMarkDataReport!$B$3:$BO$99,27,0)</f>
        <v>878.13</v>
      </c>
      <c r="N59" s="595">
        <f>VLOOKUP(A59,[4]CFR20152016_BenchMarkDataReport!$B$3:$BO$99,28,0)</f>
        <v>8938.56</v>
      </c>
      <c r="O59" s="595">
        <f>VLOOKUP(A59,[4]CFR20152016_BenchMarkDataReport!$B$3:$BO$99,29,0)</f>
        <v>30500.19</v>
      </c>
      <c r="P59" s="595">
        <f>VLOOKUP(A59,[4]CFR20152016_BenchMarkDataReport!$B$3:$BO$99,30,0)</f>
        <v>33818.61</v>
      </c>
      <c r="Q59" s="595">
        <f>VLOOKUP(A59,[4]CFR20152016_BenchMarkDataReport!$B$3:$BO$99,31,0)</f>
        <v>2004.68</v>
      </c>
      <c r="R59" s="595">
        <f>VLOOKUP(A59,[4]CFR20152016_BenchMarkDataReport!$B$3:$BO$99,32,0)</f>
        <v>0</v>
      </c>
      <c r="S59" s="595">
        <f>VLOOKUP(A59,[4]CFR20152016_BenchMarkDataReport!$B$3:$BO$99,33,0)</f>
        <v>0</v>
      </c>
      <c r="T59" s="595">
        <f>VLOOKUP(A59,[4]CFR20152016_BenchMarkDataReport!$B$3:$BO$99,34,0)</f>
        <v>40268.49</v>
      </c>
      <c r="U59" s="595">
        <f>VLOOKUP(A59,[4]CFR20152016_BenchMarkDataReport!$B$3:$BO$99,35,0)</f>
        <v>536517.63</v>
      </c>
      <c r="V59" s="595">
        <f>VLOOKUP(A59,[4]CFR20152016_BenchMarkDataReport!$B$3:$BO$99,36,0)</f>
        <v>0</v>
      </c>
      <c r="W59" s="595">
        <f>VLOOKUP(A59,[4]CFR20152016_BenchMarkDataReport!$B$3:$BO$99,37,0)</f>
        <v>186722.96</v>
      </c>
      <c r="X59" s="595">
        <f>VLOOKUP(A59,[4]CFR20152016_BenchMarkDataReport!$B$3:$BO$99,38,0)</f>
        <v>50683.19</v>
      </c>
      <c r="Y59" s="595">
        <f>VLOOKUP(A59,[4]CFR20152016_BenchMarkDataReport!$B$3:$BO$99,39,0)</f>
        <v>56892.19</v>
      </c>
      <c r="Z59" s="595">
        <f>VLOOKUP(A59,[4]CFR20152016_BenchMarkDataReport!$B$3:$BO$99,40,0)</f>
        <v>0</v>
      </c>
      <c r="AA59" s="595">
        <f>VLOOKUP(A59,[4]CFR20152016_BenchMarkDataReport!$B$3:$BO$99,41,0)</f>
        <v>25530.3</v>
      </c>
      <c r="AB59" s="595">
        <f>VLOOKUP(A59,[4]CFR20152016_BenchMarkDataReport!$B$3:$BO$99,42,0)</f>
        <v>8218.2000000000007</v>
      </c>
      <c r="AC59" s="595">
        <f>VLOOKUP(A59,[4]CFR20152016_BenchMarkDataReport!$B$3:$BO$99,43,0)</f>
        <v>4907</v>
      </c>
      <c r="AD59" s="595">
        <f>VLOOKUP(A59,[4]CFR20152016_BenchMarkDataReport!$B$3:$BO$99,44,0)</f>
        <v>10591.75</v>
      </c>
      <c r="AE59" s="595">
        <f>VLOOKUP(A59,[4]CFR20152016_BenchMarkDataReport!$B$3:$BO$99,45,0)</f>
        <v>1029</v>
      </c>
      <c r="AF59" s="595">
        <f>VLOOKUP(A59,[4]CFR20152016_BenchMarkDataReport!$B$3:$BO$99,46,0)</f>
        <v>32537.55</v>
      </c>
      <c r="AG59" s="595">
        <f>VLOOKUP(A59,[4]CFR20152016_BenchMarkDataReport!$B$3:$BO$99,47,0)</f>
        <v>623.5</v>
      </c>
      <c r="AH59" s="595">
        <f>VLOOKUP(A59,[4]CFR20152016_BenchMarkDataReport!$B$3:$BO$99,48,0)</f>
        <v>7421.63</v>
      </c>
      <c r="AI59" s="595">
        <f>VLOOKUP(A59,[4]CFR20152016_BenchMarkDataReport!$B$3:$BO$99,49,0)</f>
        <v>1624.6</v>
      </c>
      <c r="AJ59" s="595">
        <f>VLOOKUP(A59,[4]CFR20152016_BenchMarkDataReport!$B$3:$BO$99,50,0)</f>
        <v>12213.45</v>
      </c>
      <c r="AK59" s="595">
        <f>VLOOKUP(A59,[4]CFR20152016_BenchMarkDataReport!$B$3:$BO$99,51,0)</f>
        <v>0</v>
      </c>
      <c r="AL59" s="595">
        <f>VLOOKUP(A59,[4]CFR20152016_BenchMarkDataReport!$B$3:$BO$99,52,0)</f>
        <v>5984.96</v>
      </c>
      <c r="AM59" s="595">
        <f>VLOOKUP(A59,[4]CFR20152016_BenchMarkDataReport!$B$3:$BO$99,53,0)</f>
        <v>63554.16</v>
      </c>
      <c r="AN59" s="595">
        <f>VLOOKUP(A59,[4]CFR20152016_BenchMarkDataReport!$B$3:$BO$99,54,0)</f>
        <v>10255.23</v>
      </c>
      <c r="AO59" s="595">
        <f>VLOOKUP(A59,[4]CFR20152016_BenchMarkDataReport!$B$3:$BO$99,55,0)</f>
        <v>0</v>
      </c>
      <c r="AP59" s="595">
        <f>VLOOKUP(A59,[4]CFR20152016_BenchMarkDataReport!$B$3:$BO$99,56,0)</f>
        <v>21195.09</v>
      </c>
      <c r="AQ59" s="595">
        <f>VLOOKUP(A59,[4]CFR20152016_BenchMarkDataReport!$B$3:$BO$99,57,0)</f>
        <v>6241.05</v>
      </c>
      <c r="AR59" s="595">
        <f>VLOOKUP(A59,[4]CFR20152016_BenchMarkDataReport!$B$3:$BO$99,58,0)</f>
        <v>6821.57</v>
      </c>
      <c r="AS59" s="595">
        <f>VLOOKUP(A59,[4]CFR20152016_BenchMarkDataReport!$B$3:$BO$99,59,0)</f>
        <v>67997.350000000006</v>
      </c>
      <c r="AT59" s="595">
        <f>VLOOKUP(A59,[4]CFR20152016_BenchMarkDataReport!$B$3:$BO$99,60,0)</f>
        <v>47899.47</v>
      </c>
      <c r="AU59" s="595">
        <f>VLOOKUP(A59,[4]CFR20152016_BenchMarkDataReport!$B$3:$BO$99,61,0)</f>
        <v>99350.29</v>
      </c>
      <c r="AV59" s="595">
        <f>VLOOKUP(A59,[4]CFR20152016_BenchMarkDataReport!$B$3:$BO$99,62,0)</f>
        <v>28307.23</v>
      </c>
      <c r="AW59" s="595">
        <f>VLOOKUP(A59,[4]CFR20152016_BenchMarkDataReport!$B$3:$BO$99,63,0)</f>
        <v>0</v>
      </c>
      <c r="AX59" s="595">
        <f>VLOOKUP(A59,[4]CFR20152016_BenchMarkDataReport!$B$3:$BO$99,64,0)</f>
        <v>0</v>
      </c>
      <c r="AY59" s="595">
        <f>VLOOKUP(A59,[4]CFR20152016_BenchMarkDataReport!$B$3:$BO$99,65,0)</f>
        <v>0</v>
      </c>
      <c r="AZ59" s="595">
        <f>VLOOKUP(A59,[4]CFR20152016_BenchMarkDataReport!$B$3:$BO$99,66,0)</f>
        <v>0</v>
      </c>
      <c r="BA59" s="596">
        <f t="shared" si="0"/>
        <v>1294254.3499999999</v>
      </c>
      <c r="BB59" s="595">
        <f t="shared" si="42"/>
        <v>1293119.3500000001</v>
      </c>
      <c r="BC59" s="601">
        <f t="shared" si="43"/>
        <v>1134.9999999997672</v>
      </c>
      <c r="BD59" s="595">
        <f>VLOOKUP(A59,[4]CFR20152016_BenchMarkDataReport!$B$3:$BO$99,15,0)</f>
        <v>71813</v>
      </c>
      <c r="BE59" s="601">
        <f t="shared" si="1"/>
        <v>72947.999999999767</v>
      </c>
      <c r="BF59" s="76">
        <f>VLOOKUP(A59,'OCT 15 CENSUS'!$B$9:$U$132,20,0)</f>
        <v>246</v>
      </c>
      <c r="BG59" s="73">
        <f>VLOOKUP(A59,'[2]BUDGET SHARE inc ADJUSTMENTS'!$D$4:$M$139,10,0)</f>
        <v>1147702.2838619209</v>
      </c>
      <c r="BH59" s="76">
        <f>VLOOKUP(A59,'12-13 Pupil Data'!A:CI,81,0)</f>
        <v>1633</v>
      </c>
      <c r="BI59" t="s">
        <v>210</v>
      </c>
      <c r="BJ59" s="44">
        <f t="shared" si="76"/>
        <v>0.78901647114417661</v>
      </c>
      <c r="BK59" s="45">
        <f t="shared" si="77"/>
        <v>4151.1707317073169</v>
      </c>
      <c r="BL59" s="44">
        <f t="shared" si="78"/>
        <v>0</v>
      </c>
      <c r="BM59" s="45">
        <f t="shared" si="79"/>
        <v>0</v>
      </c>
      <c r="BN59" s="44">
        <f t="shared" si="80"/>
        <v>2.5929215536343381E-2</v>
      </c>
      <c r="BO59" s="45">
        <f t="shared" si="81"/>
        <v>136.41869918699186</v>
      </c>
      <c r="BP59" s="44">
        <f t="shared" si="82"/>
        <v>0</v>
      </c>
      <c r="BQ59" s="45">
        <f t="shared" si="83"/>
        <v>0</v>
      </c>
      <c r="BR59" s="44">
        <f t="shared" si="84"/>
        <v>3.1365550364964974E-2</v>
      </c>
      <c r="BS59" s="45">
        <f t="shared" si="85"/>
        <v>165.02032520325204</v>
      </c>
      <c r="BT59" s="44">
        <f t="shared" si="86"/>
        <v>1.0453509389402479E-2</v>
      </c>
      <c r="BU59" s="45">
        <f t="shared" si="87"/>
        <v>54.997967479674799</v>
      </c>
      <c r="BV59" s="44">
        <f t="shared" si="88"/>
        <v>4.7911757066916565E-3</v>
      </c>
      <c r="BW59" s="45">
        <f t="shared" si="89"/>
        <v>25.207317073170731</v>
      </c>
      <c r="BX59" s="44">
        <f t="shared" si="90"/>
        <v>2.4042337582253447E-2</v>
      </c>
      <c r="BY59" s="45">
        <f t="shared" si="91"/>
        <v>126.49146341463415</v>
      </c>
      <c r="BZ59" s="46">
        <f t="shared" si="92"/>
        <v>2.3565839280354748E-2</v>
      </c>
      <c r="CA59" s="47">
        <f t="shared" si="93"/>
        <v>123.98451219512195</v>
      </c>
      <c r="CB59" s="44">
        <f t="shared" si="94"/>
        <v>2.6129802074839465E-2</v>
      </c>
      <c r="CC59" s="48">
        <f t="shared" si="95"/>
        <v>137.4740243902439</v>
      </c>
      <c r="CD59" s="46">
        <f t="shared" si="64"/>
        <v>0.50920618370949478</v>
      </c>
      <c r="CE59" s="49">
        <f t="shared" si="65"/>
        <v>0.45154733302615518</v>
      </c>
      <c r="CF59" s="49">
        <f t="shared" si="66"/>
        <v>0.45194366629808758</v>
      </c>
      <c r="CG59" s="47">
        <f t="shared" si="67"/>
        <v>2375.679268292683</v>
      </c>
      <c r="CH59" s="44">
        <f t="shared" si="2"/>
        <v>0.16269285390954616</v>
      </c>
      <c r="CI59" s="50">
        <f t="shared" si="3"/>
        <v>0.14427068373384258</v>
      </c>
      <c r="CJ59" s="50">
        <f t="shared" si="4"/>
        <v>0.14439731336477177</v>
      </c>
      <c r="CK59" s="45">
        <f t="shared" si="5"/>
        <v>759.03642276422761</v>
      </c>
      <c r="CL59" s="46">
        <f t="shared" si="6"/>
        <v>4.4160572574148203E-2</v>
      </c>
      <c r="CM59" s="49">
        <f t="shared" si="68"/>
        <v>3.9160146535339058E-2</v>
      </c>
      <c r="CN59" s="49">
        <f t="shared" si="69"/>
        <v>3.9194518278610556E-2</v>
      </c>
      <c r="CO59" s="47">
        <f t="shared" si="70"/>
        <v>206.02922764227642</v>
      </c>
      <c r="CP59" s="44">
        <f t="shared" si="7"/>
        <v>4.9570512144109888E-2</v>
      </c>
      <c r="CQ59" s="50">
        <f t="shared" si="8"/>
        <v>4.3957503407270768E-2</v>
      </c>
      <c r="CR59" s="50">
        <f t="shared" si="71"/>
        <v>4.3996085898799671E-2</v>
      </c>
      <c r="CS59" s="45">
        <f t="shared" si="9"/>
        <v>231.26906504065042</v>
      </c>
      <c r="CT59" s="46">
        <f t="shared" si="10"/>
        <v>0.74613972808215334</v>
      </c>
      <c r="CU59" s="49">
        <f t="shared" si="11"/>
        <v>0.66165222469601903</v>
      </c>
      <c r="CV59" s="49">
        <f t="shared" si="12"/>
        <v>0.66223297176706852</v>
      </c>
      <c r="CW59" s="47">
        <f t="shared" si="13"/>
        <v>3481.0823983739838</v>
      </c>
      <c r="CX59" s="44">
        <f t="shared" si="14"/>
        <v>2.8350165768176307E-2</v>
      </c>
      <c r="CY59" s="50">
        <f t="shared" si="15"/>
        <v>2.5162062573729174E-2</v>
      </c>
      <c r="CZ59" s="48">
        <f t="shared" si="16"/>
        <v>19.925015309246785</v>
      </c>
      <c r="DA59" s="45">
        <f t="shared" si="17"/>
        <v>132.26646341463413</v>
      </c>
      <c r="DB59" s="51">
        <f t="shared" si="18"/>
        <v>1.2563418836784089E-3</v>
      </c>
      <c r="DC59" s="52">
        <f t="shared" si="19"/>
        <v>6.604065040650406</v>
      </c>
      <c r="DD59" s="44">
        <f t="shared" si="20"/>
        <v>1.0641653477331052E-2</v>
      </c>
      <c r="DE59" s="50">
        <f t="shared" si="21"/>
        <v>9.4449518522787546E-3</v>
      </c>
      <c r="DF59" s="48">
        <f t="shared" si="22"/>
        <v>7.4791488058787516</v>
      </c>
      <c r="DG59" s="45">
        <f t="shared" si="23"/>
        <v>49.648170731707317</v>
      </c>
      <c r="DH59" s="46">
        <f t="shared" si="24"/>
        <v>5.2147321514958711E-3</v>
      </c>
      <c r="DI59" s="49">
        <f t="shared" si="25"/>
        <v>4.6283121507693778E-3</v>
      </c>
      <c r="DJ59" s="47">
        <f t="shared" si="26"/>
        <v>3.6650091855480711</v>
      </c>
      <c r="DK59" s="44">
        <f t="shared" si="27"/>
        <v>5.5375127237828295E-2</v>
      </c>
      <c r="DL59" s="50">
        <f t="shared" si="28"/>
        <v>4.9104845581550496E-2</v>
      </c>
      <c r="DM59" s="50">
        <f t="shared" si="29"/>
        <v>4.9147946011325251E-2</v>
      </c>
      <c r="DN59" s="45">
        <f t="shared" si="30"/>
        <v>258.35024390243905</v>
      </c>
      <c r="DO59" s="46">
        <f t="shared" si="31"/>
        <v>1.8467411190191518E-2</v>
      </c>
      <c r="DP59" s="49">
        <f t="shared" si="32"/>
        <v>1.6390668038491575E-2</v>
      </c>
      <c r="DQ59" s="47">
        <f t="shared" si="33"/>
        <v>86.158902439024388</v>
      </c>
      <c r="DR59" s="53">
        <f t="shared" si="34"/>
        <v>5.2583970690717761E-2</v>
      </c>
      <c r="DS59" s="45">
        <f t="shared" si="35"/>
        <v>276.41199186991872</v>
      </c>
      <c r="DT59" s="46">
        <f t="shared" si="96"/>
        <v>3.5723550067390715E-5</v>
      </c>
      <c r="DU59" s="49">
        <f t="shared" si="97"/>
        <v>3.1678471855242369E-5</v>
      </c>
      <c r="DV59" s="49">
        <f t="shared" si="98"/>
        <v>3.1706276764012537E-5</v>
      </c>
      <c r="DW59" s="47">
        <f t="shared" si="99"/>
        <v>0.16666666666666666</v>
      </c>
      <c r="DY59" s="54">
        <f>VLOOKUP(A59,'[3]Barnet Schools'!$E$8:$V$130,17,0)</f>
        <v>41</v>
      </c>
    </row>
    <row r="60" spans="1:129">
      <c r="A60" s="79">
        <v>2078</v>
      </c>
      <c r="B60" s="80">
        <v>10129</v>
      </c>
      <c r="C60" s="573" t="s">
        <v>88</v>
      </c>
      <c r="D60" s="595">
        <f>VLOOKUP(A60,[4]CFR20152016_BenchMarkDataReport!$B$3:$BO$99,18,0)</f>
        <v>1058261</v>
      </c>
      <c r="E60" s="595">
        <f>VLOOKUP(A60,[4]CFR20152016_BenchMarkDataReport!$B$3:$BO$99,19,0)</f>
        <v>0</v>
      </c>
      <c r="F60" s="595">
        <f>VLOOKUP(A60,[4]CFR20152016_BenchMarkDataReport!$B$3:$BO$99,20,0)</f>
        <v>23064</v>
      </c>
      <c r="G60" s="595">
        <f>VLOOKUP(A60,[4]CFR20152016_BenchMarkDataReport!$B$3:$BO$99,21,0)</f>
        <v>0</v>
      </c>
      <c r="H60" s="595">
        <f>VLOOKUP(A60,[4]CFR20152016_BenchMarkDataReport!$B$3:$BO$99,22,0)</f>
        <v>31074.53</v>
      </c>
      <c r="I60" s="595">
        <f>VLOOKUP(A60,[4]CFR20152016_BenchMarkDataReport!$B$3:$BO$99,23,0)</f>
        <v>0</v>
      </c>
      <c r="J60" s="595">
        <f>VLOOKUP(A60,[4]CFR20152016_BenchMarkDataReport!$B$3:$BO$99,24,0)</f>
        <v>1285</v>
      </c>
      <c r="K60" s="595">
        <f>VLOOKUP(A60,[4]CFR20152016_BenchMarkDataReport!$B$3:$BO$99,25,0)</f>
        <v>25288.7</v>
      </c>
      <c r="L60" s="595">
        <f>VLOOKUP(A60,[4]CFR20152016_BenchMarkDataReport!$B$3:$BO$99,26,0)</f>
        <v>21631.51</v>
      </c>
      <c r="M60" s="595">
        <f>VLOOKUP(A60,[4]CFR20152016_BenchMarkDataReport!$B$3:$BO$99,27,0)</f>
        <v>5642.55</v>
      </c>
      <c r="N60" s="595">
        <f>VLOOKUP(A60,[4]CFR20152016_BenchMarkDataReport!$B$3:$BO$99,28,0)</f>
        <v>1150.03</v>
      </c>
      <c r="O60" s="595">
        <f>VLOOKUP(A60,[4]CFR20152016_BenchMarkDataReport!$B$3:$BO$99,29,0)</f>
        <v>23519.85</v>
      </c>
      <c r="P60" s="595">
        <f>VLOOKUP(A60,[4]CFR20152016_BenchMarkDataReport!$B$3:$BO$99,30,0)</f>
        <v>117389.33</v>
      </c>
      <c r="Q60" s="595">
        <f>VLOOKUP(A60,[4]CFR20152016_BenchMarkDataReport!$B$3:$BO$99,31,0)</f>
        <v>0</v>
      </c>
      <c r="R60" s="595">
        <f>VLOOKUP(A60,[4]CFR20152016_BenchMarkDataReport!$B$3:$BO$99,32,0)</f>
        <v>0</v>
      </c>
      <c r="S60" s="595">
        <f>VLOOKUP(A60,[4]CFR20152016_BenchMarkDataReport!$B$3:$BO$99,33,0)</f>
        <v>0</v>
      </c>
      <c r="T60" s="595">
        <f>VLOOKUP(A60,[4]CFR20152016_BenchMarkDataReport!$B$3:$BO$99,34,0)</f>
        <v>37322.5</v>
      </c>
      <c r="U60" s="595">
        <f>VLOOKUP(A60,[4]CFR20152016_BenchMarkDataReport!$B$3:$BO$99,35,0)</f>
        <v>605597.55000000005</v>
      </c>
      <c r="V60" s="595">
        <f>VLOOKUP(A60,[4]CFR20152016_BenchMarkDataReport!$B$3:$BO$99,36,0)</f>
        <v>0</v>
      </c>
      <c r="W60" s="595">
        <f>VLOOKUP(A60,[4]CFR20152016_BenchMarkDataReport!$B$3:$BO$99,37,0)</f>
        <v>219761.42</v>
      </c>
      <c r="X60" s="595">
        <f>VLOOKUP(A60,[4]CFR20152016_BenchMarkDataReport!$B$3:$BO$99,38,0)</f>
        <v>25670.52</v>
      </c>
      <c r="Y60" s="595">
        <f>VLOOKUP(A60,[4]CFR20152016_BenchMarkDataReport!$B$3:$BO$99,39,0)</f>
        <v>98599.02</v>
      </c>
      <c r="Z60" s="595">
        <f>VLOOKUP(A60,[4]CFR20152016_BenchMarkDataReport!$B$3:$BO$99,40,0)</f>
        <v>0</v>
      </c>
      <c r="AA60" s="595">
        <f>VLOOKUP(A60,[4]CFR20152016_BenchMarkDataReport!$B$3:$BO$99,41,0)</f>
        <v>18966.349999999999</v>
      </c>
      <c r="AB60" s="595">
        <f>VLOOKUP(A60,[4]CFR20152016_BenchMarkDataReport!$B$3:$BO$99,42,0)</f>
        <v>8615.77</v>
      </c>
      <c r="AC60" s="595">
        <f>VLOOKUP(A60,[4]CFR20152016_BenchMarkDataReport!$B$3:$BO$99,43,0)</f>
        <v>4675.8100000000004</v>
      </c>
      <c r="AD60" s="595">
        <f>VLOOKUP(A60,[4]CFR20152016_BenchMarkDataReport!$B$3:$BO$99,44,0)</f>
        <v>9781</v>
      </c>
      <c r="AE60" s="595">
        <f>VLOOKUP(A60,[4]CFR20152016_BenchMarkDataReport!$B$3:$BO$99,45,0)</f>
        <v>0</v>
      </c>
      <c r="AF60" s="595">
        <f>VLOOKUP(A60,[4]CFR20152016_BenchMarkDataReport!$B$3:$BO$99,46,0)</f>
        <v>12726.21</v>
      </c>
      <c r="AG60" s="595">
        <f>VLOOKUP(A60,[4]CFR20152016_BenchMarkDataReport!$B$3:$BO$99,47,0)</f>
        <v>0</v>
      </c>
      <c r="AH60" s="595">
        <f>VLOOKUP(A60,[4]CFR20152016_BenchMarkDataReport!$B$3:$BO$99,48,0)</f>
        <v>25958.86</v>
      </c>
      <c r="AI60" s="595">
        <f>VLOOKUP(A60,[4]CFR20152016_BenchMarkDataReport!$B$3:$BO$99,49,0)</f>
        <v>5302.4</v>
      </c>
      <c r="AJ60" s="595">
        <f>VLOOKUP(A60,[4]CFR20152016_BenchMarkDataReport!$B$3:$BO$99,50,0)</f>
        <v>10263.42</v>
      </c>
      <c r="AK60" s="595">
        <f>VLOOKUP(A60,[4]CFR20152016_BenchMarkDataReport!$B$3:$BO$99,51,0)</f>
        <v>0</v>
      </c>
      <c r="AL60" s="595">
        <f>VLOOKUP(A60,[4]CFR20152016_BenchMarkDataReport!$B$3:$BO$99,52,0)</f>
        <v>58847.25</v>
      </c>
      <c r="AM60" s="595">
        <f>VLOOKUP(A60,[4]CFR20152016_BenchMarkDataReport!$B$3:$BO$99,53,0)</f>
        <v>79838.05</v>
      </c>
      <c r="AN60" s="595">
        <f>VLOOKUP(A60,[4]CFR20152016_BenchMarkDataReport!$B$3:$BO$99,54,0)</f>
        <v>6261.96</v>
      </c>
      <c r="AO60" s="595">
        <f>VLOOKUP(A60,[4]CFR20152016_BenchMarkDataReport!$B$3:$BO$99,55,0)</f>
        <v>0</v>
      </c>
      <c r="AP60" s="595">
        <f>VLOOKUP(A60,[4]CFR20152016_BenchMarkDataReport!$B$3:$BO$99,56,0)</f>
        <v>8229.9500000000007</v>
      </c>
      <c r="AQ60" s="595">
        <f>VLOOKUP(A60,[4]CFR20152016_BenchMarkDataReport!$B$3:$BO$99,57,0)</f>
        <v>1063</v>
      </c>
      <c r="AR60" s="595">
        <f>VLOOKUP(A60,[4]CFR20152016_BenchMarkDataReport!$B$3:$BO$99,58,0)</f>
        <v>7794</v>
      </c>
      <c r="AS60" s="595">
        <f>VLOOKUP(A60,[4]CFR20152016_BenchMarkDataReport!$B$3:$BO$99,59,0)</f>
        <v>68594.75</v>
      </c>
      <c r="AT60" s="595">
        <f>VLOOKUP(A60,[4]CFR20152016_BenchMarkDataReport!$B$3:$BO$99,60,0)</f>
        <v>22693.599999999999</v>
      </c>
      <c r="AU60" s="595">
        <f>VLOOKUP(A60,[4]CFR20152016_BenchMarkDataReport!$B$3:$BO$99,61,0)</f>
        <v>30562.01</v>
      </c>
      <c r="AV60" s="595">
        <f>VLOOKUP(A60,[4]CFR20152016_BenchMarkDataReport!$B$3:$BO$99,62,0)</f>
        <v>21917.85</v>
      </c>
      <c r="AW60" s="595">
        <f>VLOOKUP(A60,[4]CFR20152016_BenchMarkDataReport!$B$3:$BO$99,63,0)</f>
        <v>0</v>
      </c>
      <c r="AX60" s="595">
        <f>VLOOKUP(A60,[4]CFR20152016_BenchMarkDataReport!$B$3:$BO$99,64,0)</f>
        <v>0</v>
      </c>
      <c r="AY60" s="595">
        <f>VLOOKUP(A60,[4]CFR20152016_BenchMarkDataReport!$B$3:$BO$99,65,0)</f>
        <v>0</v>
      </c>
      <c r="AZ60" s="595">
        <f>VLOOKUP(A60,[4]CFR20152016_BenchMarkDataReport!$B$3:$BO$99,66,0)</f>
        <v>0</v>
      </c>
      <c r="BA60" s="596">
        <f t="shared" si="0"/>
        <v>1345629.0000000002</v>
      </c>
      <c r="BB60" s="595">
        <f t="shared" si="42"/>
        <v>1351720.7500000002</v>
      </c>
      <c r="BC60" s="601">
        <f t="shared" si="43"/>
        <v>-6091.75</v>
      </c>
      <c r="BD60" s="595">
        <f>VLOOKUP(A60,[4]CFR20152016_BenchMarkDataReport!$B$3:$BO$99,15,0)</f>
        <v>-45530</v>
      </c>
      <c r="BE60" s="601">
        <f t="shared" si="1"/>
        <v>-51621.75</v>
      </c>
      <c r="BF60" s="76">
        <f>VLOOKUP(A60,'OCT 15 CENSUS'!$B$9:$U$132,20,0)</f>
        <v>265</v>
      </c>
      <c r="BG60" s="73">
        <f>VLOOKUP(A60,'[2]BUDGET SHARE inc ADJUSTMENTS'!$D$4:$M$139,10,0)</f>
        <v>1092540.0166110401</v>
      </c>
      <c r="BH60" s="76">
        <f>VLOOKUP(A60,'12-13 Pupil Data'!A:CI,81,0)</f>
        <v>2234.8000000000002</v>
      </c>
      <c r="BI60" t="s">
        <v>210</v>
      </c>
      <c r="BJ60" s="44">
        <f t="shared" si="76"/>
        <v>0.78644336589059827</v>
      </c>
      <c r="BK60" s="45">
        <f t="shared" si="77"/>
        <v>3993.4377358490565</v>
      </c>
      <c r="BL60" s="44">
        <f t="shared" si="78"/>
        <v>0</v>
      </c>
      <c r="BM60" s="45">
        <f t="shared" si="79"/>
        <v>0</v>
      </c>
      <c r="BN60" s="44">
        <f t="shared" si="80"/>
        <v>1.7139939760513482E-2</v>
      </c>
      <c r="BO60" s="45">
        <f t="shared" si="81"/>
        <v>87.033962264150944</v>
      </c>
      <c r="BP60" s="44">
        <f t="shared" si="82"/>
        <v>0</v>
      </c>
      <c r="BQ60" s="45">
        <f t="shared" si="83"/>
        <v>0</v>
      </c>
      <c r="BR60" s="44">
        <f t="shared" si="84"/>
        <v>2.3092940178905175E-2</v>
      </c>
      <c r="BS60" s="45">
        <f t="shared" si="85"/>
        <v>117.26237735849057</v>
      </c>
      <c r="BT60" s="44">
        <f t="shared" si="86"/>
        <v>0</v>
      </c>
      <c r="BU60" s="45">
        <f t="shared" si="87"/>
        <v>0</v>
      </c>
      <c r="BV60" s="44">
        <f t="shared" si="88"/>
        <v>9.5494374749652375E-4</v>
      </c>
      <c r="BW60" s="45">
        <f t="shared" si="89"/>
        <v>4.8490566037735849</v>
      </c>
      <c r="BX60" s="44">
        <f t="shared" si="90"/>
        <v>1.8793218636043066E-2</v>
      </c>
      <c r="BY60" s="45">
        <f t="shared" si="91"/>
        <v>95.429056603773589</v>
      </c>
      <c r="BZ60" s="46">
        <f t="shared" si="92"/>
        <v>1.7478703268137052E-2</v>
      </c>
      <c r="CA60" s="47">
        <f t="shared" si="93"/>
        <v>88.754150943396226</v>
      </c>
      <c r="CB60" s="44">
        <f t="shared" si="94"/>
        <v>8.7237514946541708E-2</v>
      </c>
      <c r="CC60" s="48">
        <f t="shared" si="95"/>
        <v>442.97860377358489</v>
      </c>
      <c r="CD60" s="46">
        <f t="shared" si="64"/>
        <v>0.57507381006409464</v>
      </c>
      <c r="CE60" s="49">
        <f t="shared" si="65"/>
        <v>0.46691261112832727</v>
      </c>
      <c r="CF60" s="49">
        <f t="shared" si="66"/>
        <v>0.46480839330164897</v>
      </c>
      <c r="CG60" s="47">
        <f t="shared" si="67"/>
        <v>2370.9100000000003</v>
      </c>
      <c r="CH60" s="44">
        <f t="shared" si="2"/>
        <v>0.20114725013156037</v>
      </c>
      <c r="CI60" s="50">
        <f t="shared" si="3"/>
        <v>0.16331501476261284</v>
      </c>
      <c r="CJ60" s="50">
        <f t="shared" si="4"/>
        <v>0.1625790090149907</v>
      </c>
      <c r="CK60" s="45">
        <f t="shared" si="5"/>
        <v>829.28837735849061</v>
      </c>
      <c r="CL60" s="46">
        <f t="shared" si="6"/>
        <v>2.3496182848869573E-2</v>
      </c>
      <c r="CM60" s="49">
        <f t="shared" si="68"/>
        <v>1.9076966979754445E-2</v>
      </c>
      <c r="CN60" s="49">
        <f t="shared" si="69"/>
        <v>1.8990993516967168E-2</v>
      </c>
      <c r="CO60" s="47">
        <f t="shared" si="70"/>
        <v>96.869886792452832</v>
      </c>
      <c r="CP60" s="44">
        <f t="shared" si="7"/>
        <v>9.0247513592998832E-2</v>
      </c>
      <c r="CQ60" s="50">
        <f t="shared" si="8"/>
        <v>7.3273554597886925E-2</v>
      </c>
      <c r="CR60" s="50">
        <f t="shared" si="71"/>
        <v>7.2943335374558674E-2</v>
      </c>
      <c r="CS60" s="45">
        <f t="shared" si="9"/>
        <v>372.07177358490566</v>
      </c>
      <c r="CT60" s="46">
        <f t="shared" si="10"/>
        <v>0.88655321111669061</v>
      </c>
      <c r="CU60" s="49">
        <f t="shared" si="11"/>
        <v>0.71980825324067776</v>
      </c>
      <c r="CV60" s="49">
        <f t="shared" si="12"/>
        <v>0.71656431996031722</v>
      </c>
      <c r="CW60" s="47">
        <f t="shared" si="13"/>
        <v>3655.0749433962269</v>
      </c>
      <c r="CX60" s="44">
        <f t="shared" si="14"/>
        <v>1.1648278146804679E-2</v>
      </c>
      <c r="CY60" s="50">
        <f t="shared" si="15"/>
        <v>9.4148218113837469E-3</v>
      </c>
      <c r="CZ60" s="48">
        <f t="shared" si="16"/>
        <v>5.6945632718811519</v>
      </c>
      <c r="DA60" s="45">
        <f t="shared" si="17"/>
        <v>48.02343396226415</v>
      </c>
      <c r="DB60" s="51">
        <f t="shared" si="18"/>
        <v>3.9227037093275356E-3</v>
      </c>
      <c r="DC60" s="52">
        <f t="shared" si="19"/>
        <v>20.009056603773583</v>
      </c>
      <c r="DD60" s="44">
        <f t="shared" si="20"/>
        <v>9.3940906913745799E-3</v>
      </c>
      <c r="DE60" s="50">
        <f t="shared" si="21"/>
        <v>7.5928552550517539E-3</v>
      </c>
      <c r="DF60" s="48">
        <f t="shared" si="22"/>
        <v>4.5925451942008229</v>
      </c>
      <c r="DG60" s="45">
        <f t="shared" si="23"/>
        <v>38.729886792452831</v>
      </c>
      <c r="DH60" s="46">
        <f t="shared" si="24"/>
        <v>5.3862786813556565E-2</v>
      </c>
      <c r="DI60" s="49">
        <f t="shared" si="25"/>
        <v>4.3535064472451125E-2</v>
      </c>
      <c r="DJ60" s="47">
        <f t="shared" si="26"/>
        <v>26.332222122785033</v>
      </c>
      <c r="DK60" s="44">
        <f t="shared" si="27"/>
        <v>7.3075629987128882E-2</v>
      </c>
      <c r="DL60" s="50">
        <f t="shared" si="28"/>
        <v>5.9331398178844232E-2</v>
      </c>
      <c r="DM60" s="50">
        <f t="shared" si="29"/>
        <v>5.9064011557120794E-2</v>
      </c>
      <c r="DN60" s="45">
        <f t="shared" si="30"/>
        <v>301.27566037735852</v>
      </c>
      <c r="DO60" s="46">
        <f t="shared" si="31"/>
        <v>7.5328590942861373E-3</v>
      </c>
      <c r="DP60" s="49">
        <f t="shared" si="32"/>
        <v>6.0884986784437538E-3</v>
      </c>
      <c r="DQ60" s="47">
        <f t="shared" si="33"/>
        <v>31.056415094339627</v>
      </c>
      <c r="DR60" s="53">
        <f t="shared" si="34"/>
        <v>5.0746243260673472E-2</v>
      </c>
      <c r="DS60" s="45">
        <f t="shared" si="35"/>
        <v>258.84811320754716</v>
      </c>
      <c r="DT60" s="46">
        <f t="shared" si="96"/>
        <v>2.1967158763159833E-5</v>
      </c>
      <c r="DU60" s="49">
        <f t="shared" si="97"/>
        <v>1.7835525245071261E-5</v>
      </c>
      <c r="DV60" s="49">
        <f t="shared" si="98"/>
        <v>1.7755146541917031E-5</v>
      </c>
      <c r="DW60" s="47">
        <f t="shared" si="99"/>
        <v>9.056603773584905E-2</v>
      </c>
      <c r="DY60" s="54">
        <f>VLOOKUP(A60,'[3]Barnet Schools'!$E$8:$V$130,17,0)</f>
        <v>24</v>
      </c>
    </row>
    <row r="61" spans="1:129">
      <c r="A61" s="79">
        <v>2071</v>
      </c>
      <c r="B61" s="80">
        <v>10119</v>
      </c>
      <c r="C61" s="573" t="s">
        <v>90</v>
      </c>
      <c r="D61" s="595">
        <f>VLOOKUP(A61,[4]CFR20152016_BenchMarkDataReport!$B$3:$BO$99,18,0)</f>
        <v>1494720</v>
      </c>
      <c r="E61" s="595">
        <f>VLOOKUP(A61,[4]CFR20152016_BenchMarkDataReport!$B$3:$BO$99,19,0)</f>
        <v>0</v>
      </c>
      <c r="F61" s="595">
        <f>VLOOKUP(A61,[4]CFR20152016_BenchMarkDataReport!$B$3:$BO$99,20,0)</f>
        <v>63729</v>
      </c>
      <c r="G61" s="595">
        <f>VLOOKUP(A61,[4]CFR20152016_BenchMarkDataReport!$B$3:$BO$99,21,0)</f>
        <v>0</v>
      </c>
      <c r="H61" s="595">
        <f>VLOOKUP(A61,[4]CFR20152016_BenchMarkDataReport!$B$3:$BO$99,22,0)</f>
        <v>102104</v>
      </c>
      <c r="I61" s="595">
        <f>VLOOKUP(A61,[4]CFR20152016_BenchMarkDataReport!$B$3:$BO$99,23,0)</f>
        <v>4350</v>
      </c>
      <c r="J61" s="595">
        <f>VLOOKUP(A61,[4]CFR20152016_BenchMarkDataReport!$B$3:$BO$99,24,0)</f>
        <v>859</v>
      </c>
      <c r="K61" s="595">
        <f>VLOOKUP(A61,[4]CFR20152016_BenchMarkDataReport!$B$3:$BO$99,25,0)</f>
        <v>38753.160000000003</v>
      </c>
      <c r="L61" s="595">
        <f>VLOOKUP(A61,[4]CFR20152016_BenchMarkDataReport!$B$3:$BO$99,26,0)</f>
        <v>6068.5</v>
      </c>
      <c r="M61" s="595">
        <f>VLOOKUP(A61,[4]CFR20152016_BenchMarkDataReport!$B$3:$BO$99,27,0)</f>
        <v>33351.4</v>
      </c>
      <c r="N61" s="595">
        <f>VLOOKUP(A61,[4]CFR20152016_BenchMarkDataReport!$B$3:$BO$99,28,0)</f>
        <v>4760.62</v>
      </c>
      <c r="O61" s="595">
        <f>VLOOKUP(A61,[4]CFR20152016_BenchMarkDataReport!$B$3:$BO$99,29,0)</f>
        <v>9579.5</v>
      </c>
      <c r="P61" s="595">
        <f>VLOOKUP(A61,[4]CFR20152016_BenchMarkDataReport!$B$3:$BO$99,30,0)</f>
        <v>3511.98</v>
      </c>
      <c r="Q61" s="595">
        <f>VLOOKUP(A61,[4]CFR20152016_BenchMarkDataReport!$B$3:$BO$99,31,0)</f>
        <v>0</v>
      </c>
      <c r="R61" s="595">
        <f>VLOOKUP(A61,[4]CFR20152016_BenchMarkDataReport!$B$3:$BO$99,32,0)</f>
        <v>0</v>
      </c>
      <c r="S61" s="595">
        <f>VLOOKUP(A61,[4]CFR20152016_BenchMarkDataReport!$B$3:$BO$99,33,0)</f>
        <v>0</v>
      </c>
      <c r="T61" s="595">
        <f>VLOOKUP(A61,[4]CFR20152016_BenchMarkDataReport!$B$3:$BO$99,34,0)</f>
        <v>106233.66</v>
      </c>
      <c r="U61" s="595">
        <f>VLOOKUP(A61,[4]CFR20152016_BenchMarkDataReport!$B$3:$BO$99,35,0)</f>
        <v>598267.06999999995</v>
      </c>
      <c r="V61" s="595">
        <f>VLOOKUP(A61,[4]CFR20152016_BenchMarkDataReport!$B$3:$BO$99,36,0)</f>
        <v>0</v>
      </c>
      <c r="W61" s="595">
        <f>VLOOKUP(A61,[4]CFR20152016_BenchMarkDataReport!$B$3:$BO$99,37,0)</f>
        <v>547894.81999999995</v>
      </c>
      <c r="X61" s="595">
        <f>VLOOKUP(A61,[4]CFR20152016_BenchMarkDataReport!$B$3:$BO$99,38,0)</f>
        <v>24739.4</v>
      </c>
      <c r="Y61" s="595">
        <f>VLOOKUP(A61,[4]CFR20152016_BenchMarkDataReport!$B$3:$BO$99,39,0)</f>
        <v>95189.27</v>
      </c>
      <c r="Z61" s="595">
        <f>VLOOKUP(A61,[4]CFR20152016_BenchMarkDataReport!$B$3:$BO$99,40,0)</f>
        <v>0</v>
      </c>
      <c r="AA61" s="595">
        <f>VLOOKUP(A61,[4]CFR20152016_BenchMarkDataReport!$B$3:$BO$99,41,0)</f>
        <v>13699.13</v>
      </c>
      <c r="AB61" s="595">
        <f>VLOOKUP(A61,[4]CFR20152016_BenchMarkDataReport!$B$3:$BO$99,42,0)</f>
        <v>6640.2</v>
      </c>
      <c r="AC61" s="595">
        <f>VLOOKUP(A61,[4]CFR20152016_BenchMarkDataReport!$B$3:$BO$99,43,0)</f>
        <v>15180.69</v>
      </c>
      <c r="AD61" s="595">
        <f>VLOOKUP(A61,[4]CFR20152016_BenchMarkDataReport!$B$3:$BO$99,44,0)</f>
        <v>8484.02</v>
      </c>
      <c r="AE61" s="595">
        <f>VLOOKUP(A61,[4]CFR20152016_BenchMarkDataReport!$B$3:$BO$99,45,0)</f>
        <v>8642.6</v>
      </c>
      <c r="AF61" s="595">
        <f>VLOOKUP(A61,[4]CFR20152016_BenchMarkDataReport!$B$3:$BO$99,46,0)</f>
        <v>29533.5</v>
      </c>
      <c r="AG61" s="595">
        <f>VLOOKUP(A61,[4]CFR20152016_BenchMarkDataReport!$B$3:$BO$99,47,0)</f>
        <v>6162.24</v>
      </c>
      <c r="AH61" s="595">
        <f>VLOOKUP(A61,[4]CFR20152016_BenchMarkDataReport!$B$3:$BO$99,48,0)</f>
        <v>33479.410000000003</v>
      </c>
      <c r="AI61" s="595">
        <f>VLOOKUP(A61,[4]CFR20152016_BenchMarkDataReport!$B$3:$BO$99,49,0)</f>
        <v>4399.8</v>
      </c>
      <c r="AJ61" s="595">
        <f>VLOOKUP(A61,[4]CFR20152016_BenchMarkDataReport!$B$3:$BO$99,50,0)</f>
        <v>20690.14</v>
      </c>
      <c r="AK61" s="595">
        <f>VLOOKUP(A61,[4]CFR20152016_BenchMarkDataReport!$B$3:$BO$99,51,0)</f>
        <v>19473.5</v>
      </c>
      <c r="AL61" s="595">
        <f>VLOOKUP(A61,[4]CFR20152016_BenchMarkDataReport!$B$3:$BO$99,52,0)</f>
        <v>4568.3</v>
      </c>
      <c r="AM61" s="595">
        <f>VLOOKUP(A61,[4]CFR20152016_BenchMarkDataReport!$B$3:$BO$99,53,0)</f>
        <v>39239.620000000003</v>
      </c>
      <c r="AN61" s="595">
        <f>VLOOKUP(A61,[4]CFR20152016_BenchMarkDataReport!$B$3:$BO$99,54,0)</f>
        <v>21947.84</v>
      </c>
      <c r="AO61" s="595">
        <f>VLOOKUP(A61,[4]CFR20152016_BenchMarkDataReport!$B$3:$BO$99,55,0)</f>
        <v>0</v>
      </c>
      <c r="AP61" s="595">
        <f>VLOOKUP(A61,[4]CFR20152016_BenchMarkDataReport!$B$3:$BO$99,56,0)</f>
        <v>13770.81</v>
      </c>
      <c r="AQ61" s="595">
        <f>VLOOKUP(A61,[4]CFR20152016_BenchMarkDataReport!$B$3:$BO$99,57,0)</f>
        <v>5503.65</v>
      </c>
      <c r="AR61" s="595">
        <f>VLOOKUP(A61,[4]CFR20152016_BenchMarkDataReport!$B$3:$BO$99,58,0)</f>
        <v>4608.9799999999996</v>
      </c>
      <c r="AS61" s="595">
        <f>VLOOKUP(A61,[4]CFR20152016_BenchMarkDataReport!$B$3:$BO$99,59,0)</f>
        <v>93006.55</v>
      </c>
      <c r="AT61" s="595">
        <f>VLOOKUP(A61,[4]CFR20152016_BenchMarkDataReport!$B$3:$BO$99,60,0)</f>
        <v>111379.78</v>
      </c>
      <c r="AU61" s="595">
        <f>VLOOKUP(A61,[4]CFR20152016_BenchMarkDataReport!$B$3:$BO$99,61,0)</f>
        <v>95098.5</v>
      </c>
      <c r="AV61" s="595">
        <f>VLOOKUP(A61,[4]CFR20152016_BenchMarkDataReport!$B$3:$BO$99,62,0)</f>
        <v>10223</v>
      </c>
      <c r="AW61" s="595">
        <f>VLOOKUP(A61,[4]CFR20152016_BenchMarkDataReport!$B$3:$BO$99,63,0)</f>
        <v>0</v>
      </c>
      <c r="AX61" s="595">
        <f>VLOOKUP(A61,[4]CFR20152016_BenchMarkDataReport!$B$3:$BO$99,64,0)</f>
        <v>4876</v>
      </c>
      <c r="AY61" s="595">
        <f>VLOOKUP(A61,[4]CFR20152016_BenchMarkDataReport!$B$3:$BO$99,65,0)</f>
        <v>0</v>
      </c>
      <c r="AZ61" s="595">
        <f>VLOOKUP(A61,[4]CFR20152016_BenchMarkDataReport!$B$3:$BO$99,66,0)</f>
        <v>0</v>
      </c>
      <c r="BA61" s="596">
        <f t="shared" si="0"/>
        <v>1868020.8199999998</v>
      </c>
      <c r="BB61" s="595">
        <f t="shared" si="42"/>
        <v>1836698.8199999998</v>
      </c>
      <c r="BC61" s="601">
        <f t="shared" si="43"/>
        <v>31322</v>
      </c>
      <c r="BD61" s="595">
        <f>VLOOKUP(A61,[4]CFR20152016_BenchMarkDataReport!$B$3:$BO$99,15,0)</f>
        <v>60873</v>
      </c>
      <c r="BE61" s="601">
        <f t="shared" si="1"/>
        <v>92195</v>
      </c>
      <c r="BF61" s="76">
        <f>VLOOKUP(A61,'OCT 15 CENSUS'!$B$9:$U$132,20,0)</f>
        <v>320</v>
      </c>
      <c r="BG61" s="73">
        <f>VLOOKUP(A61,'[2]BUDGET SHARE inc ADJUSTMENTS'!$D$4:$M$139,10,0)</f>
        <v>1762691.033561972</v>
      </c>
      <c r="BH61" s="76">
        <f>VLOOKUP(A61,'12-13 Pupil Data'!A:CI,81,0)</f>
        <v>1956.39</v>
      </c>
      <c r="BI61" t="s">
        <v>210</v>
      </c>
      <c r="BJ61" s="44">
        <f t="shared" si="76"/>
        <v>0.80016238791171512</v>
      </c>
      <c r="BK61" s="45">
        <f t="shared" si="77"/>
        <v>4671</v>
      </c>
      <c r="BL61" s="44">
        <f t="shared" si="78"/>
        <v>0</v>
      </c>
      <c r="BM61" s="45">
        <f t="shared" si="79"/>
        <v>0</v>
      </c>
      <c r="BN61" s="44">
        <f t="shared" si="80"/>
        <v>3.411578678229079E-2</v>
      </c>
      <c r="BO61" s="45">
        <f t="shared" si="81"/>
        <v>199.15312499999999</v>
      </c>
      <c r="BP61" s="44">
        <f t="shared" si="82"/>
        <v>0</v>
      </c>
      <c r="BQ61" s="45">
        <f t="shared" si="83"/>
        <v>0</v>
      </c>
      <c r="BR61" s="44">
        <f t="shared" si="84"/>
        <v>5.4658919700905695E-2</v>
      </c>
      <c r="BS61" s="45">
        <f t="shared" si="85"/>
        <v>319.07499999999999</v>
      </c>
      <c r="BT61" s="44">
        <f t="shared" si="86"/>
        <v>2.3286678357257282E-3</v>
      </c>
      <c r="BU61" s="45">
        <f t="shared" si="87"/>
        <v>13.59375</v>
      </c>
      <c r="BV61" s="44">
        <f t="shared" si="88"/>
        <v>4.5984498181342542E-4</v>
      </c>
      <c r="BW61" s="45">
        <f t="shared" si="89"/>
        <v>2.6843750000000002</v>
      </c>
      <c r="BX61" s="44">
        <f t="shared" si="90"/>
        <v>2.0745571775800661E-2</v>
      </c>
      <c r="BY61" s="45">
        <f t="shared" si="91"/>
        <v>121.10362500000001</v>
      </c>
      <c r="BZ61" s="46">
        <f t="shared" si="92"/>
        <v>5.1281548350194514E-3</v>
      </c>
      <c r="CA61" s="47">
        <f t="shared" si="93"/>
        <v>29.935937500000001</v>
      </c>
      <c r="CB61" s="44">
        <f t="shared" si="94"/>
        <v>1.8800539921177111E-3</v>
      </c>
      <c r="CC61" s="48">
        <f t="shared" si="95"/>
        <v>10.974937499999999</v>
      </c>
      <c r="CD61" s="46">
        <f t="shared" si="64"/>
        <v>0.40259287446761183</v>
      </c>
      <c r="CE61" s="49">
        <f t="shared" si="65"/>
        <v>0.37989236651013347</v>
      </c>
      <c r="CF61" s="49">
        <f t="shared" si="66"/>
        <v>0.38637083133749717</v>
      </c>
      <c r="CG61" s="47">
        <f t="shared" si="67"/>
        <v>2217.6464062499999</v>
      </c>
      <c r="CH61" s="44">
        <f t="shared" si="2"/>
        <v>0.31082861917827831</v>
      </c>
      <c r="CI61" s="50">
        <f t="shared" si="3"/>
        <v>0.29330230912522698</v>
      </c>
      <c r="CJ61" s="50">
        <f t="shared" si="4"/>
        <v>0.29830411716603594</v>
      </c>
      <c r="CK61" s="45">
        <f t="shared" si="5"/>
        <v>1712.1713124999999</v>
      </c>
      <c r="CL61" s="46">
        <f t="shared" si="6"/>
        <v>1.4035017781878462E-2</v>
      </c>
      <c r="CM61" s="49">
        <f t="shared" si="68"/>
        <v>1.3243642541414503E-2</v>
      </c>
      <c r="CN61" s="49">
        <f t="shared" si="69"/>
        <v>1.3469491966026309E-2</v>
      </c>
      <c r="CO61" s="47">
        <f t="shared" si="70"/>
        <v>77.310625000000002</v>
      </c>
      <c r="CP61" s="44">
        <f t="shared" si="7"/>
        <v>5.4002243267582482E-2</v>
      </c>
      <c r="CQ61" s="50">
        <f t="shared" si="8"/>
        <v>5.0957285369014255E-2</v>
      </c>
      <c r="CR61" s="50">
        <f t="shared" si="71"/>
        <v>5.1826281458600826E-2</v>
      </c>
      <c r="CS61" s="45">
        <f t="shared" si="9"/>
        <v>297.46646874999999</v>
      </c>
      <c r="CT61" s="46">
        <f t="shared" si="10"/>
        <v>0.72604311568650493</v>
      </c>
      <c r="CU61" s="49">
        <f t="shared" si="11"/>
        <v>0.68510461783825294</v>
      </c>
      <c r="CV61" s="49">
        <f t="shared" si="12"/>
        <v>0.69678799597638974</v>
      </c>
      <c r="CW61" s="47">
        <f t="shared" si="13"/>
        <v>3999.342781249999</v>
      </c>
      <c r="CX61" s="44">
        <f t="shared" si="14"/>
        <v>1.6754779730353508E-2</v>
      </c>
      <c r="CY61" s="50">
        <f t="shared" si="15"/>
        <v>1.6079664057278592E-2</v>
      </c>
      <c r="CZ61" s="48">
        <f t="shared" si="16"/>
        <v>15.095916458374862</v>
      </c>
      <c r="DA61" s="45">
        <f t="shared" si="17"/>
        <v>92.292187499999997</v>
      </c>
      <c r="DB61" s="51">
        <f t="shared" si="18"/>
        <v>2.395493453847812E-3</v>
      </c>
      <c r="DC61" s="52">
        <f t="shared" si="19"/>
        <v>13.749375000000001</v>
      </c>
      <c r="DD61" s="44">
        <f t="shared" si="20"/>
        <v>1.1737814288525786E-2</v>
      </c>
      <c r="DE61" s="50">
        <f t="shared" si="21"/>
        <v>1.1264851795353144E-2</v>
      </c>
      <c r="DF61" s="48">
        <f t="shared" si="22"/>
        <v>10.575672539728785</v>
      </c>
      <c r="DG61" s="45">
        <f t="shared" si="23"/>
        <v>64.656687500000004</v>
      </c>
      <c r="DH61" s="46">
        <f t="shared" si="24"/>
        <v>2.5916623577352475E-3</v>
      </c>
      <c r="DI61" s="49">
        <f t="shared" si="25"/>
        <v>2.487234134554516E-3</v>
      </c>
      <c r="DJ61" s="47">
        <f t="shared" si="26"/>
        <v>2.3350661166740783</v>
      </c>
      <c r="DK61" s="44">
        <f t="shared" si="27"/>
        <v>2.2261201340944153E-2</v>
      </c>
      <c r="DL61" s="50">
        <f t="shared" si="28"/>
        <v>2.10059864322069E-2</v>
      </c>
      <c r="DM61" s="50">
        <f t="shared" si="29"/>
        <v>2.1364210382625502E-2</v>
      </c>
      <c r="DN61" s="45">
        <f t="shared" si="30"/>
        <v>122.62381250000001</v>
      </c>
      <c r="DO61" s="46">
        <f t="shared" si="31"/>
        <v>7.8123787650820039E-3</v>
      </c>
      <c r="DP61" s="49">
        <f t="shared" si="32"/>
        <v>7.4975874378794454E-3</v>
      </c>
      <c r="DQ61" s="47">
        <f t="shared" si="33"/>
        <v>43.033781249999997</v>
      </c>
      <c r="DR61" s="53">
        <f t="shared" si="34"/>
        <v>5.0637888469923453E-2</v>
      </c>
      <c r="DS61" s="45">
        <f t="shared" si="35"/>
        <v>290.64546875000002</v>
      </c>
      <c r="DT61" s="46">
        <f t="shared" si="96"/>
        <v>4.3115894137398768E-5</v>
      </c>
      <c r="DU61" s="49">
        <f t="shared" si="97"/>
        <v>4.0684771382794336E-5</v>
      </c>
      <c r="DV61" s="49">
        <f t="shared" si="98"/>
        <v>4.1378585956732966E-5</v>
      </c>
      <c r="DW61" s="47">
        <f t="shared" si="99"/>
        <v>0.23749999999999999</v>
      </c>
      <c r="DY61" s="54">
        <f>VLOOKUP(A61,'[3]Barnet Schools'!$E$8:$V$130,17,0)</f>
        <v>76</v>
      </c>
    </row>
    <row r="62" spans="1:129">
      <c r="A62" s="79">
        <v>2072</v>
      </c>
      <c r="B62" s="80">
        <v>10086</v>
      </c>
      <c r="C62" s="573" t="s">
        <v>91</v>
      </c>
      <c r="D62" s="595">
        <f>VLOOKUP(A62,[4]CFR20152016_BenchMarkDataReport!$B$3:$BO$99,18,0)</f>
        <v>1561696</v>
      </c>
      <c r="E62" s="595">
        <f>VLOOKUP(A62,[4]CFR20152016_BenchMarkDataReport!$B$3:$BO$99,19,0)</f>
        <v>0</v>
      </c>
      <c r="F62" s="595">
        <f>VLOOKUP(A62,[4]CFR20152016_BenchMarkDataReport!$B$3:$BO$99,20,0)</f>
        <v>81936</v>
      </c>
      <c r="G62" s="595">
        <f>VLOOKUP(A62,[4]CFR20152016_BenchMarkDataReport!$B$3:$BO$99,21,0)</f>
        <v>0</v>
      </c>
      <c r="H62" s="595">
        <f>VLOOKUP(A62,[4]CFR20152016_BenchMarkDataReport!$B$3:$BO$99,22,0)</f>
        <v>209851.01</v>
      </c>
      <c r="I62" s="595">
        <f>VLOOKUP(A62,[4]CFR20152016_BenchMarkDataReport!$B$3:$BO$99,23,0)</f>
        <v>300</v>
      </c>
      <c r="J62" s="595">
        <f>VLOOKUP(A62,[4]CFR20152016_BenchMarkDataReport!$B$3:$BO$99,24,0)</f>
        <v>1625</v>
      </c>
      <c r="K62" s="595">
        <f>VLOOKUP(A62,[4]CFR20152016_BenchMarkDataReport!$B$3:$BO$99,25,0)</f>
        <v>1274.98</v>
      </c>
      <c r="L62" s="595">
        <f>VLOOKUP(A62,[4]CFR20152016_BenchMarkDataReport!$B$3:$BO$99,26,0)</f>
        <v>51982.080000000002</v>
      </c>
      <c r="M62" s="595">
        <f>VLOOKUP(A62,[4]CFR20152016_BenchMarkDataReport!$B$3:$BO$99,27,0)</f>
        <v>0</v>
      </c>
      <c r="N62" s="595">
        <f>VLOOKUP(A62,[4]CFR20152016_BenchMarkDataReport!$B$3:$BO$99,28,0)</f>
        <v>773.5</v>
      </c>
      <c r="O62" s="595">
        <f>VLOOKUP(A62,[4]CFR20152016_BenchMarkDataReport!$B$3:$BO$99,29,0)</f>
        <v>36508.58</v>
      </c>
      <c r="P62" s="595">
        <f>VLOOKUP(A62,[4]CFR20152016_BenchMarkDataReport!$B$3:$BO$99,30,0)</f>
        <v>5388.79</v>
      </c>
      <c r="Q62" s="595">
        <f>VLOOKUP(A62,[4]CFR20152016_BenchMarkDataReport!$B$3:$BO$99,31,0)</f>
        <v>0</v>
      </c>
      <c r="R62" s="595">
        <f>VLOOKUP(A62,[4]CFR20152016_BenchMarkDataReport!$B$3:$BO$99,32,0)</f>
        <v>0</v>
      </c>
      <c r="S62" s="595">
        <f>VLOOKUP(A62,[4]CFR20152016_BenchMarkDataReport!$B$3:$BO$99,33,0)</f>
        <v>0</v>
      </c>
      <c r="T62" s="595">
        <f>VLOOKUP(A62,[4]CFR20152016_BenchMarkDataReport!$B$3:$BO$99,34,0)</f>
        <v>9645</v>
      </c>
      <c r="U62" s="595">
        <f>VLOOKUP(A62,[4]CFR20152016_BenchMarkDataReport!$B$3:$BO$99,35,0)</f>
        <v>854494.92</v>
      </c>
      <c r="V62" s="595">
        <f>VLOOKUP(A62,[4]CFR20152016_BenchMarkDataReport!$B$3:$BO$99,36,0)</f>
        <v>0</v>
      </c>
      <c r="W62" s="595">
        <f>VLOOKUP(A62,[4]CFR20152016_BenchMarkDataReport!$B$3:$BO$99,37,0)</f>
        <v>529531.25</v>
      </c>
      <c r="X62" s="595">
        <f>VLOOKUP(A62,[4]CFR20152016_BenchMarkDataReport!$B$3:$BO$99,38,0)</f>
        <v>25885.68</v>
      </c>
      <c r="Y62" s="595">
        <f>VLOOKUP(A62,[4]CFR20152016_BenchMarkDataReport!$B$3:$BO$99,39,0)</f>
        <v>55184.3</v>
      </c>
      <c r="Z62" s="595">
        <f>VLOOKUP(A62,[4]CFR20152016_BenchMarkDataReport!$B$3:$BO$99,40,0)</f>
        <v>0</v>
      </c>
      <c r="AA62" s="595">
        <f>VLOOKUP(A62,[4]CFR20152016_BenchMarkDataReport!$B$3:$BO$99,41,0)</f>
        <v>18970.740000000002</v>
      </c>
      <c r="AB62" s="595">
        <f>VLOOKUP(A62,[4]CFR20152016_BenchMarkDataReport!$B$3:$BO$99,42,0)</f>
        <v>3736.34</v>
      </c>
      <c r="AC62" s="595">
        <f>VLOOKUP(A62,[4]CFR20152016_BenchMarkDataReport!$B$3:$BO$99,43,0)</f>
        <v>10099.06</v>
      </c>
      <c r="AD62" s="595">
        <f>VLOOKUP(A62,[4]CFR20152016_BenchMarkDataReport!$B$3:$BO$99,44,0)</f>
        <v>3873.52</v>
      </c>
      <c r="AE62" s="595">
        <f>VLOOKUP(A62,[4]CFR20152016_BenchMarkDataReport!$B$3:$BO$99,45,0)</f>
        <v>5804.01</v>
      </c>
      <c r="AF62" s="595">
        <f>VLOOKUP(A62,[4]CFR20152016_BenchMarkDataReport!$B$3:$BO$99,46,0)</f>
        <v>27558.55</v>
      </c>
      <c r="AG62" s="595">
        <f>VLOOKUP(A62,[4]CFR20152016_BenchMarkDataReport!$B$3:$BO$99,47,0)</f>
        <v>5686.3</v>
      </c>
      <c r="AH62" s="595">
        <f>VLOOKUP(A62,[4]CFR20152016_BenchMarkDataReport!$B$3:$BO$99,48,0)</f>
        <v>22993.59</v>
      </c>
      <c r="AI62" s="595">
        <f>VLOOKUP(A62,[4]CFR20152016_BenchMarkDataReport!$B$3:$BO$99,49,0)</f>
        <v>6109.34</v>
      </c>
      <c r="AJ62" s="595">
        <f>VLOOKUP(A62,[4]CFR20152016_BenchMarkDataReport!$B$3:$BO$99,50,0)</f>
        <v>20202.84</v>
      </c>
      <c r="AK62" s="595">
        <f>VLOOKUP(A62,[4]CFR20152016_BenchMarkDataReport!$B$3:$BO$99,51,0)</f>
        <v>7970</v>
      </c>
      <c r="AL62" s="595">
        <f>VLOOKUP(A62,[4]CFR20152016_BenchMarkDataReport!$B$3:$BO$99,52,0)</f>
        <v>6733.4</v>
      </c>
      <c r="AM62" s="595">
        <f>VLOOKUP(A62,[4]CFR20152016_BenchMarkDataReport!$B$3:$BO$99,53,0)</f>
        <v>99354.37</v>
      </c>
      <c r="AN62" s="595">
        <f>VLOOKUP(A62,[4]CFR20152016_BenchMarkDataReport!$B$3:$BO$99,54,0)</f>
        <v>18855.22</v>
      </c>
      <c r="AO62" s="595">
        <f>VLOOKUP(A62,[4]CFR20152016_BenchMarkDataReport!$B$3:$BO$99,55,0)</f>
        <v>0</v>
      </c>
      <c r="AP62" s="595">
        <f>VLOOKUP(A62,[4]CFR20152016_BenchMarkDataReport!$B$3:$BO$99,56,0)</f>
        <v>17436.62</v>
      </c>
      <c r="AQ62" s="595">
        <f>VLOOKUP(A62,[4]CFR20152016_BenchMarkDataReport!$B$3:$BO$99,57,0)</f>
        <v>5895.37</v>
      </c>
      <c r="AR62" s="595">
        <f>VLOOKUP(A62,[4]CFR20152016_BenchMarkDataReport!$B$3:$BO$99,58,0)</f>
        <v>730</v>
      </c>
      <c r="AS62" s="595">
        <f>VLOOKUP(A62,[4]CFR20152016_BenchMarkDataReport!$B$3:$BO$99,59,0)</f>
        <v>64105.1</v>
      </c>
      <c r="AT62" s="595">
        <f>VLOOKUP(A62,[4]CFR20152016_BenchMarkDataReport!$B$3:$BO$99,60,0)</f>
        <v>33299.42</v>
      </c>
      <c r="AU62" s="595">
        <f>VLOOKUP(A62,[4]CFR20152016_BenchMarkDataReport!$B$3:$BO$99,61,0)</f>
        <v>70940.289999999994</v>
      </c>
      <c r="AV62" s="595">
        <f>VLOOKUP(A62,[4]CFR20152016_BenchMarkDataReport!$B$3:$BO$99,62,0)</f>
        <v>35616.36</v>
      </c>
      <c r="AW62" s="595">
        <f>VLOOKUP(A62,[4]CFR20152016_BenchMarkDataReport!$B$3:$BO$99,63,0)</f>
        <v>0</v>
      </c>
      <c r="AX62" s="595">
        <f>VLOOKUP(A62,[4]CFR20152016_BenchMarkDataReport!$B$3:$BO$99,64,0)</f>
        <v>10458.35</v>
      </c>
      <c r="AY62" s="595">
        <f>VLOOKUP(A62,[4]CFR20152016_BenchMarkDataReport!$B$3:$BO$99,65,0)</f>
        <v>0</v>
      </c>
      <c r="AZ62" s="595">
        <f>VLOOKUP(A62,[4]CFR20152016_BenchMarkDataReport!$B$3:$BO$99,66,0)</f>
        <v>0</v>
      </c>
      <c r="BA62" s="596">
        <f t="shared" si="0"/>
        <v>1960980.9400000002</v>
      </c>
      <c r="BB62" s="595">
        <f t="shared" si="42"/>
        <v>1961524.9400000009</v>
      </c>
      <c r="BC62" s="601">
        <f t="shared" ref="BC62:BC100" si="100">BA62-BB62</f>
        <v>-544.00000000069849</v>
      </c>
      <c r="BD62" s="595">
        <f>VLOOKUP(A62,[4]CFR20152016_BenchMarkDataReport!$B$3:$BO$99,15,0)</f>
        <v>73690</v>
      </c>
      <c r="BE62" s="601">
        <f t="shared" ref="BE62:BE100" si="101">SUM(BC62:BD62)</f>
        <v>73145.999999999302</v>
      </c>
      <c r="BF62" s="76">
        <f>VLOOKUP(A62,'OCT 15 CENSUS'!$B$9:$U$132,20,0)</f>
        <v>335</v>
      </c>
      <c r="BG62" s="73">
        <f>VLOOKUP(A62,'[2]BUDGET SHARE inc ADJUSTMENTS'!$D$4:$M$139,10,0)</f>
        <v>1858888.9729339341</v>
      </c>
      <c r="BH62" s="76">
        <f>VLOOKUP(A62,'12-13 Pupil Data'!A:CI,81,0)</f>
        <v>1521.44</v>
      </c>
      <c r="BI62" t="s">
        <v>210</v>
      </c>
      <c r="BJ62" s="44">
        <f t="shared" si="76"/>
        <v>0.79638509898010523</v>
      </c>
      <c r="BK62" s="45">
        <f t="shared" si="77"/>
        <v>4661.7791044776122</v>
      </c>
      <c r="BL62" s="44">
        <f t="shared" si="78"/>
        <v>0</v>
      </c>
      <c r="BM62" s="45">
        <f t="shared" si="79"/>
        <v>0</v>
      </c>
      <c r="BN62" s="44">
        <f t="shared" si="80"/>
        <v>4.1783170008781415E-2</v>
      </c>
      <c r="BO62" s="45">
        <f t="shared" si="81"/>
        <v>244.58507462686566</v>
      </c>
      <c r="BP62" s="44">
        <f t="shared" si="82"/>
        <v>0</v>
      </c>
      <c r="BQ62" s="45">
        <f t="shared" si="83"/>
        <v>0</v>
      </c>
      <c r="BR62" s="44">
        <f t="shared" si="84"/>
        <v>0.10701328387210127</v>
      </c>
      <c r="BS62" s="45">
        <f t="shared" si="85"/>
        <v>626.42092537313431</v>
      </c>
      <c r="BT62" s="44">
        <f t="shared" si="86"/>
        <v>1.5298465879020731E-4</v>
      </c>
      <c r="BU62" s="45">
        <f t="shared" si="87"/>
        <v>0.89552238805970152</v>
      </c>
      <c r="BV62" s="44">
        <f t="shared" si="88"/>
        <v>8.2866690178028959E-4</v>
      </c>
      <c r="BW62" s="45">
        <f t="shared" si="89"/>
        <v>4.8507462686567164</v>
      </c>
      <c r="BX62" s="44">
        <f t="shared" si="90"/>
        <v>6.5017460088112838E-4</v>
      </c>
      <c r="BY62" s="45">
        <f t="shared" si="91"/>
        <v>3.8059104477611942</v>
      </c>
      <c r="BZ62" s="46">
        <f t="shared" si="92"/>
        <v>1.861750884738329E-2</v>
      </c>
      <c r="CA62" s="47">
        <f t="shared" si="93"/>
        <v>108.98083582089552</v>
      </c>
      <c r="CB62" s="44">
        <f t="shared" si="94"/>
        <v>2.748007331473604E-3</v>
      </c>
      <c r="CC62" s="48">
        <f t="shared" si="95"/>
        <v>16.085940298507463</v>
      </c>
      <c r="CD62" s="46">
        <f t="shared" si="64"/>
        <v>0.47759406447969327</v>
      </c>
      <c r="CE62" s="49">
        <f t="shared" si="65"/>
        <v>0.45272971393592432</v>
      </c>
      <c r="CF62" s="49">
        <f t="shared" si="66"/>
        <v>0.4526041560297468</v>
      </c>
      <c r="CG62" s="47">
        <f t="shared" si="67"/>
        <v>2650.1323582089553</v>
      </c>
      <c r="CH62" s="44">
        <f t="shared" ref="CH62:CH87" si="102">W62/BG62</f>
        <v>0.28486437743736071</v>
      </c>
      <c r="CI62" s="50">
        <f t="shared" ref="CI62:CI87" si="103">W62/BA62</f>
        <v>0.27003385866667318</v>
      </c>
      <c r="CJ62" s="50">
        <f t="shared" ref="CJ62:CJ87" si="104">W62/BB62</f>
        <v>0.26995896876029513</v>
      </c>
      <c r="CK62" s="45">
        <f t="shared" ref="CK62:CL87" si="105">W62/BF62</f>
        <v>1580.6902985074628</v>
      </c>
      <c r="CL62" s="46">
        <f t="shared" si="105"/>
        <v>1.3925350237106383E-2</v>
      </c>
      <c r="CM62" s="49">
        <f t="shared" si="68"/>
        <v>1.3200373074508311E-2</v>
      </c>
      <c r="CN62" s="49">
        <f t="shared" si="69"/>
        <v>1.3196712145806307E-2</v>
      </c>
      <c r="CO62" s="47">
        <f t="shared" si="70"/>
        <v>77.270686567164176</v>
      </c>
      <c r="CP62" s="44">
        <f t="shared" ref="CP62:CP87" si="106">Y62/BG62</f>
        <v>2.9686711150317464E-2</v>
      </c>
      <c r="CQ62" s="50">
        <f t="shared" ref="CQ62:CQ87" si="107">Y62/BA62</f>
        <v>2.814117102025479E-2</v>
      </c>
      <c r="CR62" s="50">
        <f t="shared" si="71"/>
        <v>2.8133366481692543E-2</v>
      </c>
      <c r="CS62" s="45">
        <f t="shared" ref="CS62:CS87" si="108">Y62/BF62</f>
        <v>164.72925373134331</v>
      </c>
      <c r="CT62" s="46">
        <f t="shared" ref="CT62:CT87" si="109">(U62+V62+W62+X62+Y62+Z62+AA62)/BG62</f>
        <v>0.79836230759799365</v>
      </c>
      <c r="CU62" s="49">
        <f t="shared" ref="CU62:CU87" si="110">(U62+V62+W62+X62+Y62+Z62+AA62)/BA62</f>
        <v>0.75679822262831364</v>
      </c>
      <c r="CV62" s="49">
        <f t="shared" ref="CV62:CV87" si="111">(U62+V62+W62+X62+Y62+Z62+AA62)/BB62</f>
        <v>0.75658833580775131</v>
      </c>
      <c r="CW62" s="47">
        <f t="shared" ref="CW62:CW87" si="112">(U62+V62+W62+X62+Y62+Z62+AA62)/BF62</f>
        <v>4430.0504179104473</v>
      </c>
      <c r="CX62" s="44">
        <f t="shared" ref="CX62:CX87" si="113">AF62/BG62</f>
        <v>1.4825280262168431E-2</v>
      </c>
      <c r="CY62" s="50">
        <f t="shared" ref="CY62:CY87" si="114">AF62/BB62</f>
        <v>1.4049553711002007E-2</v>
      </c>
      <c r="CZ62" s="48">
        <f t="shared" ref="CZ62:CZ87" si="115">AF62/BH62</f>
        <v>18.113464875381215</v>
      </c>
      <c r="DA62" s="45">
        <f t="shared" ref="DA62:DA87" si="116">AF62/BF62</f>
        <v>82.264328358208957</v>
      </c>
      <c r="DB62" s="51">
        <f t="shared" ref="DB62:DB87" si="117">AI62/BB62</f>
        <v>3.1145869600821886E-3</v>
      </c>
      <c r="DC62" s="52">
        <f t="shared" ref="DC62:DD87" si="118">AI62/BF62</f>
        <v>18.236835820895521</v>
      </c>
      <c r="DD62" s="44">
        <f t="shared" si="118"/>
        <v>1.0868233818243226E-2</v>
      </c>
      <c r="DE62" s="50">
        <f t="shared" ref="DE62:DE87" si="119">AJ62/BB62</f>
        <v>1.0299558057110398E-2</v>
      </c>
      <c r="DF62" s="48">
        <f t="shared" ref="DF62:DF87" si="120">AJ62/BH62</f>
        <v>13.27876222526028</v>
      </c>
      <c r="DG62" s="45">
        <f t="shared" ref="DG62:DG87" si="121">AJ62/BF62</f>
        <v>60.306985074626866</v>
      </c>
      <c r="DH62" s="46">
        <f t="shared" ref="DH62:DH87" si="122">AL62/BG62</f>
        <v>3.6222712050265676E-3</v>
      </c>
      <c r="DI62" s="49">
        <f t="shared" ref="DI62:DI87" si="123">AL62/BB62</f>
        <v>3.4327373884932592E-3</v>
      </c>
      <c r="DJ62" s="47">
        <f t="shared" ref="DJ62:DJ87" si="124">AL62/BH62</f>
        <v>4.4256756756756754</v>
      </c>
      <c r="DK62" s="44">
        <f t="shared" ref="DK62:DK87" si="125">AM62/BG62</f>
        <v>5.3448254009052697E-2</v>
      </c>
      <c r="DL62" s="50">
        <f t="shared" ref="DL62:DL87" si="126">AM62/BA62</f>
        <v>5.0665647979220026E-2</v>
      </c>
      <c r="DM62" s="50">
        <f t="shared" ref="DM62:DM87" si="127">AM62/BB62</f>
        <v>5.0651596609319657E-2</v>
      </c>
      <c r="DN62" s="45">
        <f t="shared" ref="DN62:DN87" si="128">AM62/BF62</f>
        <v>296.58020895522384</v>
      </c>
      <c r="DO62" s="46">
        <f t="shared" ref="DO62:DO87" si="129">AP62/BG62</f>
        <v>9.380129880742322E-3</v>
      </c>
      <c r="DP62" s="49">
        <f t="shared" ref="DP62:DP87" si="130">AP62/BB62</f>
        <v>8.8893185319377024E-3</v>
      </c>
      <c r="DQ62" s="47">
        <f t="shared" ref="DQ62:DQ87" si="131">AP62/BF62</f>
        <v>52.049611940298504</v>
      </c>
      <c r="DR62" s="53">
        <f t="shared" ref="DR62:DR87" si="132">AS62/BB62</f>
        <v>3.2681256655344881E-2</v>
      </c>
      <c r="DS62" s="45">
        <f t="shared" ref="DS62:DS87" si="133">AS62/BF62</f>
        <v>191.35850746268656</v>
      </c>
      <c r="DT62" s="46">
        <f t="shared" si="96"/>
        <v>8.2845184538879522E-5</v>
      </c>
      <c r="DU62" s="49">
        <f t="shared" si="97"/>
        <v>7.8532124845639753E-5</v>
      </c>
      <c r="DV62" s="49">
        <f t="shared" si="98"/>
        <v>7.851034511954761E-5</v>
      </c>
      <c r="DW62" s="47">
        <f t="shared" si="99"/>
        <v>0.45970149253731341</v>
      </c>
      <c r="DY62" s="54">
        <f>VLOOKUP(A62,'[3]Barnet Schools'!$E$8:$V$130,17,0)</f>
        <v>154</v>
      </c>
    </row>
    <row r="63" spans="1:129">
      <c r="A63" s="79">
        <v>3512</v>
      </c>
      <c r="B63" s="80">
        <v>10112</v>
      </c>
      <c r="C63" s="573" t="s">
        <v>92</v>
      </c>
      <c r="D63" s="595">
        <f>VLOOKUP(A63,[4]CFR20152016_BenchMarkDataReport!$B$3:$BO$99,18,0)</f>
        <v>1681930</v>
      </c>
      <c r="E63" s="595">
        <f>VLOOKUP(A63,[4]CFR20152016_BenchMarkDataReport!$B$3:$BO$99,19,0)</f>
        <v>0</v>
      </c>
      <c r="F63" s="595">
        <f>VLOOKUP(A63,[4]CFR20152016_BenchMarkDataReport!$B$3:$BO$99,20,0)</f>
        <v>107483.67</v>
      </c>
      <c r="G63" s="595">
        <f>VLOOKUP(A63,[4]CFR20152016_BenchMarkDataReport!$B$3:$BO$99,21,0)</f>
        <v>0</v>
      </c>
      <c r="H63" s="595">
        <f>VLOOKUP(A63,[4]CFR20152016_BenchMarkDataReport!$B$3:$BO$99,22,0)</f>
        <v>26837</v>
      </c>
      <c r="I63" s="595">
        <f>VLOOKUP(A63,[4]CFR20152016_BenchMarkDataReport!$B$3:$BO$99,23,0)</f>
        <v>0</v>
      </c>
      <c r="J63" s="595">
        <f>VLOOKUP(A63,[4]CFR20152016_BenchMarkDataReport!$B$3:$BO$99,24,0)</f>
        <v>356.8</v>
      </c>
      <c r="K63" s="595">
        <f>VLOOKUP(A63,[4]CFR20152016_BenchMarkDataReport!$B$3:$BO$99,25,0)</f>
        <v>17335.900000000001</v>
      </c>
      <c r="L63" s="595">
        <f>VLOOKUP(A63,[4]CFR20152016_BenchMarkDataReport!$B$3:$BO$99,26,0)</f>
        <v>150140.9</v>
      </c>
      <c r="M63" s="595">
        <f>VLOOKUP(A63,[4]CFR20152016_BenchMarkDataReport!$B$3:$BO$99,27,0)</f>
        <v>28396.38</v>
      </c>
      <c r="N63" s="595">
        <f>VLOOKUP(A63,[4]CFR20152016_BenchMarkDataReport!$B$3:$BO$99,28,0)</f>
        <v>1365</v>
      </c>
      <c r="O63" s="595">
        <f>VLOOKUP(A63,[4]CFR20152016_BenchMarkDataReport!$B$3:$BO$99,29,0)</f>
        <v>44700.94</v>
      </c>
      <c r="P63" s="595">
        <f>VLOOKUP(A63,[4]CFR20152016_BenchMarkDataReport!$B$3:$BO$99,30,0)</f>
        <v>163963.94</v>
      </c>
      <c r="Q63" s="595">
        <f>VLOOKUP(A63,[4]CFR20152016_BenchMarkDataReport!$B$3:$BO$99,31,0)</f>
        <v>0</v>
      </c>
      <c r="R63" s="595">
        <f>VLOOKUP(A63,[4]CFR20152016_BenchMarkDataReport!$B$3:$BO$99,32,0)</f>
        <v>0</v>
      </c>
      <c r="S63" s="595">
        <f>VLOOKUP(A63,[4]CFR20152016_BenchMarkDataReport!$B$3:$BO$99,33,0)</f>
        <v>0</v>
      </c>
      <c r="T63" s="595">
        <f>VLOOKUP(A63,[4]CFR20152016_BenchMarkDataReport!$B$3:$BO$99,34,0)</f>
        <v>86279.57</v>
      </c>
      <c r="U63" s="595">
        <f>VLOOKUP(A63,[4]CFR20152016_BenchMarkDataReport!$B$3:$BO$99,35,0)</f>
        <v>924724.57</v>
      </c>
      <c r="V63" s="595">
        <f>VLOOKUP(A63,[4]CFR20152016_BenchMarkDataReport!$B$3:$BO$99,36,0)</f>
        <v>34921.67</v>
      </c>
      <c r="W63" s="595">
        <f>VLOOKUP(A63,[4]CFR20152016_BenchMarkDataReport!$B$3:$BO$99,37,0)</f>
        <v>401021.32</v>
      </c>
      <c r="X63" s="595">
        <f>VLOOKUP(A63,[4]CFR20152016_BenchMarkDataReport!$B$3:$BO$99,38,0)</f>
        <v>56240.13</v>
      </c>
      <c r="Y63" s="595">
        <f>VLOOKUP(A63,[4]CFR20152016_BenchMarkDataReport!$B$3:$BO$99,39,0)</f>
        <v>99250.559999999998</v>
      </c>
      <c r="Z63" s="595">
        <f>VLOOKUP(A63,[4]CFR20152016_BenchMarkDataReport!$B$3:$BO$99,40,0)</f>
        <v>0</v>
      </c>
      <c r="AA63" s="595">
        <f>VLOOKUP(A63,[4]CFR20152016_BenchMarkDataReport!$B$3:$BO$99,41,0)</f>
        <v>41214.239999999998</v>
      </c>
      <c r="AB63" s="595">
        <f>VLOOKUP(A63,[4]CFR20152016_BenchMarkDataReport!$B$3:$BO$99,42,0)</f>
        <v>4427.1899999999996</v>
      </c>
      <c r="AC63" s="595">
        <f>VLOOKUP(A63,[4]CFR20152016_BenchMarkDataReport!$B$3:$BO$99,43,0)</f>
        <v>8289.0499999999993</v>
      </c>
      <c r="AD63" s="595">
        <f>VLOOKUP(A63,[4]CFR20152016_BenchMarkDataReport!$B$3:$BO$99,44,0)</f>
        <v>22539.05</v>
      </c>
      <c r="AE63" s="595">
        <f>VLOOKUP(A63,[4]CFR20152016_BenchMarkDataReport!$B$3:$BO$99,45,0)</f>
        <v>1071</v>
      </c>
      <c r="AF63" s="595">
        <f>VLOOKUP(A63,[4]CFR20152016_BenchMarkDataReport!$B$3:$BO$99,46,0)</f>
        <v>23606.78</v>
      </c>
      <c r="AG63" s="595">
        <f>VLOOKUP(A63,[4]CFR20152016_BenchMarkDataReport!$B$3:$BO$99,47,0)</f>
        <v>212.5</v>
      </c>
      <c r="AH63" s="595">
        <f>VLOOKUP(A63,[4]CFR20152016_BenchMarkDataReport!$B$3:$BO$99,48,0)</f>
        <v>31017.599999999999</v>
      </c>
      <c r="AI63" s="595">
        <f>VLOOKUP(A63,[4]CFR20152016_BenchMarkDataReport!$B$3:$BO$99,49,0)</f>
        <v>3453.44</v>
      </c>
      <c r="AJ63" s="595">
        <f>VLOOKUP(A63,[4]CFR20152016_BenchMarkDataReport!$B$3:$BO$99,50,0)</f>
        <v>24340.81</v>
      </c>
      <c r="AK63" s="595">
        <f>VLOOKUP(A63,[4]CFR20152016_BenchMarkDataReport!$B$3:$BO$99,51,0)</f>
        <v>0</v>
      </c>
      <c r="AL63" s="595">
        <f>VLOOKUP(A63,[4]CFR20152016_BenchMarkDataReport!$B$3:$BO$99,52,0)</f>
        <v>13655.16</v>
      </c>
      <c r="AM63" s="595">
        <f>VLOOKUP(A63,[4]CFR20152016_BenchMarkDataReport!$B$3:$BO$99,53,0)</f>
        <v>112591.19</v>
      </c>
      <c r="AN63" s="595">
        <f>VLOOKUP(A63,[4]CFR20152016_BenchMarkDataReport!$B$3:$BO$99,54,0)</f>
        <v>7606.21</v>
      </c>
      <c r="AO63" s="595">
        <f>VLOOKUP(A63,[4]CFR20152016_BenchMarkDataReport!$B$3:$BO$99,55,0)</f>
        <v>0</v>
      </c>
      <c r="AP63" s="595">
        <f>VLOOKUP(A63,[4]CFR20152016_BenchMarkDataReport!$B$3:$BO$99,56,0)</f>
        <v>19125.25</v>
      </c>
      <c r="AQ63" s="595">
        <f>VLOOKUP(A63,[4]CFR20152016_BenchMarkDataReport!$B$3:$BO$99,57,0)</f>
        <v>11219.84</v>
      </c>
      <c r="AR63" s="595">
        <f>VLOOKUP(A63,[4]CFR20152016_BenchMarkDataReport!$B$3:$BO$99,58,0)</f>
        <v>13055.7</v>
      </c>
      <c r="AS63" s="595">
        <f>VLOOKUP(A63,[4]CFR20152016_BenchMarkDataReport!$B$3:$BO$99,59,0)</f>
        <v>185265.48</v>
      </c>
      <c r="AT63" s="595">
        <f>VLOOKUP(A63,[4]CFR20152016_BenchMarkDataReport!$B$3:$BO$99,60,0)</f>
        <v>51102.47</v>
      </c>
      <c r="AU63" s="595">
        <f>VLOOKUP(A63,[4]CFR20152016_BenchMarkDataReport!$B$3:$BO$99,61,0)</f>
        <v>39167.199999999997</v>
      </c>
      <c r="AV63" s="595">
        <f>VLOOKUP(A63,[4]CFR20152016_BenchMarkDataReport!$B$3:$BO$99,62,0)</f>
        <v>181017.69</v>
      </c>
      <c r="AW63" s="595">
        <f>VLOOKUP(A63,[4]CFR20152016_BenchMarkDataReport!$B$3:$BO$99,63,0)</f>
        <v>0</v>
      </c>
      <c r="AX63" s="595">
        <f>VLOOKUP(A63,[4]CFR20152016_BenchMarkDataReport!$B$3:$BO$99,64,0)</f>
        <v>0</v>
      </c>
      <c r="AY63" s="595">
        <f>VLOOKUP(A63,[4]CFR20152016_BenchMarkDataReport!$B$3:$BO$99,65,0)</f>
        <v>0</v>
      </c>
      <c r="AZ63" s="595">
        <f>VLOOKUP(A63,[4]CFR20152016_BenchMarkDataReport!$B$3:$BO$99,66,0)</f>
        <v>0</v>
      </c>
      <c r="BA63" s="596">
        <f t="shared" si="0"/>
        <v>2308790.0999999996</v>
      </c>
      <c r="BB63" s="595">
        <f t="shared" si="42"/>
        <v>2310136.1</v>
      </c>
      <c r="BC63" s="601">
        <f t="shared" si="100"/>
        <v>-1346.0000000004657</v>
      </c>
      <c r="BD63" s="595">
        <f>VLOOKUP(A63,[4]CFR20152016_BenchMarkDataReport!$B$3:$BO$99,15,0)</f>
        <v>-7251</v>
      </c>
      <c r="BE63" s="601">
        <f t="shared" si="101"/>
        <v>-8597.0000000004657</v>
      </c>
      <c r="BF63" s="76">
        <f>VLOOKUP(A63,'OCT 15 CENSUS'!$B$9:$U$132,20,0)</f>
        <v>442</v>
      </c>
      <c r="BG63" s="73">
        <f>VLOOKUP(A63,'[2]BUDGET SHARE inc ADJUSTMENTS'!$D$4:$M$139,10,0)</f>
        <v>1875990.6295661156</v>
      </c>
      <c r="BH63" s="76">
        <f>VLOOKUP(A63,'12-13 Pupil Data'!A:CI,81,0)</f>
        <v>2018.99</v>
      </c>
      <c r="BI63" t="s">
        <v>210</v>
      </c>
      <c r="BJ63" s="44">
        <f t="shared" si="76"/>
        <v>0.7284897834584444</v>
      </c>
      <c r="BK63" s="45">
        <f t="shared" si="77"/>
        <v>3805.2714932126696</v>
      </c>
      <c r="BL63" s="44">
        <f t="shared" si="78"/>
        <v>0</v>
      </c>
      <c r="BM63" s="45">
        <f t="shared" si="79"/>
        <v>0</v>
      </c>
      <c r="BN63" s="44">
        <f t="shared" si="80"/>
        <v>4.6554110743977986E-2</v>
      </c>
      <c r="BO63" s="45">
        <f t="shared" si="81"/>
        <v>243.17572398190046</v>
      </c>
      <c r="BP63" s="44">
        <f t="shared" si="82"/>
        <v>0</v>
      </c>
      <c r="BQ63" s="45">
        <f t="shared" si="83"/>
        <v>0</v>
      </c>
      <c r="BR63" s="44">
        <f t="shared" si="84"/>
        <v>1.1623837091124051E-2</v>
      </c>
      <c r="BS63" s="45">
        <f t="shared" si="85"/>
        <v>60.717194570135746</v>
      </c>
      <c r="BT63" s="44">
        <f t="shared" si="86"/>
        <v>0</v>
      </c>
      <c r="BU63" s="45">
        <f t="shared" si="87"/>
        <v>0</v>
      </c>
      <c r="BV63" s="44">
        <f t="shared" si="88"/>
        <v>1.5453981719689463E-4</v>
      </c>
      <c r="BW63" s="45">
        <f t="shared" si="89"/>
        <v>0.80723981900452491</v>
      </c>
      <c r="BX63" s="44">
        <f t="shared" si="90"/>
        <v>7.508651392779276E-3</v>
      </c>
      <c r="BY63" s="45">
        <f t="shared" si="91"/>
        <v>39.221493212669685</v>
      </c>
      <c r="BZ63" s="46">
        <f t="shared" si="92"/>
        <v>1.9361197018299761E-2</v>
      </c>
      <c r="CA63" s="47">
        <f t="shared" si="93"/>
        <v>101.13334841628959</v>
      </c>
      <c r="CB63" s="44">
        <f t="shared" si="94"/>
        <v>7.1017257047316706E-2</v>
      </c>
      <c r="CC63" s="48">
        <f t="shared" si="95"/>
        <v>370.9591402714932</v>
      </c>
      <c r="CD63" s="46">
        <f t="shared" si="64"/>
        <v>0.53878132122321354</v>
      </c>
      <c r="CE63" s="49">
        <f t="shared" si="65"/>
        <v>0.43778284998709938</v>
      </c>
      <c r="CF63" s="49">
        <f t="shared" si="66"/>
        <v>0.43752777596090547</v>
      </c>
      <c r="CG63" s="47">
        <f t="shared" si="67"/>
        <v>2286.7617873303166</v>
      </c>
      <c r="CH63" s="44">
        <f t="shared" si="102"/>
        <v>0.21376509758620135</v>
      </c>
      <c r="CI63" s="50">
        <f t="shared" si="103"/>
        <v>0.17369327770419671</v>
      </c>
      <c r="CJ63" s="50">
        <f t="shared" si="104"/>
        <v>0.17359207537599192</v>
      </c>
      <c r="CK63" s="45">
        <f t="shared" si="105"/>
        <v>907.28805429864258</v>
      </c>
      <c r="CL63" s="46">
        <f t="shared" si="105"/>
        <v>2.9978897076371525E-2</v>
      </c>
      <c r="CM63" s="49">
        <f t="shared" si="68"/>
        <v>2.4359135115834048E-2</v>
      </c>
      <c r="CN63" s="49">
        <f t="shared" si="69"/>
        <v>2.4344942274180294E-2</v>
      </c>
      <c r="CO63" s="47">
        <f t="shared" si="70"/>
        <v>127.24011312217193</v>
      </c>
      <c r="CP63" s="44">
        <f t="shared" si="106"/>
        <v>5.290568003687468E-2</v>
      </c>
      <c r="CQ63" s="50">
        <f t="shared" si="107"/>
        <v>4.2988126118524164E-2</v>
      </c>
      <c r="CR63" s="50">
        <f t="shared" si="71"/>
        <v>4.296307910170314E-2</v>
      </c>
      <c r="CS63" s="45">
        <f t="shared" si="108"/>
        <v>224.54877828054299</v>
      </c>
      <c r="CT63" s="46">
        <f t="shared" si="109"/>
        <v>0.83016005808099025</v>
      </c>
      <c r="CU63" s="49">
        <f t="shared" si="110"/>
        <v>0.67454052665939634</v>
      </c>
      <c r="CV63" s="49">
        <f t="shared" si="111"/>
        <v>0.67414750585474159</v>
      </c>
      <c r="CW63" s="47">
        <f t="shared" si="112"/>
        <v>3523.4671719457015</v>
      </c>
      <c r="CX63" s="44">
        <f t="shared" si="113"/>
        <v>1.2583634282576263E-2</v>
      </c>
      <c r="CY63" s="50">
        <f t="shared" si="114"/>
        <v>1.0218783213681653E-2</v>
      </c>
      <c r="CZ63" s="48">
        <f t="shared" si="115"/>
        <v>11.692370937944219</v>
      </c>
      <c r="DA63" s="45">
        <f t="shared" si="116"/>
        <v>53.409004524886875</v>
      </c>
      <c r="DB63" s="51">
        <f t="shared" si="117"/>
        <v>1.4949075944053686E-3</v>
      </c>
      <c r="DC63" s="52">
        <f t="shared" si="118"/>
        <v>7.8132126696832582</v>
      </c>
      <c r="DD63" s="44">
        <f t="shared" si="118"/>
        <v>1.2974910224167599E-2</v>
      </c>
      <c r="DE63" s="50">
        <f t="shared" si="119"/>
        <v>1.0536526397730419E-2</v>
      </c>
      <c r="DF63" s="48">
        <f t="shared" si="120"/>
        <v>12.055933907547834</v>
      </c>
      <c r="DG63" s="45">
        <f t="shared" si="121"/>
        <v>55.069705882352942</v>
      </c>
      <c r="DH63" s="46">
        <f t="shared" si="122"/>
        <v>7.2789062934489196E-3</v>
      </c>
      <c r="DI63" s="49">
        <f t="shared" si="123"/>
        <v>5.9109764139004617E-3</v>
      </c>
      <c r="DJ63" s="47">
        <f t="shared" si="124"/>
        <v>6.7633618789592811</v>
      </c>
      <c r="DK63" s="44">
        <f t="shared" si="125"/>
        <v>6.0016925578162621E-2</v>
      </c>
      <c r="DL63" s="50">
        <f t="shared" si="126"/>
        <v>4.8766317041986633E-2</v>
      </c>
      <c r="DM63" s="50">
        <f t="shared" si="127"/>
        <v>4.87379033642217E-2</v>
      </c>
      <c r="DN63" s="45">
        <f t="shared" si="128"/>
        <v>254.73119909502262</v>
      </c>
      <c r="DO63" s="46">
        <f t="shared" si="129"/>
        <v>1.0194747083797183E-2</v>
      </c>
      <c r="DP63" s="49">
        <f t="shared" si="130"/>
        <v>8.2788412336398699E-3</v>
      </c>
      <c r="DQ63" s="47">
        <f t="shared" si="131"/>
        <v>43.269796380090497</v>
      </c>
      <c r="DR63" s="53">
        <f t="shared" si="132"/>
        <v>8.019678147967127E-2</v>
      </c>
      <c r="DS63" s="45">
        <f t="shared" si="133"/>
        <v>419.15266968325795</v>
      </c>
      <c r="DT63" s="46">
        <f t="shared" si="96"/>
        <v>1.0661034061042008E-5</v>
      </c>
      <c r="DU63" s="49">
        <f t="shared" si="97"/>
        <v>8.6625458070008203E-6</v>
      </c>
      <c r="DV63" s="49">
        <f t="shared" si="98"/>
        <v>8.6574985776812025E-6</v>
      </c>
      <c r="DW63" s="47">
        <f t="shared" si="99"/>
        <v>4.5248868778280542E-2</v>
      </c>
      <c r="DY63" s="54">
        <f>VLOOKUP(A63,'[3]Barnet Schools'!$E$8:$V$130,17,0)</f>
        <v>20</v>
      </c>
    </row>
    <row r="64" spans="1:129">
      <c r="A64" s="131">
        <v>2041</v>
      </c>
      <c r="B64" s="80">
        <v>11381</v>
      </c>
      <c r="C64" s="610" t="s">
        <v>675</v>
      </c>
      <c r="D64" s="595">
        <f>VLOOKUP(A64,[4]CFR20152016_BenchMarkDataReport!$B$3:$BO$99,18,0)</f>
        <v>722795</v>
      </c>
      <c r="E64" s="595">
        <f>VLOOKUP(A64,[4]CFR20152016_BenchMarkDataReport!$B$3:$BO$99,19,0)</f>
        <v>0</v>
      </c>
      <c r="F64" s="595">
        <f>VLOOKUP(A64,[4]CFR20152016_BenchMarkDataReport!$B$3:$BO$99,20,0)</f>
        <v>0</v>
      </c>
      <c r="G64" s="595">
        <f>VLOOKUP(A64,[4]CFR20152016_BenchMarkDataReport!$B$3:$BO$99,21,0)</f>
        <v>0</v>
      </c>
      <c r="H64" s="595">
        <f>VLOOKUP(A64,[4]CFR20152016_BenchMarkDataReport!$B$3:$BO$99,22,0)</f>
        <v>3960</v>
      </c>
      <c r="I64" s="595">
        <f>VLOOKUP(A64,[4]CFR20152016_BenchMarkDataReport!$B$3:$BO$99,23,0)</f>
        <v>0</v>
      </c>
      <c r="J64" s="595">
        <f>VLOOKUP(A64,[4]CFR20152016_BenchMarkDataReport!$B$3:$BO$99,24,0)</f>
        <v>6015.68</v>
      </c>
      <c r="K64" s="595">
        <f>VLOOKUP(A64,[4]CFR20152016_BenchMarkDataReport!$B$3:$BO$99,25,0)</f>
        <v>2310.19</v>
      </c>
      <c r="L64" s="595">
        <f>VLOOKUP(A64,[4]CFR20152016_BenchMarkDataReport!$B$3:$BO$99,26,0)</f>
        <v>38654.39</v>
      </c>
      <c r="M64" s="595">
        <f>VLOOKUP(A64,[4]CFR20152016_BenchMarkDataReport!$B$3:$BO$99,27,0)</f>
        <v>0</v>
      </c>
      <c r="N64" s="595">
        <f>VLOOKUP(A64,[4]CFR20152016_BenchMarkDataReport!$B$3:$BO$99,28,0)</f>
        <v>19855.78</v>
      </c>
      <c r="O64" s="595">
        <f>VLOOKUP(A64,[4]CFR20152016_BenchMarkDataReport!$B$3:$BO$99,29,0)</f>
        <v>9922.6200000000008</v>
      </c>
      <c r="P64" s="595">
        <f>VLOOKUP(A64,[4]CFR20152016_BenchMarkDataReport!$B$3:$BO$99,30,0)</f>
        <v>147365.91</v>
      </c>
      <c r="Q64" s="595">
        <f>VLOOKUP(A64,[4]CFR20152016_BenchMarkDataReport!$B$3:$BO$99,31,0)</f>
        <v>0</v>
      </c>
      <c r="R64" s="595">
        <f>VLOOKUP(A64,[4]CFR20152016_BenchMarkDataReport!$B$3:$BO$99,32,0)</f>
        <v>0</v>
      </c>
      <c r="S64" s="595">
        <f>VLOOKUP(A64,[4]CFR20152016_BenchMarkDataReport!$B$3:$BO$99,33,0)</f>
        <v>0</v>
      </c>
      <c r="T64" s="595">
        <f>VLOOKUP(A64,[4]CFR20152016_BenchMarkDataReport!$B$3:$BO$99,34,0)</f>
        <v>51561.59</v>
      </c>
      <c r="U64" s="595">
        <f>VLOOKUP(A64,[4]CFR20152016_BenchMarkDataReport!$B$3:$BO$99,35,0)</f>
        <v>466512.63</v>
      </c>
      <c r="V64" s="595">
        <f>VLOOKUP(A64,[4]CFR20152016_BenchMarkDataReport!$B$3:$BO$99,36,0)</f>
        <v>0</v>
      </c>
      <c r="W64" s="595">
        <f>VLOOKUP(A64,[4]CFR20152016_BenchMarkDataReport!$B$3:$BO$99,37,0)</f>
        <v>163098.96</v>
      </c>
      <c r="X64" s="595">
        <f>VLOOKUP(A64,[4]CFR20152016_BenchMarkDataReport!$B$3:$BO$99,38,0)</f>
        <v>112.9</v>
      </c>
      <c r="Y64" s="595">
        <f>VLOOKUP(A64,[4]CFR20152016_BenchMarkDataReport!$B$3:$BO$99,39,0)</f>
        <v>9092.25</v>
      </c>
      <c r="Z64" s="595">
        <f>VLOOKUP(A64,[4]CFR20152016_BenchMarkDataReport!$B$3:$BO$99,40,0)</f>
        <v>0</v>
      </c>
      <c r="AA64" s="595">
        <f>VLOOKUP(A64,[4]CFR20152016_BenchMarkDataReport!$B$3:$BO$99,41,0)</f>
        <v>1115.44</v>
      </c>
      <c r="AB64" s="595">
        <f>VLOOKUP(A64,[4]CFR20152016_BenchMarkDataReport!$B$3:$BO$99,42,0)</f>
        <v>11344.67</v>
      </c>
      <c r="AC64" s="595">
        <f>VLOOKUP(A64,[4]CFR20152016_BenchMarkDataReport!$B$3:$BO$99,43,0)</f>
        <v>5225.6000000000004</v>
      </c>
      <c r="AD64" s="595">
        <f>VLOOKUP(A64,[4]CFR20152016_BenchMarkDataReport!$B$3:$BO$99,44,0)</f>
        <v>11339.72</v>
      </c>
      <c r="AE64" s="595">
        <f>VLOOKUP(A64,[4]CFR20152016_BenchMarkDataReport!$B$3:$BO$99,45,0)</f>
        <v>146.47</v>
      </c>
      <c r="AF64" s="595">
        <f>VLOOKUP(A64,[4]CFR20152016_BenchMarkDataReport!$B$3:$BO$99,46,0)</f>
        <v>10998.12</v>
      </c>
      <c r="AG64" s="595">
        <f>VLOOKUP(A64,[4]CFR20152016_BenchMarkDataReport!$B$3:$BO$99,47,0)</f>
        <v>0</v>
      </c>
      <c r="AH64" s="595">
        <f>VLOOKUP(A64,[4]CFR20152016_BenchMarkDataReport!$B$3:$BO$99,48,0)</f>
        <v>10787.16</v>
      </c>
      <c r="AI64" s="595">
        <f>VLOOKUP(A64,[4]CFR20152016_BenchMarkDataReport!$B$3:$BO$99,49,0)</f>
        <v>120.68</v>
      </c>
      <c r="AJ64" s="595">
        <f>VLOOKUP(A64,[4]CFR20152016_BenchMarkDataReport!$B$3:$BO$99,50,0)</f>
        <v>7373.5</v>
      </c>
      <c r="AK64" s="595">
        <f>VLOOKUP(A64,[4]CFR20152016_BenchMarkDataReport!$B$3:$BO$99,51,0)</f>
        <v>0</v>
      </c>
      <c r="AL64" s="595">
        <f>VLOOKUP(A64,[4]CFR20152016_BenchMarkDataReport!$B$3:$BO$99,52,0)</f>
        <v>2323.1999999999998</v>
      </c>
      <c r="AM64" s="595">
        <f>VLOOKUP(A64,[4]CFR20152016_BenchMarkDataReport!$B$3:$BO$99,53,0)</f>
        <v>76287.429999999993</v>
      </c>
      <c r="AN64" s="595">
        <f>VLOOKUP(A64,[4]CFR20152016_BenchMarkDataReport!$B$3:$BO$99,54,0)</f>
        <v>11392.88</v>
      </c>
      <c r="AO64" s="595">
        <f>VLOOKUP(A64,[4]CFR20152016_BenchMarkDataReport!$B$3:$BO$99,55,0)</f>
        <v>0</v>
      </c>
      <c r="AP64" s="595">
        <f>VLOOKUP(A64,[4]CFR20152016_BenchMarkDataReport!$B$3:$BO$99,56,0)</f>
        <v>11974.78</v>
      </c>
      <c r="AQ64" s="595">
        <f>VLOOKUP(A64,[4]CFR20152016_BenchMarkDataReport!$B$3:$BO$99,57,0)</f>
        <v>10092.969999999999</v>
      </c>
      <c r="AR64" s="595">
        <f>VLOOKUP(A64,[4]CFR20152016_BenchMarkDataReport!$B$3:$BO$99,58,0)</f>
        <v>6981.47</v>
      </c>
      <c r="AS64" s="595">
        <f>VLOOKUP(A64,[4]CFR20152016_BenchMarkDataReport!$B$3:$BO$99,59,0)</f>
        <v>73076.5</v>
      </c>
      <c r="AT64" s="595">
        <f>VLOOKUP(A64,[4]CFR20152016_BenchMarkDataReport!$B$3:$BO$99,60,0)</f>
        <v>16326.85</v>
      </c>
      <c r="AU64" s="595">
        <f>VLOOKUP(A64,[4]CFR20152016_BenchMarkDataReport!$B$3:$BO$99,61,0)</f>
        <v>22835.38</v>
      </c>
      <c r="AV64" s="595">
        <f>VLOOKUP(A64,[4]CFR20152016_BenchMarkDataReport!$B$3:$BO$99,62,0)</f>
        <v>19067.599999999999</v>
      </c>
      <c r="AW64" s="595">
        <f>VLOOKUP(A64,[4]CFR20152016_BenchMarkDataReport!$B$3:$BO$99,63,0)</f>
        <v>0</v>
      </c>
      <c r="AX64" s="595">
        <f>VLOOKUP(A64,[4]CFR20152016_BenchMarkDataReport!$B$3:$BO$99,64,0)</f>
        <v>0</v>
      </c>
      <c r="AY64" s="595">
        <f>VLOOKUP(A64,[4]CFR20152016_BenchMarkDataReport!$B$3:$BO$99,65,0)</f>
        <v>0</v>
      </c>
      <c r="AZ64" s="595">
        <f>VLOOKUP(A64,[4]CFR20152016_BenchMarkDataReport!$B$3:$BO$99,66,0)</f>
        <v>0</v>
      </c>
      <c r="BA64" s="596">
        <f t="shared" ref="BA64:BA87" si="134">SUM(D64:Q64)+T64</f>
        <v>1002441.16</v>
      </c>
      <c r="BB64" s="595">
        <f>SUM(U64:AX64)</f>
        <v>947627.15999999992</v>
      </c>
      <c r="BC64" s="601">
        <f>BA64-BB64</f>
        <v>54814.000000000116</v>
      </c>
      <c r="BD64" s="595">
        <f>VLOOKUP(A64,[4]CFR20152016_BenchMarkDataReport!$B$3:$BO$99,15,0)</f>
        <v>24718</v>
      </c>
      <c r="BE64" s="601">
        <f t="shared" si="101"/>
        <v>79532.000000000116</v>
      </c>
      <c r="BF64" s="76">
        <f>VLOOKUP(A64,'OCT 15 CENSUS'!$B$9:$U$132,20,0)</f>
        <v>202</v>
      </c>
      <c r="BG64" s="73">
        <f>VLOOKUP(A64,'[2]BUDGET SHARE inc ADJUSTMENTS'!$D$4:$M$139,10,0)</f>
        <v>778316.54528213025</v>
      </c>
      <c r="BH64" s="76">
        <f>546+435</f>
        <v>981</v>
      </c>
      <c r="BI64" t="s">
        <v>210</v>
      </c>
      <c r="BJ64" s="44">
        <f>D64/BA64</f>
        <v>0.72103483859341921</v>
      </c>
      <c r="BK64" s="45">
        <f>D64/BF64</f>
        <v>3578.1930693069307</v>
      </c>
      <c r="BL64" s="44">
        <f>E64/BA64</f>
        <v>0</v>
      </c>
      <c r="BM64" s="45">
        <f>E64/BF64</f>
        <v>0</v>
      </c>
      <c r="BN64" s="44">
        <f>F64/BA64</f>
        <v>0</v>
      </c>
      <c r="BO64" s="45">
        <f>F64/BF64</f>
        <v>0</v>
      </c>
      <c r="BP64" s="44">
        <f>G64/BA64</f>
        <v>0</v>
      </c>
      <c r="BQ64" s="45">
        <f>G64/BF64</f>
        <v>0</v>
      </c>
      <c r="BR64" s="44">
        <f>H64/BA64</f>
        <v>3.9503565476102353E-3</v>
      </c>
      <c r="BS64" s="45">
        <f>H64/BF64</f>
        <v>19.603960396039604</v>
      </c>
      <c r="BT64" s="44">
        <f>I64/BA64</f>
        <v>0</v>
      </c>
      <c r="BU64" s="45">
        <f>I64/BF64</f>
        <v>0</v>
      </c>
      <c r="BV64" s="44">
        <f>J64/BA64</f>
        <v>6.0010305243252387E-3</v>
      </c>
      <c r="BW64" s="45">
        <f>J64/BF64</f>
        <v>29.780594059405942</v>
      </c>
      <c r="BX64" s="44">
        <f>K64/BA64</f>
        <v>2.3045641900817401E-3</v>
      </c>
      <c r="BY64" s="45">
        <f>K64/BF64</f>
        <v>11.436584158415842</v>
      </c>
      <c r="BZ64" s="46">
        <f>O64/BA64</f>
        <v>9.898456284456637E-3</v>
      </c>
      <c r="CA64" s="47">
        <f>O64/BF64</f>
        <v>49.121881188118813</v>
      </c>
      <c r="CB64" s="44">
        <f>P64/BA64</f>
        <v>0.14700704228864664</v>
      </c>
      <c r="CC64" s="48">
        <f>P64/BF64</f>
        <v>729.53420792079214</v>
      </c>
      <c r="CD64" s="46">
        <f>(U64+V64+AT64)/BG64</f>
        <v>0.62036389040782447</v>
      </c>
      <c r="CE64" s="49">
        <f>(U64+V64+AT64)/BA64</f>
        <v>0.48166366193503063</v>
      </c>
      <c r="CF64" s="49">
        <f>(U64+V64+AT64)/BB64</f>
        <v>0.50952473755606587</v>
      </c>
      <c r="CG64" s="47">
        <f>(U64+V64+AT64)/BF64</f>
        <v>2390.2944554455444</v>
      </c>
      <c r="CH64" s="44">
        <f>W64/BG64</f>
        <v>0.20955350491859145</v>
      </c>
      <c r="CI64" s="50">
        <f>W64/BA64</f>
        <v>0.16270177892535856</v>
      </c>
      <c r="CJ64" s="50">
        <f>W64/BB64</f>
        <v>0.17211300697628804</v>
      </c>
      <c r="CK64" s="45">
        <f>W64/BF64</f>
        <v>807.42059405940586</v>
      </c>
      <c r="CL64" s="46">
        <f>X64/BG64</f>
        <v>1.4505666195117968E-4</v>
      </c>
      <c r="CM64" s="49">
        <f>X64/BA64</f>
        <v>1.1262506419828173E-4</v>
      </c>
      <c r="CN64" s="49">
        <f>X64/BB64</f>
        <v>1.1913968358610576E-4</v>
      </c>
      <c r="CO64" s="47">
        <f>X64/BF64</f>
        <v>0.55891089108910896</v>
      </c>
      <c r="CP64" s="44">
        <f>Y64/BG64</f>
        <v>1.1681943619358844E-2</v>
      </c>
      <c r="CQ64" s="50">
        <f>Y64/BA64</f>
        <v>9.0701084141437283E-3</v>
      </c>
      <c r="CR64" s="50">
        <f>Y64/BB64</f>
        <v>9.5947545446038087E-3</v>
      </c>
      <c r="CS64" s="45">
        <f>Y64/BF64</f>
        <v>45.011138613861384</v>
      </c>
      <c r="CT64" s="46">
        <f>(U64+V64+W64+X64+Y64+Z64+AA64)/BG64</f>
        <v>0.82220040660709881</v>
      </c>
      <c r="CU64" s="49">
        <f>(U64+V64+W64+X64+Y64+Z64+AA64)/BA64</f>
        <v>0.63837380739633631</v>
      </c>
      <c r="CV64" s="49">
        <f>(U64+V64+W64+X64+Y64+Z64+AA64)/BB64</f>
        <v>0.67529953447091995</v>
      </c>
      <c r="CW64" s="47">
        <f>(U64+V64+W64+X64+Y64+Z64+AA64)/BF64</f>
        <v>3167.9810891089105</v>
      </c>
      <c r="CX64" s="44">
        <f>AF64/BG64</f>
        <v>1.413065168236057E-2</v>
      </c>
      <c r="CY64" s="50">
        <f>AF64/BB64</f>
        <v>1.1605956925084336E-2</v>
      </c>
      <c r="CZ64" s="48">
        <f>AF64/BH64</f>
        <v>11.211131498470948</v>
      </c>
      <c r="DA64" s="45">
        <f>AF64/BF64</f>
        <v>54.446138613861393</v>
      </c>
      <c r="DB64" s="51">
        <f>AI64/BB64</f>
        <v>1.2734966355333252E-4</v>
      </c>
      <c r="DC64" s="52">
        <f>AI64/BF64</f>
        <v>0.59742574257425751</v>
      </c>
      <c r="DD64" s="44">
        <f>AJ64/BG64</f>
        <v>9.4736518768558323E-3</v>
      </c>
      <c r="DE64" s="50">
        <f>AJ64/BB64</f>
        <v>7.7810137902759148E-3</v>
      </c>
      <c r="DF64" s="48">
        <f>AJ64/BH64</f>
        <v>7.5163098878695207</v>
      </c>
      <c r="DG64" s="45">
        <f>AJ64/BF64</f>
        <v>36.50247524752475</v>
      </c>
      <c r="DH64" s="46">
        <f>AL64/BG64</f>
        <v>2.9849037825064712E-3</v>
      </c>
      <c r="DI64" s="49">
        <f>AL64/BB64</f>
        <v>2.4515971028099279E-3</v>
      </c>
      <c r="DJ64" s="47">
        <f>AL64/BH64</f>
        <v>2.3681957186544342</v>
      </c>
      <c r="DK64" s="44">
        <f>AM64/BG64</f>
        <v>9.8015942822269997E-2</v>
      </c>
      <c r="DL64" s="50">
        <f>AM64/BA64</f>
        <v>7.6101653687085227E-2</v>
      </c>
      <c r="DM64" s="50">
        <f>AM64/BB64</f>
        <v>8.0503633939744829E-2</v>
      </c>
      <c r="DN64" s="45">
        <f>AM64/BF64</f>
        <v>377.66054455445538</v>
      </c>
      <c r="DO64" s="46">
        <f>AP64/BG64</f>
        <v>1.5385488170059766E-2</v>
      </c>
      <c r="DP64" s="49">
        <f>AP64/BB64</f>
        <v>1.2636594333155247E-2</v>
      </c>
      <c r="DQ64" s="47">
        <f>AP64/BF64</f>
        <v>59.281089108910898</v>
      </c>
      <c r="DR64" s="53">
        <f>AS64/BB64</f>
        <v>7.7115244354119192E-2</v>
      </c>
      <c r="DS64" s="45">
        <f>AS64/BF64</f>
        <v>361.76485148514854</v>
      </c>
      <c r="DT64" s="46" t="e">
        <f>DY64/BG64</f>
        <v>#VALUE!</v>
      </c>
      <c r="DU64" s="49" t="e">
        <f>DY64/BA64</f>
        <v>#VALUE!</v>
      </c>
      <c r="DV64" s="49" t="e">
        <f>DY64/BB64</f>
        <v>#VALUE!</v>
      </c>
      <c r="DW64" s="47" t="e">
        <f>DY64/BF64</f>
        <v>#VALUE!</v>
      </c>
      <c r="DY64" s="54" t="str">
        <f>VLOOKUP(A64,'[3]Barnet Schools'!$E$8:$V$130,17,0)</f>
        <v>x</v>
      </c>
    </row>
    <row r="65" spans="1:256" s="58" customFormat="1">
      <c r="A65" s="79">
        <v>3510</v>
      </c>
      <c r="B65" s="80">
        <v>10110</v>
      </c>
      <c r="C65" s="573" t="s">
        <v>93</v>
      </c>
      <c r="D65" s="595">
        <f>VLOOKUP(A65,[4]CFR20152016_BenchMarkDataReport!$B$3:$BO$99,18,0)</f>
        <v>1594827</v>
      </c>
      <c r="E65" s="595">
        <f>VLOOKUP(A65,[4]CFR20152016_BenchMarkDataReport!$B$3:$BO$99,19,0)</f>
        <v>0</v>
      </c>
      <c r="F65" s="595">
        <f>VLOOKUP(A65,[4]CFR20152016_BenchMarkDataReport!$B$3:$BO$99,20,0)</f>
        <v>46323</v>
      </c>
      <c r="G65" s="595">
        <f>VLOOKUP(A65,[4]CFR20152016_BenchMarkDataReport!$B$3:$BO$99,21,0)</f>
        <v>0</v>
      </c>
      <c r="H65" s="595">
        <f>VLOOKUP(A65,[4]CFR20152016_BenchMarkDataReport!$B$3:$BO$99,22,0)</f>
        <v>59069</v>
      </c>
      <c r="I65" s="595">
        <f>VLOOKUP(A65,[4]CFR20152016_BenchMarkDataReport!$B$3:$BO$99,23,0)</f>
        <v>1400.72</v>
      </c>
      <c r="J65" s="595">
        <f>VLOOKUP(A65,[4]CFR20152016_BenchMarkDataReport!$B$3:$BO$99,24,0)</f>
        <v>4945</v>
      </c>
      <c r="K65" s="595">
        <f>VLOOKUP(A65,[4]CFR20152016_BenchMarkDataReport!$B$3:$BO$99,25,0)</f>
        <v>44435.55</v>
      </c>
      <c r="L65" s="595">
        <f>VLOOKUP(A65,[4]CFR20152016_BenchMarkDataReport!$B$3:$BO$99,26,0)</f>
        <v>63335.55</v>
      </c>
      <c r="M65" s="595">
        <f>VLOOKUP(A65,[4]CFR20152016_BenchMarkDataReport!$B$3:$BO$99,27,0)</f>
        <v>17507</v>
      </c>
      <c r="N65" s="595">
        <f>VLOOKUP(A65,[4]CFR20152016_BenchMarkDataReport!$B$3:$BO$99,28,0)</f>
        <v>0</v>
      </c>
      <c r="O65" s="595">
        <f>VLOOKUP(A65,[4]CFR20152016_BenchMarkDataReport!$B$3:$BO$99,29,0)</f>
        <v>60335.43</v>
      </c>
      <c r="P65" s="595">
        <f>VLOOKUP(A65,[4]CFR20152016_BenchMarkDataReport!$B$3:$BO$99,30,0)</f>
        <v>837.75</v>
      </c>
      <c r="Q65" s="595">
        <f>VLOOKUP(A65,[4]CFR20152016_BenchMarkDataReport!$B$3:$BO$99,31,0)</f>
        <v>0</v>
      </c>
      <c r="R65" s="595">
        <f>VLOOKUP(A65,[4]CFR20152016_BenchMarkDataReport!$B$3:$BO$99,32,0)</f>
        <v>0</v>
      </c>
      <c r="S65" s="595">
        <f>VLOOKUP(A65,[4]CFR20152016_BenchMarkDataReport!$B$3:$BO$99,33,0)</f>
        <v>0</v>
      </c>
      <c r="T65" s="595">
        <f>VLOOKUP(A65,[4]CFR20152016_BenchMarkDataReport!$B$3:$BO$99,34,0)</f>
        <v>78898.03</v>
      </c>
      <c r="U65" s="595">
        <f>VLOOKUP(A65,[4]CFR20152016_BenchMarkDataReport!$B$3:$BO$99,35,0)</f>
        <v>942480.94</v>
      </c>
      <c r="V65" s="595">
        <f>VLOOKUP(A65,[4]CFR20152016_BenchMarkDataReport!$B$3:$BO$99,36,0)</f>
        <v>19416.990000000002</v>
      </c>
      <c r="W65" s="595">
        <f>VLOOKUP(A65,[4]CFR20152016_BenchMarkDataReport!$B$3:$BO$99,37,0)</f>
        <v>303188.90999999997</v>
      </c>
      <c r="X65" s="595">
        <f>VLOOKUP(A65,[4]CFR20152016_BenchMarkDataReport!$B$3:$BO$99,38,0)</f>
        <v>31935.02</v>
      </c>
      <c r="Y65" s="595">
        <f>VLOOKUP(A65,[4]CFR20152016_BenchMarkDataReport!$B$3:$BO$99,39,0)</f>
        <v>81887.48</v>
      </c>
      <c r="Z65" s="595">
        <f>VLOOKUP(A65,[4]CFR20152016_BenchMarkDataReport!$B$3:$BO$99,40,0)</f>
        <v>0</v>
      </c>
      <c r="AA65" s="595">
        <f>VLOOKUP(A65,[4]CFR20152016_BenchMarkDataReport!$B$3:$BO$99,41,0)</f>
        <v>1393.89</v>
      </c>
      <c r="AB65" s="595">
        <f>VLOOKUP(A65,[4]CFR20152016_BenchMarkDataReport!$B$3:$BO$99,42,0)</f>
        <v>16358.37</v>
      </c>
      <c r="AC65" s="595">
        <f>VLOOKUP(A65,[4]CFR20152016_BenchMarkDataReport!$B$3:$BO$99,43,0)</f>
        <v>6542.86</v>
      </c>
      <c r="AD65" s="595">
        <f>VLOOKUP(A65,[4]CFR20152016_BenchMarkDataReport!$B$3:$BO$99,44,0)</f>
        <v>24467.64</v>
      </c>
      <c r="AE65" s="595">
        <f>VLOOKUP(A65,[4]CFR20152016_BenchMarkDataReport!$B$3:$BO$99,45,0)</f>
        <v>0</v>
      </c>
      <c r="AF65" s="595">
        <f>VLOOKUP(A65,[4]CFR20152016_BenchMarkDataReport!$B$3:$BO$99,46,0)</f>
        <v>21355.51</v>
      </c>
      <c r="AG65" s="595">
        <f>VLOOKUP(A65,[4]CFR20152016_BenchMarkDataReport!$B$3:$BO$99,47,0)</f>
        <v>2819.96</v>
      </c>
      <c r="AH65" s="595">
        <f>VLOOKUP(A65,[4]CFR20152016_BenchMarkDataReport!$B$3:$BO$99,48,0)</f>
        <v>31042.07</v>
      </c>
      <c r="AI65" s="595">
        <f>VLOOKUP(A65,[4]CFR20152016_BenchMarkDataReport!$B$3:$BO$99,49,0)</f>
        <v>672.22</v>
      </c>
      <c r="AJ65" s="595">
        <f>VLOOKUP(A65,[4]CFR20152016_BenchMarkDataReport!$B$3:$BO$99,50,0)</f>
        <v>21428.35</v>
      </c>
      <c r="AK65" s="595">
        <f>VLOOKUP(A65,[4]CFR20152016_BenchMarkDataReport!$B$3:$BO$99,51,0)</f>
        <v>0</v>
      </c>
      <c r="AL65" s="595">
        <f>VLOOKUP(A65,[4]CFR20152016_BenchMarkDataReport!$B$3:$BO$99,52,0)</f>
        <v>7899.3</v>
      </c>
      <c r="AM65" s="595">
        <f>VLOOKUP(A65,[4]CFR20152016_BenchMarkDataReport!$B$3:$BO$99,53,0)</f>
        <v>98535</v>
      </c>
      <c r="AN65" s="595">
        <f>VLOOKUP(A65,[4]CFR20152016_BenchMarkDataReport!$B$3:$BO$99,54,0)</f>
        <v>16876.75</v>
      </c>
      <c r="AO65" s="595">
        <f>VLOOKUP(A65,[4]CFR20152016_BenchMarkDataReport!$B$3:$BO$99,55,0)</f>
        <v>0</v>
      </c>
      <c r="AP65" s="595">
        <f>VLOOKUP(A65,[4]CFR20152016_BenchMarkDataReport!$B$3:$BO$99,56,0)</f>
        <v>16562.419999999998</v>
      </c>
      <c r="AQ65" s="595">
        <f>VLOOKUP(A65,[4]CFR20152016_BenchMarkDataReport!$B$3:$BO$99,57,0)</f>
        <v>12822.86</v>
      </c>
      <c r="AR65" s="595">
        <f>VLOOKUP(A65,[4]CFR20152016_BenchMarkDataReport!$B$3:$BO$99,58,0)</f>
        <v>4570.53</v>
      </c>
      <c r="AS65" s="595">
        <f>VLOOKUP(A65,[4]CFR20152016_BenchMarkDataReport!$B$3:$BO$99,59,0)</f>
        <v>125944.08</v>
      </c>
      <c r="AT65" s="595">
        <f>VLOOKUP(A65,[4]CFR20152016_BenchMarkDataReport!$B$3:$BO$99,60,0)</f>
        <v>11720</v>
      </c>
      <c r="AU65" s="595">
        <f>VLOOKUP(A65,[4]CFR20152016_BenchMarkDataReport!$B$3:$BO$99,61,0)</f>
        <v>90341.55</v>
      </c>
      <c r="AV65" s="595">
        <f>VLOOKUP(A65,[4]CFR20152016_BenchMarkDataReport!$B$3:$BO$99,62,0)</f>
        <v>36383.33</v>
      </c>
      <c r="AW65" s="595">
        <f>VLOOKUP(A65,[4]CFR20152016_BenchMarkDataReport!$B$3:$BO$99,63,0)</f>
        <v>0</v>
      </c>
      <c r="AX65" s="595">
        <f>VLOOKUP(A65,[4]CFR20152016_BenchMarkDataReport!$B$3:$BO$99,64,0)</f>
        <v>21636</v>
      </c>
      <c r="AY65" s="595">
        <f>VLOOKUP(A65,[4]CFR20152016_BenchMarkDataReport!$B$3:$BO$99,65,0)</f>
        <v>0</v>
      </c>
      <c r="AZ65" s="595">
        <f>VLOOKUP(A65,[4]CFR20152016_BenchMarkDataReport!$B$3:$BO$99,66,0)</f>
        <v>0</v>
      </c>
      <c r="BA65" s="596">
        <f t="shared" si="134"/>
        <v>1971914.03</v>
      </c>
      <c r="BB65" s="595">
        <f t="shared" si="42"/>
        <v>1948282.0300000003</v>
      </c>
      <c r="BC65" s="601">
        <f t="shared" si="100"/>
        <v>23631.999999999767</v>
      </c>
      <c r="BD65" s="595">
        <f>VLOOKUP(A65,[4]CFR20152016_BenchMarkDataReport!$B$3:$BO$99,15,0)</f>
        <v>119920</v>
      </c>
      <c r="BE65" s="601">
        <f t="shared" si="101"/>
        <v>143551.99999999977</v>
      </c>
      <c r="BF65" s="76">
        <f>VLOOKUP(A65,'OCT 15 CENSUS'!$B$9:$U$132,20,0)</f>
        <v>419</v>
      </c>
      <c r="BG65" s="73">
        <f>VLOOKUP(A65,'[2]BUDGET SHARE inc ADJUSTMENTS'!$D$4:$M$139,10,0)</f>
        <v>1775757.4156141775</v>
      </c>
      <c r="BH65" s="76">
        <f>VLOOKUP(A65,'12-13 Pupil Data'!A:CI,81,0)</f>
        <v>2364</v>
      </c>
      <c r="BI65" t="s">
        <v>210</v>
      </c>
      <c r="BJ65" s="44">
        <f t="shared" si="76"/>
        <v>0.8087710598620772</v>
      </c>
      <c r="BK65" s="45">
        <f t="shared" si="77"/>
        <v>3806.2696897374703</v>
      </c>
      <c r="BL65" s="44">
        <f t="shared" si="78"/>
        <v>0</v>
      </c>
      <c r="BM65" s="45">
        <f t="shared" si="79"/>
        <v>0</v>
      </c>
      <c r="BN65" s="44">
        <f t="shared" si="80"/>
        <v>2.3491389226537426E-2</v>
      </c>
      <c r="BO65" s="45">
        <f t="shared" si="81"/>
        <v>110.55608591885442</v>
      </c>
      <c r="BP65" s="44">
        <f t="shared" si="82"/>
        <v>0</v>
      </c>
      <c r="BQ65" s="45">
        <f t="shared" si="83"/>
        <v>0</v>
      </c>
      <c r="BR65" s="44">
        <f t="shared" si="84"/>
        <v>2.9955159860594938E-2</v>
      </c>
      <c r="BS65" s="45">
        <f t="shared" si="85"/>
        <v>140.97613365155132</v>
      </c>
      <c r="BT65" s="44">
        <f t="shared" si="86"/>
        <v>7.1033522693684571E-4</v>
      </c>
      <c r="BU65" s="45">
        <f t="shared" si="87"/>
        <v>3.3430071599045346</v>
      </c>
      <c r="BV65" s="44">
        <f t="shared" si="88"/>
        <v>2.5077158155824876E-3</v>
      </c>
      <c r="BW65" s="45">
        <f t="shared" si="89"/>
        <v>11.801909307875896</v>
      </c>
      <c r="BX65" s="44">
        <f t="shared" si="90"/>
        <v>2.253422275209432E-2</v>
      </c>
      <c r="BY65" s="45">
        <f t="shared" si="91"/>
        <v>106.05143198090693</v>
      </c>
      <c r="BZ65" s="46">
        <f t="shared" si="92"/>
        <v>3.0597393741348854E-2</v>
      </c>
      <c r="CA65" s="47">
        <f t="shared" si="93"/>
        <v>143.99863961813841</v>
      </c>
      <c r="CB65" s="44">
        <f t="shared" si="94"/>
        <v>4.2484103630014742E-4</v>
      </c>
      <c r="CC65" s="48">
        <f t="shared" si="95"/>
        <v>1.9994033412887828</v>
      </c>
      <c r="CD65" s="46">
        <f t="shared" si="64"/>
        <v>0.54828318408753862</v>
      </c>
      <c r="CE65" s="49">
        <f t="shared" si="65"/>
        <v>0.49374258471095717</v>
      </c>
      <c r="CF65" s="49">
        <f t="shared" si="66"/>
        <v>0.49973151474378674</v>
      </c>
      <c r="CG65" s="47">
        <f t="shared" si="67"/>
        <v>2323.6704773269689</v>
      </c>
      <c r="CH65" s="44">
        <f t="shared" si="102"/>
        <v>0.17073779747958234</v>
      </c>
      <c r="CI65" s="50">
        <f t="shared" si="103"/>
        <v>0.15375361470499804</v>
      </c>
      <c r="CJ65" s="50">
        <f t="shared" si="104"/>
        <v>0.15561859388499311</v>
      </c>
      <c r="CK65" s="45">
        <f t="shared" si="105"/>
        <v>723.60121718377081</v>
      </c>
      <c r="CL65" s="46">
        <f t="shared" si="105"/>
        <v>1.7983886604778562E-2</v>
      </c>
      <c r="CM65" s="49">
        <f t="shared" si="68"/>
        <v>1.6194935232546625E-2</v>
      </c>
      <c r="CN65" s="49">
        <f t="shared" si="69"/>
        <v>1.639137430221024E-2</v>
      </c>
      <c r="CO65" s="47">
        <f t="shared" si="70"/>
        <v>76.217231503579953</v>
      </c>
      <c r="CP65" s="44">
        <f t="shared" si="106"/>
        <v>4.6114114056326636E-2</v>
      </c>
      <c r="CQ65" s="50">
        <f t="shared" si="107"/>
        <v>4.1526901657066663E-2</v>
      </c>
      <c r="CR65" s="50">
        <f t="shared" si="71"/>
        <v>4.2030608884690061E-2</v>
      </c>
      <c r="CS65" s="45">
        <f t="shared" si="108"/>
        <v>195.43551312649163</v>
      </c>
      <c r="CT65" s="46">
        <f t="shared" si="109"/>
        <v>0.77730393682326093</v>
      </c>
      <c r="CU65" s="49">
        <f t="shared" si="110"/>
        <v>0.69998144391720751</v>
      </c>
      <c r="CV65" s="49">
        <f t="shared" si="111"/>
        <v>0.70847198133834843</v>
      </c>
      <c r="CW65" s="47">
        <f t="shared" si="112"/>
        <v>3294.2797852028634</v>
      </c>
      <c r="CX65" s="44">
        <f t="shared" si="113"/>
        <v>1.202614152824124E-2</v>
      </c>
      <c r="CY65" s="50">
        <f t="shared" si="114"/>
        <v>1.0961200519824122E-2</v>
      </c>
      <c r="CZ65" s="48">
        <f t="shared" si="115"/>
        <v>9.033633671742809</v>
      </c>
      <c r="DA65" s="45">
        <f t="shared" si="116"/>
        <v>50.96780429594272</v>
      </c>
      <c r="DB65" s="51">
        <f t="shared" si="117"/>
        <v>3.4503218201935575E-4</v>
      </c>
      <c r="DC65" s="52">
        <f t="shared" si="118"/>
        <v>1.6043436754176612</v>
      </c>
      <c r="DD65" s="44">
        <f t="shared" si="118"/>
        <v>1.2067160644568458E-2</v>
      </c>
      <c r="DE65" s="50">
        <f t="shared" si="119"/>
        <v>1.0998587304118386E-2</v>
      </c>
      <c r="DF65" s="48">
        <f t="shared" si="120"/>
        <v>9.0644458544839246</v>
      </c>
      <c r="DG65" s="45">
        <f t="shared" si="121"/>
        <v>51.141646778042954</v>
      </c>
      <c r="DH65" s="46">
        <f t="shared" si="122"/>
        <v>4.4484116639703771E-3</v>
      </c>
      <c r="DI65" s="49">
        <f t="shared" si="123"/>
        <v>4.0544951287160404E-3</v>
      </c>
      <c r="DJ65" s="47">
        <f t="shared" si="124"/>
        <v>3.3414974619289342</v>
      </c>
      <c r="DK65" s="44">
        <f t="shared" si="125"/>
        <v>5.5488998178233655E-2</v>
      </c>
      <c r="DL65" s="50">
        <f t="shared" si="126"/>
        <v>4.996921696429129E-2</v>
      </c>
      <c r="DM65" s="50">
        <f t="shared" si="127"/>
        <v>5.0575326612235905E-2</v>
      </c>
      <c r="DN65" s="45">
        <f t="shared" si="128"/>
        <v>235.1670644391408</v>
      </c>
      <c r="DO65" s="46">
        <f t="shared" si="129"/>
        <v>9.3269609093940276E-3</v>
      </c>
      <c r="DP65" s="49">
        <f t="shared" si="130"/>
        <v>8.5010382198105038E-3</v>
      </c>
      <c r="DQ65" s="47">
        <f t="shared" si="131"/>
        <v>39.528448687350831</v>
      </c>
      <c r="DR65" s="53">
        <f t="shared" si="132"/>
        <v>6.4643659419267946E-2</v>
      </c>
      <c r="DS65" s="45">
        <f t="shared" si="133"/>
        <v>300.58252983293556</v>
      </c>
      <c r="DT65" s="46">
        <f t="shared" si="96"/>
        <v>2.4778159231159293E-5</v>
      </c>
      <c r="DU65" s="49">
        <f t="shared" si="97"/>
        <v>2.231334598293821E-5</v>
      </c>
      <c r="DV65" s="49">
        <f t="shared" si="98"/>
        <v>2.2583999299115845E-5</v>
      </c>
      <c r="DW65" s="47">
        <f t="shared" si="99"/>
        <v>0.10501193317422435</v>
      </c>
      <c r="DX65"/>
      <c r="DY65" s="54">
        <f>VLOOKUP(A65,'[3]Barnet Schools'!$E$8:$V$130,17,0)</f>
        <v>44</v>
      </c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58" customFormat="1">
      <c r="A66" s="79">
        <v>3502</v>
      </c>
      <c r="B66" s="80">
        <v>10087</v>
      </c>
      <c r="C66" s="573" t="s">
        <v>94</v>
      </c>
      <c r="D66" s="595">
        <f>VLOOKUP(A66,[4]CFR20152016_BenchMarkDataReport!$B$3:$BO$99,18,0)</f>
        <v>1448198</v>
      </c>
      <c r="E66" s="595">
        <f>VLOOKUP(A66,[4]CFR20152016_BenchMarkDataReport!$B$3:$BO$99,19,0)</f>
        <v>0</v>
      </c>
      <c r="F66" s="595">
        <f>VLOOKUP(A66,[4]CFR20152016_BenchMarkDataReport!$B$3:$BO$99,20,0)</f>
        <v>28505</v>
      </c>
      <c r="G66" s="595">
        <f>VLOOKUP(A66,[4]CFR20152016_BenchMarkDataReport!$B$3:$BO$99,21,0)</f>
        <v>0</v>
      </c>
      <c r="H66" s="595">
        <f>VLOOKUP(A66,[4]CFR20152016_BenchMarkDataReport!$B$3:$BO$99,22,0)</f>
        <v>82273.990000000005</v>
      </c>
      <c r="I66" s="595">
        <f>VLOOKUP(A66,[4]CFR20152016_BenchMarkDataReport!$B$3:$BO$99,23,0)</f>
        <v>1300</v>
      </c>
      <c r="J66" s="595">
        <f>VLOOKUP(A66,[4]CFR20152016_BenchMarkDataReport!$B$3:$BO$99,24,0)</f>
        <v>6864.42</v>
      </c>
      <c r="K66" s="595">
        <f>VLOOKUP(A66,[4]CFR20152016_BenchMarkDataReport!$B$3:$BO$99,25,0)</f>
        <v>58300.76</v>
      </c>
      <c r="L66" s="595">
        <f>VLOOKUP(A66,[4]CFR20152016_BenchMarkDataReport!$B$3:$BO$99,26,0)</f>
        <v>44069.59</v>
      </c>
      <c r="M66" s="595">
        <f>VLOOKUP(A66,[4]CFR20152016_BenchMarkDataReport!$B$3:$BO$99,27,0)</f>
        <v>2394</v>
      </c>
      <c r="N66" s="595">
        <f>VLOOKUP(A66,[4]CFR20152016_BenchMarkDataReport!$B$3:$BO$99,28,0)</f>
        <v>4620</v>
      </c>
      <c r="O66" s="595">
        <f>VLOOKUP(A66,[4]CFR20152016_BenchMarkDataReport!$B$3:$BO$99,29,0)</f>
        <v>35460.15</v>
      </c>
      <c r="P66" s="595">
        <f>VLOOKUP(A66,[4]CFR20152016_BenchMarkDataReport!$B$3:$BO$99,30,0)</f>
        <v>5823.79</v>
      </c>
      <c r="Q66" s="595">
        <f>VLOOKUP(A66,[4]CFR20152016_BenchMarkDataReport!$B$3:$BO$99,31,0)</f>
        <v>0</v>
      </c>
      <c r="R66" s="595">
        <f>VLOOKUP(A66,[4]CFR20152016_BenchMarkDataReport!$B$3:$BO$99,32,0)</f>
        <v>0</v>
      </c>
      <c r="S66" s="595">
        <f>VLOOKUP(A66,[4]CFR20152016_BenchMarkDataReport!$B$3:$BO$99,33,0)</f>
        <v>0</v>
      </c>
      <c r="T66" s="595">
        <f>VLOOKUP(A66,[4]CFR20152016_BenchMarkDataReport!$B$3:$BO$99,34,0)</f>
        <v>62593.919999999998</v>
      </c>
      <c r="U66" s="595">
        <f>VLOOKUP(A66,[4]CFR20152016_BenchMarkDataReport!$B$3:$BO$99,35,0)</f>
        <v>731130.58</v>
      </c>
      <c r="V66" s="595">
        <f>VLOOKUP(A66,[4]CFR20152016_BenchMarkDataReport!$B$3:$BO$99,36,0)</f>
        <v>0</v>
      </c>
      <c r="W66" s="595">
        <f>VLOOKUP(A66,[4]CFR20152016_BenchMarkDataReport!$B$3:$BO$99,37,0)</f>
        <v>326345.03000000003</v>
      </c>
      <c r="X66" s="595">
        <f>VLOOKUP(A66,[4]CFR20152016_BenchMarkDataReport!$B$3:$BO$99,38,0)</f>
        <v>43446.97</v>
      </c>
      <c r="Y66" s="595">
        <f>VLOOKUP(A66,[4]CFR20152016_BenchMarkDataReport!$B$3:$BO$99,39,0)</f>
        <v>65101.68</v>
      </c>
      <c r="Z66" s="595">
        <f>VLOOKUP(A66,[4]CFR20152016_BenchMarkDataReport!$B$3:$BO$99,40,0)</f>
        <v>0</v>
      </c>
      <c r="AA66" s="595">
        <f>VLOOKUP(A66,[4]CFR20152016_BenchMarkDataReport!$B$3:$BO$99,41,0)</f>
        <v>31755.37</v>
      </c>
      <c r="AB66" s="595">
        <f>VLOOKUP(A66,[4]CFR20152016_BenchMarkDataReport!$B$3:$BO$99,42,0)</f>
        <v>6038.9</v>
      </c>
      <c r="AC66" s="595">
        <f>VLOOKUP(A66,[4]CFR20152016_BenchMarkDataReport!$B$3:$BO$99,43,0)</f>
        <v>13331.23</v>
      </c>
      <c r="AD66" s="595">
        <f>VLOOKUP(A66,[4]CFR20152016_BenchMarkDataReport!$B$3:$BO$99,44,0)</f>
        <v>15350.54</v>
      </c>
      <c r="AE66" s="595">
        <f>VLOOKUP(A66,[4]CFR20152016_BenchMarkDataReport!$B$3:$BO$99,45,0)</f>
        <v>1457.4</v>
      </c>
      <c r="AF66" s="595">
        <f>VLOOKUP(A66,[4]CFR20152016_BenchMarkDataReport!$B$3:$BO$99,46,0)</f>
        <v>19933.43</v>
      </c>
      <c r="AG66" s="595">
        <f>VLOOKUP(A66,[4]CFR20152016_BenchMarkDataReport!$B$3:$BO$99,47,0)</f>
        <v>4339.0600000000004</v>
      </c>
      <c r="AH66" s="595">
        <f>VLOOKUP(A66,[4]CFR20152016_BenchMarkDataReport!$B$3:$BO$99,48,0)</f>
        <v>2927.1</v>
      </c>
      <c r="AI66" s="595">
        <f>VLOOKUP(A66,[4]CFR20152016_BenchMarkDataReport!$B$3:$BO$99,49,0)</f>
        <v>4259.79</v>
      </c>
      <c r="AJ66" s="595">
        <f>VLOOKUP(A66,[4]CFR20152016_BenchMarkDataReport!$B$3:$BO$99,50,0)</f>
        <v>16971.25</v>
      </c>
      <c r="AK66" s="595">
        <f>VLOOKUP(A66,[4]CFR20152016_BenchMarkDataReport!$B$3:$BO$99,51,0)</f>
        <v>0</v>
      </c>
      <c r="AL66" s="595">
        <f>VLOOKUP(A66,[4]CFR20152016_BenchMarkDataReport!$B$3:$BO$99,52,0)</f>
        <v>8916.1</v>
      </c>
      <c r="AM66" s="595">
        <f>VLOOKUP(A66,[4]CFR20152016_BenchMarkDataReport!$B$3:$BO$99,53,0)</f>
        <v>75521.69</v>
      </c>
      <c r="AN66" s="595">
        <f>VLOOKUP(A66,[4]CFR20152016_BenchMarkDataReport!$B$3:$BO$99,54,0)</f>
        <v>23074.32</v>
      </c>
      <c r="AO66" s="595">
        <f>VLOOKUP(A66,[4]CFR20152016_BenchMarkDataReport!$B$3:$BO$99,55,0)</f>
        <v>0</v>
      </c>
      <c r="AP66" s="595">
        <f>VLOOKUP(A66,[4]CFR20152016_BenchMarkDataReport!$B$3:$BO$99,56,0)</f>
        <v>25884.84</v>
      </c>
      <c r="AQ66" s="595">
        <f>VLOOKUP(A66,[4]CFR20152016_BenchMarkDataReport!$B$3:$BO$99,57,0)</f>
        <v>8896.5300000000007</v>
      </c>
      <c r="AR66" s="595">
        <f>VLOOKUP(A66,[4]CFR20152016_BenchMarkDataReport!$B$3:$BO$99,58,0)</f>
        <v>19753.900000000001</v>
      </c>
      <c r="AS66" s="595">
        <f>VLOOKUP(A66,[4]CFR20152016_BenchMarkDataReport!$B$3:$BO$99,59,0)</f>
        <v>90957.1</v>
      </c>
      <c r="AT66" s="595">
        <f>VLOOKUP(A66,[4]CFR20152016_BenchMarkDataReport!$B$3:$BO$99,60,0)</f>
        <v>25796.2</v>
      </c>
      <c r="AU66" s="595">
        <f>VLOOKUP(A66,[4]CFR20152016_BenchMarkDataReport!$B$3:$BO$99,61,0)</f>
        <v>53346.46</v>
      </c>
      <c r="AV66" s="595">
        <f>VLOOKUP(A66,[4]CFR20152016_BenchMarkDataReport!$B$3:$BO$99,62,0)</f>
        <v>37483.25</v>
      </c>
      <c r="AW66" s="595">
        <f>VLOOKUP(A66,[4]CFR20152016_BenchMarkDataReport!$B$3:$BO$99,63,0)</f>
        <v>0</v>
      </c>
      <c r="AX66" s="595">
        <f>VLOOKUP(A66,[4]CFR20152016_BenchMarkDataReport!$B$3:$BO$99,64,0)</f>
        <v>44400.9</v>
      </c>
      <c r="AY66" s="595">
        <f>VLOOKUP(A66,[4]CFR20152016_BenchMarkDataReport!$B$3:$BO$99,65,0)</f>
        <v>0</v>
      </c>
      <c r="AZ66" s="595">
        <f>VLOOKUP(A66,[4]CFR20152016_BenchMarkDataReport!$B$3:$BO$99,66,0)</f>
        <v>0</v>
      </c>
      <c r="BA66" s="596">
        <f t="shared" si="134"/>
        <v>1780403.6199999999</v>
      </c>
      <c r="BB66" s="595">
        <f t="shared" si="42"/>
        <v>1696419.6199999999</v>
      </c>
      <c r="BC66" s="601">
        <f t="shared" si="100"/>
        <v>83984</v>
      </c>
      <c r="BD66" s="595">
        <f>VLOOKUP(A66,[4]CFR20152016_BenchMarkDataReport!$B$3:$BO$99,15,0)</f>
        <v>181796</v>
      </c>
      <c r="BE66" s="601">
        <f t="shared" si="101"/>
        <v>265780</v>
      </c>
      <c r="BF66" s="76">
        <f>VLOOKUP(A66,'OCT 15 CENSUS'!$B$9:$U$132,20,0)</f>
        <v>354</v>
      </c>
      <c r="BG66" s="73">
        <f>VLOOKUP(A66,'[2]BUDGET SHARE inc ADJUSTMENTS'!$D$4:$M$139,10,0)</f>
        <v>1611938.4697946296</v>
      </c>
      <c r="BH66" s="76">
        <f>VLOOKUP(A66,'12-13 Pupil Data'!A:CI,81,0)</f>
        <v>1684</v>
      </c>
      <c r="BI66" t="s">
        <v>210</v>
      </c>
      <c r="BJ66" s="44">
        <f t="shared" si="76"/>
        <v>0.81340993903393666</v>
      </c>
      <c r="BK66" s="45">
        <f t="shared" si="77"/>
        <v>4090.9548022598869</v>
      </c>
      <c r="BL66" s="44">
        <f t="shared" si="78"/>
        <v>0</v>
      </c>
      <c r="BM66" s="45">
        <f t="shared" si="79"/>
        <v>0</v>
      </c>
      <c r="BN66" s="44">
        <f t="shared" si="80"/>
        <v>1.6010414537350807E-2</v>
      </c>
      <c r="BO66" s="45">
        <f t="shared" si="81"/>
        <v>80.522598870056498</v>
      </c>
      <c r="BP66" s="44">
        <f t="shared" si="82"/>
        <v>0</v>
      </c>
      <c r="BQ66" s="45">
        <f t="shared" si="83"/>
        <v>0</v>
      </c>
      <c r="BR66" s="44">
        <f t="shared" si="84"/>
        <v>4.6210864253353974E-2</v>
      </c>
      <c r="BS66" s="45">
        <f t="shared" si="85"/>
        <v>232.4124011299435</v>
      </c>
      <c r="BT66" s="44">
        <f t="shared" si="86"/>
        <v>7.3017151021070165E-4</v>
      </c>
      <c r="BU66" s="45">
        <f t="shared" si="87"/>
        <v>3.6723163841807911</v>
      </c>
      <c r="BV66" s="44">
        <f t="shared" si="88"/>
        <v>3.8555414754773416E-3</v>
      </c>
      <c r="BW66" s="45">
        <f t="shared" si="89"/>
        <v>19.391016949152544</v>
      </c>
      <c r="BX66" s="44">
        <f t="shared" si="90"/>
        <v>3.2745810750485896E-2</v>
      </c>
      <c r="BY66" s="45">
        <f t="shared" si="91"/>
        <v>164.69141242937854</v>
      </c>
      <c r="BZ66" s="46">
        <f t="shared" si="92"/>
        <v>1.9916916367536931E-2</v>
      </c>
      <c r="CA66" s="47">
        <f t="shared" si="93"/>
        <v>100.1699152542373</v>
      </c>
      <c r="CB66" s="44">
        <f t="shared" si="94"/>
        <v>3.2710504149615245E-3</v>
      </c>
      <c r="CC66" s="48">
        <f t="shared" si="95"/>
        <v>16.45138418079096</v>
      </c>
      <c r="CD66" s="46">
        <f t="shared" ref="CD66:CD87" si="135">(U66+V66+AT66)/BG66</f>
        <v>0.46957547957549323</v>
      </c>
      <c r="CE66" s="49">
        <f t="shared" ref="CE66:CE87" si="136">(U66+V66+AT66)/BA66</f>
        <v>0.42514336159347954</v>
      </c>
      <c r="CF66" s="49">
        <f t="shared" ref="CF66:CF87" si="137">(U66+V66+AT66)/BB66</f>
        <v>0.44619077206852864</v>
      </c>
      <c r="CG66" s="47">
        <f t="shared" ref="CG66:CG87" si="138">(U66+V66+AT66)/BF66</f>
        <v>2138.2112429378531</v>
      </c>
      <c r="CH66" s="44">
        <f t="shared" si="102"/>
        <v>0.20245501681064682</v>
      </c>
      <c r="CI66" s="50">
        <f t="shared" si="103"/>
        <v>0.18329834108065904</v>
      </c>
      <c r="CJ66" s="50">
        <f t="shared" si="104"/>
        <v>0.19237282223840352</v>
      </c>
      <c r="CK66" s="45">
        <f t="shared" si="105"/>
        <v>921.87861581920913</v>
      </c>
      <c r="CL66" s="46">
        <f t="shared" si="105"/>
        <v>2.6953243448265989E-2</v>
      </c>
      <c r="CM66" s="49">
        <f t="shared" si="68"/>
        <v>2.4402876691522343E-2</v>
      </c>
      <c r="CN66" s="49">
        <f t="shared" si="69"/>
        <v>2.5610980613393286E-2</v>
      </c>
      <c r="CO66" s="47">
        <f t="shared" si="70"/>
        <v>122.73155367231639</v>
      </c>
      <c r="CP66" s="44">
        <f t="shared" si="106"/>
        <v>4.0387199151773044E-2</v>
      </c>
      <c r="CQ66" s="50">
        <f t="shared" si="107"/>
        <v>3.6565686156041409E-2</v>
      </c>
      <c r="CR66" s="50">
        <f t="shared" si="71"/>
        <v>3.8375929653537019E-2</v>
      </c>
      <c r="CS66" s="45">
        <f t="shared" si="108"/>
        <v>183.90305084745762</v>
      </c>
      <c r="CT66" s="46">
        <f t="shared" si="109"/>
        <v>0.7430678356802316</v>
      </c>
      <c r="CU66" s="49">
        <f t="shared" si="110"/>
        <v>0.67275735487439636</v>
      </c>
      <c r="CV66" s="49">
        <f t="shared" si="111"/>
        <v>0.7060632970043107</v>
      </c>
      <c r="CW66" s="47">
        <f t="shared" si="112"/>
        <v>3383.5582768361578</v>
      </c>
      <c r="CX66" s="44">
        <f t="shared" si="113"/>
        <v>1.2366123380962324E-2</v>
      </c>
      <c r="CY66" s="50">
        <f t="shared" si="114"/>
        <v>1.1750294423027247E-2</v>
      </c>
      <c r="CZ66" s="48">
        <f t="shared" si="115"/>
        <v>11.836953681710215</v>
      </c>
      <c r="DA66" s="45">
        <f t="shared" si="116"/>
        <v>56.30912429378531</v>
      </c>
      <c r="DB66" s="51">
        <f t="shared" si="117"/>
        <v>2.5110473551349286E-3</v>
      </c>
      <c r="DC66" s="52">
        <f t="shared" si="118"/>
        <v>12.033305084745763</v>
      </c>
      <c r="DD66" s="44">
        <f t="shared" si="118"/>
        <v>1.0528472592481918E-2</v>
      </c>
      <c r="DE66" s="50">
        <f t="shared" si="119"/>
        <v>1.000415805141419E-2</v>
      </c>
      <c r="DF66" s="48">
        <f t="shared" si="120"/>
        <v>10.07793942992874</v>
      </c>
      <c r="DG66" s="45">
        <f t="shared" si="121"/>
        <v>47.941384180790962</v>
      </c>
      <c r="DH66" s="46">
        <f t="shared" si="122"/>
        <v>5.5312905343936382E-3</v>
      </c>
      <c r="DI66" s="49">
        <f t="shared" si="123"/>
        <v>5.25583404888939E-3</v>
      </c>
      <c r="DJ66" s="47">
        <f t="shared" si="124"/>
        <v>5.2945961995249409</v>
      </c>
      <c r="DK66" s="44">
        <f t="shared" si="125"/>
        <v>4.6851471948319408E-2</v>
      </c>
      <c r="DL66" s="50">
        <f t="shared" si="126"/>
        <v>4.2418297262280337E-2</v>
      </c>
      <c r="DM66" s="50">
        <f t="shared" si="127"/>
        <v>4.4518283748687139E-2</v>
      </c>
      <c r="DN66" s="45">
        <f t="shared" si="128"/>
        <v>213.33810734463279</v>
      </c>
      <c r="DO66" s="46">
        <f t="shared" si="129"/>
        <v>1.6058205995479392E-2</v>
      </c>
      <c r="DP66" s="49">
        <f t="shared" si="130"/>
        <v>1.5258512513548978E-2</v>
      </c>
      <c r="DQ66" s="47">
        <f t="shared" si="131"/>
        <v>73.121016949152548</v>
      </c>
      <c r="DR66" s="53">
        <f t="shared" si="132"/>
        <v>5.3617099759787033E-2</v>
      </c>
      <c r="DS66" s="45">
        <f t="shared" si="133"/>
        <v>256.94096045197739</v>
      </c>
      <c r="DT66" s="46">
        <f t="shared" si="96"/>
        <v>3.5361151227603705E-5</v>
      </c>
      <c r="DU66" s="49">
        <f t="shared" si="97"/>
        <v>3.2015212370776913E-5</v>
      </c>
      <c r="DV66" s="49">
        <f t="shared" si="98"/>
        <v>3.3600177295756578E-5</v>
      </c>
      <c r="DW66" s="47">
        <f t="shared" si="99"/>
        <v>0.16101694915254236</v>
      </c>
      <c r="DX66"/>
      <c r="DY66" s="54">
        <f>VLOOKUP(A66,'[3]Barnet Schools'!$E$8:$V$130,17,0)</f>
        <v>57</v>
      </c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58" customFormat="1">
      <c r="A67" s="79">
        <v>3315</v>
      </c>
      <c r="B67" s="80">
        <v>10099</v>
      </c>
      <c r="C67" s="573" t="s">
        <v>95</v>
      </c>
      <c r="D67" s="595">
        <f>VLOOKUP(A67,[4]CFR20152016_BenchMarkDataReport!$B$3:$BO$99,18,0)</f>
        <v>842567</v>
      </c>
      <c r="E67" s="595">
        <f>VLOOKUP(A67,[4]CFR20152016_BenchMarkDataReport!$B$3:$BO$99,19,0)</f>
        <v>0</v>
      </c>
      <c r="F67" s="595">
        <f>VLOOKUP(A67,[4]CFR20152016_BenchMarkDataReport!$B$3:$BO$99,20,0)</f>
        <v>40674</v>
      </c>
      <c r="G67" s="595">
        <f>VLOOKUP(A67,[4]CFR20152016_BenchMarkDataReport!$B$3:$BO$99,21,0)</f>
        <v>0</v>
      </c>
      <c r="H67" s="595">
        <f>VLOOKUP(A67,[4]CFR20152016_BenchMarkDataReport!$B$3:$BO$99,22,0)</f>
        <v>16184.97</v>
      </c>
      <c r="I67" s="595">
        <f>VLOOKUP(A67,[4]CFR20152016_BenchMarkDataReport!$B$3:$BO$99,23,0)</f>
        <v>0</v>
      </c>
      <c r="J67" s="595">
        <f>VLOOKUP(A67,[4]CFR20152016_BenchMarkDataReport!$B$3:$BO$99,24,0)</f>
        <v>11459.95</v>
      </c>
      <c r="K67" s="595">
        <f>VLOOKUP(A67,[4]CFR20152016_BenchMarkDataReport!$B$3:$BO$99,25,0)</f>
        <v>52692.3</v>
      </c>
      <c r="L67" s="595">
        <f>VLOOKUP(A67,[4]CFR20152016_BenchMarkDataReport!$B$3:$BO$99,26,0)</f>
        <v>31981.97</v>
      </c>
      <c r="M67" s="595">
        <f>VLOOKUP(A67,[4]CFR20152016_BenchMarkDataReport!$B$3:$BO$99,27,0)</f>
        <v>1035.26</v>
      </c>
      <c r="N67" s="595">
        <f>VLOOKUP(A67,[4]CFR20152016_BenchMarkDataReport!$B$3:$BO$99,28,0)</f>
        <v>0</v>
      </c>
      <c r="O67" s="595">
        <f>VLOOKUP(A67,[4]CFR20152016_BenchMarkDataReport!$B$3:$BO$99,29,0)</f>
        <v>37896.449999999997</v>
      </c>
      <c r="P67" s="595">
        <f>VLOOKUP(A67,[4]CFR20152016_BenchMarkDataReport!$B$3:$BO$99,30,0)</f>
        <v>98385.62</v>
      </c>
      <c r="Q67" s="595">
        <f>VLOOKUP(A67,[4]CFR20152016_BenchMarkDataReport!$B$3:$BO$99,31,0)</f>
        <v>0</v>
      </c>
      <c r="R67" s="595">
        <f>VLOOKUP(A67,[4]CFR20152016_BenchMarkDataReport!$B$3:$BO$99,32,0)</f>
        <v>0</v>
      </c>
      <c r="S67" s="595">
        <f>VLOOKUP(A67,[4]CFR20152016_BenchMarkDataReport!$B$3:$BO$99,33,0)</f>
        <v>0</v>
      </c>
      <c r="T67" s="595">
        <f>VLOOKUP(A67,[4]CFR20152016_BenchMarkDataReport!$B$3:$BO$99,34,0)</f>
        <v>49336.51</v>
      </c>
      <c r="U67" s="595">
        <f>VLOOKUP(A67,[4]CFR20152016_BenchMarkDataReport!$B$3:$BO$99,35,0)</f>
        <v>454451.4</v>
      </c>
      <c r="V67" s="595">
        <f>VLOOKUP(A67,[4]CFR20152016_BenchMarkDataReport!$B$3:$BO$99,36,0)</f>
        <v>5307.71</v>
      </c>
      <c r="W67" s="595">
        <f>VLOOKUP(A67,[4]CFR20152016_BenchMarkDataReport!$B$3:$BO$99,37,0)</f>
        <v>199138.45</v>
      </c>
      <c r="X67" s="595">
        <f>VLOOKUP(A67,[4]CFR20152016_BenchMarkDataReport!$B$3:$BO$99,38,0)</f>
        <v>25036.080000000002</v>
      </c>
      <c r="Y67" s="595">
        <f>VLOOKUP(A67,[4]CFR20152016_BenchMarkDataReport!$B$3:$BO$99,39,0)</f>
        <v>32089.87</v>
      </c>
      <c r="Z67" s="595">
        <f>VLOOKUP(A67,[4]CFR20152016_BenchMarkDataReport!$B$3:$BO$99,40,0)</f>
        <v>0</v>
      </c>
      <c r="AA67" s="595">
        <f>VLOOKUP(A67,[4]CFR20152016_BenchMarkDataReport!$B$3:$BO$99,41,0)</f>
        <v>36932.269999999997</v>
      </c>
      <c r="AB67" s="595">
        <f>VLOOKUP(A67,[4]CFR20152016_BenchMarkDataReport!$B$3:$BO$99,42,0)</f>
        <v>3537.46</v>
      </c>
      <c r="AC67" s="595">
        <f>VLOOKUP(A67,[4]CFR20152016_BenchMarkDataReport!$B$3:$BO$99,43,0)</f>
        <v>4446</v>
      </c>
      <c r="AD67" s="595">
        <f>VLOOKUP(A67,[4]CFR20152016_BenchMarkDataReport!$B$3:$BO$99,44,0)</f>
        <v>8950.52</v>
      </c>
      <c r="AE67" s="595">
        <f>VLOOKUP(A67,[4]CFR20152016_BenchMarkDataReport!$B$3:$BO$99,45,0)</f>
        <v>2733.42</v>
      </c>
      <c r="AF67" s="595">
        <f>VLOOKUP(A67,[4]CFR20152016_BenchMarkDataReport!$B$3:$BO$99,46,0)</f>
        <v>46784.58</v>
      </c>
      <c r="AG67" s="595">
        <f>VLOOKUP(A67,[4]CFR20152016_BenchMarkDataReport!$B$3:$BO$99,47,0)</f>
        <v>8.32</v>
      </c>
      <c r="AH67" s="595">
        <f>VLOOKUP(A67,[4]CFR20152016_BenchMarkDataReport!$B$3:$BO$99,48,0)</f>
        <v>10344.26</v>
      </c>
      <c r="AI67" s="595">
        <f>VLOOKUP(A67,[4]CFR20152016_BenchMarkDataReport!$B$3:$BO$99,49,0)</f>
        <v>3900.23</v>
      </c>
      <c r="AJ67" s="595">
        <f>VLOOKUP(A67,[4]CFR20152016_BenchMarkDataReport!$B$3:$BO$99,50,0)</f>
        <v>7827.28</v>
      </c>
      <c r="AK67" s="595">
        <f>VLOOKUP(A67,[4]CFR20152016_BenchMarkDataReport!$B$3:$BO$99,51,0)</f>
        <v>0</v>
      </c>
      <c r="AL67" s="595">
        <f>VLOOKUP(A67,[4]CFR20152016_BenchMarkDataReport!$B$3:$BO$99,52,0)</f>
        <v>7143.28</v>
      </c>
      <c r="AM67" s="595">
        <f>VLOOKUP(A67,[4]CFR20152016_BenchMarkDataReport!$B$3:$BO$99,53,0)</f>
        <v>82720.38</v>
      </c>
      <c r="AN67" s="595">
        <f>VLOOKUP(A67,[4]CFR20152016_BenchMarkDataReport!$B$3:$BO$99,54,0)</f>
        <v>12290.52</v>
      </c>
      <c r="AO67" s="595">
        <f>VLOOKUP(A67,[4]CFR20152016_BenchMarkDataReport!$B$3:$BO$99,55,0)</f>
        <v>0</v>
      </c>
      <c r="AP67" s="595">
        <f>VLOOKUP(A67,[4]CFR20152016_BenchMarkDataReport!$B$3:$BO$99,56,0)</f>
        <v>6435.76</v>
      </c>
      <c r="AQ67" s="595">
        <f>VLOOKUP(A67,[4]CFR20152016_BenchMarkDataReport!$B$3:$BO$99,57,0)</f>
        <v>834.58</v>
      </c>
      <c r="AR67" s="595">
        <f>VLOOKUP(A67,[4]CFR20152016_BenchMarkDataReport!$B$3:$BO$99,58,0)</f>
        <v>13222.58</v>
      </c>
      <c r="AS67" s="595">
        <f>VLOOKUP(A67,[4]CFR20152016_BenchMarkDataReport!$B$3:$BO$99,59,0)</f>
        <v>68481.33</v>
      </c>
      <c r="AT67" s="595">
        <f>VLOOKUP(A67,[4]CFR20152016_BenchMarkDataReport!$B$3:$BO$99,60,0)</f>
        <v>26774.720000000001</v>
      </c>
      <c r="AU67" s="595">
        <f>VLOOKUP(A67,[4]CFR20152016_BenchMarkDataReport!$B$3:$BO$99,61,0)</f>
        <v>24400.86</v>
      </c>
      <c r="AV67" s="595">
        <f>VLOOKUP(A67,[4]CFR20152016_BenchMarkDataReport!$B$3:$BO$99,62,0)</f>
        <v>35952.17</v>
      </c>
      <c r="AW67" s="595">
        <f>VLOOKUP(A67,[4]CFR20152016_BenchMarkDataReport!$B$3:$BO$99,63,0)</f>
        <v>0</v>
      </c>
      <c r="AX67" s="595">
        <f>VLOOKUP(A67,[4]CFR20152016_BenchMarkDataReport!$B$3:$BO$99,64,0)</f>
        <v>0</v>
      </c>
      <c r="AY67" s="595">
        <f>VLOOKUP(A67,[4]CFR20152016_BenchMarkDataReport!$B$3:$BO$99,65,0)</f>
        <v>0</v>
      </c>
      <c r="AZ67" s="595">
        <f>VLOOKUP(A67,[4]CFR20152016_BenchMarkDataReport!$B$3:$BO$99,66,0)</f>
        <v>0</v>
      </c>
      <c r="BA67" s="596">
        <f t="shared" si="134"/>
        <v>1182214.03</v>
      </c>
      <c r="BB67" s="595">
        <f t="shared" ref="BB67:BB87" si="139">SUM(U67:AX67)</f>
        <v>1119744.03</v>
      </c>
      <c r="BC67" s="601">
        <f t="shared" si="100"/>
        <v>62470</v>
      </c>
      <c r="BD67" s="595">
        <f>VLOOKUP(A67,[4]CFR20152016_BenchMarkDataReport!$B$3:$BO$99,15,0)</f>
        <v>109445</v>
      </c>
      <c r="BE67" s="601">
        <f t="shared" si="101"/>
        <v>171915</v>
      </c>
      <c r="BF67" s="76">
        <f>VLOOKUP(A67,'OCT 15 CENSUS'!$B$9:$U$132,20,0)</f>
        <v>204</v>
      </c>
      <c r="BG67" s="73">
        <f>VLOOKUP(A67,'[2]BUDGET SHARE inc ADJUSTMENTS'!$D$4:$M$139,10,0)</f>
        <v>947318.03123863088</v>
      </c>
      <c r="BH67" s="76">
        <f>VLOOKUP(A67,'12-13 Pupil Data'!A:CI,81,0)</f>
        <v>1176</v>
      </c>
      <c r="BI67" t="s">
        <v>210</v>
      </c>
      <c r="BJ67" s="44">
        <f t="shared" ref="BJ67:BJ87" si="140">D67/BA67</f>
        <v>0.71270258905656869</v>
      </c>
      <c r="BK67" s="45">
        <f t="shared" ref="BK67:BK87" si="141">D67/BF67</f>
        <v>4130.2303921568628</v>
      </c>
      <c r="BL67" s="44">
        <f t="shared" ref="BL67:BL87" si="142">E67/BA67</f>
        <v>0</v>
      </c>
      <c r="BM67" s="45">
        <f t="shared" ref="BM67:BM87" si="143">E67/BF67</f>
        <v>0</v>
      </c>
      <c r="BN67" s="44">
        <f t="shared" ref="BN67:BN87" si="144">F67/BA67</f>
        <v>3.4404937657523824E-2</v>
      </c>
      <c r="BO67" s="45">
        <f t="shared" ref="BO67:BO87" si="145">F67/BF67</f>
        <v>199.38235294117646</v>
      </c>
      <c r="BP67" s="44">
        <f t="shared" ref="BP67:BP87" si="146">G67/BA67</f>
        <v>0</v>
      </c>
      <c r="BQ67" s="45">
        <f t="shared" ref="BQ67:BQ87" si="147">G67/BF67</f>
        <v>0</v>
      </c>
      <c r="BR67" s="44">
        <f t="shared" ref="BR67:BR87" si="148">H67/BA67</f>
        <v>1.369038904063759E-2</v>
      </c>
      <c r="BS67" s="45">
        <f t="shared" ref="BS67:BS87" si="149">H67/BF67</f>
        <v>79.338088235294109</v>
      </c>
      <c r="BT67" s="44">
        <f t="shared" ref="BT67:BT87" si="150">I67/BA67</f>
        <v>0</v>
      </c>
      <c r="BU67" s="45">
        <f t="shared" ref="BU67:BU87" si="151">I67/BF67</f>
        <v>0</v>
      </c>
      <c r="BV67" s="44">
        <f t="shared" ref="BV67:BV87" si="152">J67/BA67</f>
        <v>9.6936339014687557E-3</v>
      </c>
      <c r="BW67" s="45">
        <f t="shared" ref="BW67:BW87" si="153">J67/BF67</f>
        <v>56.176225490196082</v>
      </c>
      <c r="BX67" s="44">
        <f t="shared" ref="BX67:BX87" si="154">K67/BA67</f>
        <v>4.457086336557857E-2</v>
      </c>
      <c r="BY67" s="45">
        <f t="shared" ref="BY67:BY87" si="155">K67/BF67</f>
        <v>258.29558823529413</v>
      </c>
      <c r="BZ67" s="46">
        <f t="shared" ref="BZ67:BZ87" si="156">O67/BA67</f>
        <v>3.2055489986022243E-2</v>
      </c>
      <c r="CA67" s="47">
        <f t="shared" ref="CA67:CA87" si="157">O67/BF67</f>
        <v>185.76691176470587</v>
      </c>
      <c r="CB67" s="44">
        <f t="shared" ref="CB67:CB87" si="158">P67/BA67</f>
        <v>8.3221495857226449E-2</v>
      </c>
      <c r="CC67" s="48">
        <f t="shared" ref="CC67:CC87" si="159">P67/BF67</f>
        <v>482.28245098039213</v>
      </c>
      <c r="CD67" s="46">
        <f t="shared" si="135"/>
        <v>0.51359080473096308</v>
      </c>
      <c r="CE67" s="49">
        <f t="shared" si="136"/>
        <v>0.41154462529936314</v>
      </c>
      <c r="CF67" s="49">
        <f t="shared" si="137"/>
        <v>0.43450450903498011</v>
      </c>
      <c r="CG67" s="47">
        <f t="shared" si="138"/>
        <v>2384.9697549019611</v>
      </c>
      <c r="CH67" s="44">
        <f t="shared" si="102"/>
        <v>0.21021287828716176</v>
      </c>
      <c r="CI67" s="50">
        <f t="shared" si="103"/>
        <v>0.16844534487549603</v>
      </c>
      <c r="CJ67" s="50">
        <f t="shared" si="104"/>
        <v>0.17784283252664451</v>
      </c>
      <c r="CK67" s="45">
        <f t="shared" si="105"/>
        <v>976.16887254901962</v>
      </c>
      <c r="CL67" s="46">
        <f t="shared" si="105"/>
        <v>2.6428379038943232E-2</v>
      </c>
      <c r="CM67" s="49">
        <f t="shared" ref="CM67:CM87" si="160">X67/BA67</f>
        <v>2.1177282086560927E-2</v>
      </c>
      <c r="CN67" s="49">
        <f t="shared" ref="CN67:CN87" si="161">X67/BB67</f>
        <v>2.2358752830323195E-2</v>
      </c>
      <c r="CO67" s="47">
        <f t="shared" ref="CO67:CO87" si="162">X67/BF67</f>
        <v>122.72588235294118</v>
      </c>
      <c r="CP67" s="44">
        <f t="shared" si="106"/>
        <v>3.3874442311672318E-2</v>
      </c>
      <c r="CQ67" s="50">
        <f t="shared" si="107"/>
        <v>2.714387512386399E-2</v>
      </c>
      <c r="CR67" s="50">
        <f t="shared" ref="CR67:CR87" si="163">Y67/BB67</f>
        <v>2.8658219325357778E-2</v>
      </c>
      <c r="CS67" s="45">
        <f t="shared" si="108"/>
        <v>157.3032843137255</v>
      </c>
      <c r="CT67" s="46">
        <f t="shared" si="109"/>
        <v>0.79482893301999158</v>
      </c>
      <c r="CU67" s="49">
        <f t="shared" si="110"/>
        <v>0.63690309951743684</v>
      </c>
      <c r="CV67" s="49">
        <f t="shared" si="111"/>
        <v>0.67243562798901457</v>
      </c>
      <c r="CW67" s="47">
        <f t="shared" si="112"/>
        <v>3690.9597058823529</v>
      </c>
      <c r="CX67" s="44">
        <f t="shared" si="113"/>
        <v>4.9386350156165132E-2</v>
      </c>
      <c r="CY67" s="50">
        <f t="shared" si="114"/>
        <v>4.1781495365507779E-2</v>
      </c>
      <c r="CZ67" s="48">
        <f t="shared" si="115"/>
        <v>39.782806122448982</v>
      </c>
      <c r="DA67" s="45">
        <f t="shared" si="116"/>
        <v>229.33617647058824</v>
      </c>
      <c r="DB67" s="51">
        <f t="shared" si="117"/>
        <v>3.4831442682485211E-3</v>
      </c>
      <c r="DC67" s="52">
        <f t="shared" si="118"/>
        <v>19.11877450980392</v>
      </c>
      <c r="DD67" s="44">
        <f t="shared" si="118"/>
        <v>8.2625683686878924E-3</v>
      </c>
      <c r="DE67" s="50">
        <f t="shared" si="119"/>
        <v>6.9902404391475074E-3</v>
      </c>
      <c r="DF67" s="48">
        <f t="shared" si="120"/>
        <v>6.6558503401360545</v>
      </c>
      <c r="DG67" s="45">
        <f t="shared" si="121"/>
        <v>38.369019607843136</v>
      </c>
      <c r="DH67" s="46">
        <f t="shared" si="122"/>
        <v>7.540529964008039E-3</v>
      </c>
      <c r="DI67" s="49">
        <f t="shared" si="123"/>
        <v>6.3793865460483852E-3</v>
      </c>
      <c r="DJ67" s="47">
        <f t="shared" si="124"/>
        <v>6.0742176870748299</v>
      </c>
      <c r="DK67" s="44">
        <f t="shared" si="125"/>
        <v>8.7320601183788316E-2</v>
      </c>
      <c r="DL67" s="50">
        <f t="shared" si="126"/>
        <v>6.9970731103571826E-2</v>
      </c>
      <c r="DM67" s="50">
        <f t="shared" si="127"/>
        <v>7.3874365733389985E-2</v>
      </c>
      <c r="DN67" s="45">
        <f t="shared" si="128"/>
        <v>405.49205882352942</v>
      </c>
      <c r="DO67" s="46">
        <f t="shared" si="129"/>
        <v>6.7936635720795462E-3</v>
      </c>
      <c r="DP67" s="49">
        <f t="shared" si="130"/>
        <v>5.7475278524146273E-3</v>
      </c>
      <c r="DQ67" s="47">
        <f t="shared" si="131"/>
        <v>31.547843137254905</v>
      </c>
      <c r="DR67" s="53">
        <f t="shared" si="132"/>
        <v>6.1158021981148676E-2</v>
      </c>
      <c r="DS67" s="45">
        <f t="shared" si="133"/>
        <v>335.69279411764705</v>
      </c>
      <c r="DT67" s="46">
        <f t="shared" ref="DT67:DT87" si="164">DY67/BG67</f>
        <v>1.2667340432979874E-5</v>
      </c>
      <c r="DU67" s="49">
        <f t="shared" ref="DU67:DU87" si="165">DY67/BA67</f>
        <v>1.0150446277481583E-5</v>
      </c>
      <c r="DV67" s="49">
        <f t="shared" ref="DV67:DV87" si="166">DY67/BB67</f>
        <v>1.0716734966651262E-5</v>
      </c>
      <c r="DW67" s="47">
        <f t="shared" ref="DW67:DW87" si="167">DY67/BF67</f>
        <v>5.8823529411764705E-2</v>
      </c>
      <c r="DX67"/>
      <c r="DY67" s="54">
        <f>VLOOKUP(A67,'[3]Barnet Schools'!$E$8:$V$130,17,0)</f>
        <v>12</v>
      </c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58" customFormat="1">
      <c r="A68" s="79">
        <v>3504</v>
      </c>
      <c r="B68" s="80">
        <v>10088</v>
      </c>
      <c r="C68" s="573" t="s">
        <v>96</v>
      </c>
      <c r="D68" s="595">
        <f>VLOOKUP(A68,[4]CFR20152016_BenchMarkDataReport!$B$3:$BO$99,18,0)</f>
        <v>1804279</v>
      </c>
      <c r="E68" s="595">
        <f>VLOOKUP(A68,[4]CFR20152016_BenchMarkDataReport!$B$3:$BO$99,19,0)</f>
        <v>0</v>
      </c>
      <c r="F68" s="595">
        <f>VLOOKUP(A68,[4]CFR20152016_BenchMarkDataReport!$B$3:$BO$99,20,0)</f>
        <v>115270</v>
      </c>
      <c r="G68" s="595">
        <f>VLOOKUP(A68,[4]CFR20152016_BenchMarkDataReport!$B$3:$BO$99,21,0)</f>
        <v>0</v>
      </c>
      <c r="H68" s="595">
        <f>VLOOKUP(A68,[4]CFR20152016_BenchMarkDataReport!$B$3:$BO$99,22,0)</f>
        <v>85480.01</v>
      </c>
      <c r="I68" s="595">
        <f>VLOOKUP(A68,[4]CFR20152016_BenchMarkDataReport!$B$3:$BO$99,23,0)</f>
        <v>12299.62</v>
      </c>
      <c r="J68" s="595">
        <f>VLOOKUP(A68,[4]CFR20152016_BenchMarkDataReport!$B$3:$BO$99,24,0)</f>
        <v>36371.360000000001</v>
      </c>
      <c r="K68" s="595">
        <f>VLOOKUP(A68,[4]CFR20152016_BenchMarkDataReport!$B$3:$BO$99,25,0)</f>
        <v>103247.95</v>
      </c>
      <c r="L68" s="595">
        <f>VLOOKUP(A68,[4]CFR20152016_BenchMarkDataReport!$B$3:$BO$99,26,0)</f>
        <v>31713.38</v>
      </c>
      <c r="M68" s="595">
        <f>VLOOKUP(A68,[4]CFR20152016_BenchMarkDataReport!$B$3:$BO$99,27,0)</f>
        <v>7100</v>
      </c>
      <c r="N68" s="595">
        <f>VLOOKUP(A68,[4]CFR20152016_BenchMarkDataReport!$B$3:$BO$99,28,0)</f>
        <v>3557</v>
      </c>
      <c r="O68" s="595">
        <f>VLOOKUP(A68,[4]CFR20152016_BenchMarkDataReport!$B$3:$BO$99,29,0)</f>
        <v>45562.57</v>
      </c>
      <c r="P68" s="595">
        <f>VLOOKUP(A68,[4]CFR20152016_BenchMarkDataReport!$B$3:$BO$99,30,0)</f>
        <v>294.67</v>
      </c>
      <c r="Q68" s="595">
        <f>VLOOKUP(A68,[4]CFR20152016_BenchMarkDataReport!$B$3:$BO$99,31,0)</f>
        <v>0</v>
      </c>
      <c r="R68" s="595">
        <f>VLOOKUP(A68,[4]CFR20152016_BenchMarkDataReport!$B$3:$BO$99,32,0)</f>
        <v>0</v>
      </c>
      <c r="S68" s="595">
        <f>VLOOKUP(A68,[4]CFR20152016_BenchMarkDataReport!$B$3:$BO$99,33,0)</f>
        <v>0</v>
      </c>
      <c r="T68" s="595">
        <f>VLOOKUP(A68,[4]CFR20152016_BenchMarkDataReport!$B$3:$BO$99,34,0)</f>
        <v>96380.71</v>
      </c>
      <c r="U68" s="595">
        <f>VLOOKUP(A68,[4]CFR20152016_BenchMarkDataReport!$B$3:$BO$99,35,0)</f>
        <v>1063630.1599999999</v>
      </c>
      <c r="V68" s="595">
        <f>VLOOKUP(A68,[4]CFR20152016_BenchMarkDataReport!$B$3:$BO$99,36,0)</f>
        <v>1313.05</v>
      </c>
      <c r="W68" s="595">
        <f>VLOOKUP(A68,[4]CFR20152016_BenchMarkDataReport!$B$3:$BO$99,37,0)</f>
        <v>425933.16</v>
      </c>
      <c r="X68" s="595">
        <f>VLOOKUP(A68,[4]CFR20152016_BenchMarkDataReport!$B$3:$BO$99,38,0)</f>
        <v>31685.64</v>
      </c>
      <c r="Y68" s="595">
        <f>VLOOKUP(A68,[4]CFR20152016_BenchMarkDataReport!$B$3:$BO$99,39,0)</f>
        <v>113043.01</v>
      </c>
      <c r="Z68" s="595">
        <f>VLOOKUP(A68,[4]CFR20152016_BenchMarkDataReport!$B$3:$BO$99,40,0)</f>
        <v>0</v>
      </c>
      <c r="AA68" s="595">
        <f>VLOOKUP(A68,[4]CFR20152016_BenchMarkDataReport!$B$3:$BO$99,41,0)</f>
        <v>56773.72</v>
      </c>
      <c r="AB68" s="595">
        <f>VLOOKUP(A68,[4]CFR20152016_BenchMarkDataReport!$B$3:$BO$99,42,0)</f>
        <v>28138.19</v>
      </c>
      <c r="AC68" s="595">
        <f>VLOOKUP(A68,[4]CFR20152016_BenchMarkDataReport!$B$3:$BO$99,43,0)</f>
        <v>19014.28</v>
      </c>
      <c r="AD68" s="595">
        <f>VLOOKUP(A68,[4]CFR20152016_BenchMarkDataReport!$B$3:$BO$99,44,0)</f>
        <v>13661.39</v>
      </c>
      <c r="AE68" s="595">
        <f>VLOOKUP(A68,[4]CFR20152016_BenchMarkDataReport!$B$3:$BO$99,45,0)</f>
        <v>1969.8</v>
      </c>
      <c r="AF68" s="595">
        <f>VLOOKUP(A68,[4]CFR20152016_BenchMarkDataReport!$B$3:$BO$99,46,0)</f>
        <v>54523.1</v>
      </c>
      <c r="AG68" s="595">
        <f>VLOOKUP(A68,[4]CFR20152016_BenchMarkDataReport!$B$3:$BO$99,47,0)</f>
        <v>18779.46</v>
      </c>
      <c r="AH68" s="595">
        <f>VLOOKUP(A68,[4]CFR20152016_BenchMarkDataReport!$B$3:$BO$99,48,0)</f>
        <v>33655.949999999997</v>
      </c>
      <c r="AI68" s="595">
        <f>VLOOKUP(A68,[4]CFR20152016_BenchMarkDataReport!$B$3:$BO$99,49,0)</f>
        <v>6291.42</v>
      </c>
      <c r="AJ68" s="595">
        <f>VLOOKUP(A68,[4]CFR20152016_BenchMarkDataReport!$B$3:$BO$99,50,0)</f>
        <v>14024.96</v>
      </c>
      <c r="AK68" s="595">
        <f>VLOOKUP(A68,[4]CFR20152016_BenchMarkDataReport!$B$3:$BO$99,51,0)</f>
        <v>0</v>
      </c>
      <c r="AL68" s="595">
        <f>VLOOKUP(A68,[4]CFR20152016_BenchMarkDataReport!$B$3:$BO$99,52,0)</f>
        <v>11338.33</v>
      </c>
      <c r="AM68" s="595">
        <f>VLOOKUP(A68,[4]CFR20152016_BenchMarkDataReport!$B$3:$BO$99,53,0)</f>
        <v>126553.87</v>
      </c>
      <c r="AN68" s="595">
        <f>VLOOKUP(A68,[4]CFR20152016_BenchMarkDataReport!$B$3:$BO$99,54,0)</f>
        <v>21588.11</v>
      </c>
      <c r="AO68" s="595">
        <f>VLOOKUP(A68,[4]CFR20152016_BenchMarkDataReport!$B$3:$BO$99,55,0)</f>
        <v>0</v>
      </c>
      <c r="AP68" s="595">
        <f>VLOOKUP(A68,[4]CFR20152016_BenchMarkDataReport!$B$3:$BO$99,56,0)</f>
        <v>8419.44</v>
      </c>
      <c r="AQ68" s="595">
        <f>VLOOKUP(A68,[4]CFR20152016_BenchMarkDataReport!$B$3:$BO$99,57,0)</f>
        <v>12029.94</v>
      </c>
      <c r="AR68" s="595">
        <f>VLOOKUP(A68,[4]CFR20152016_BenchMarkDataReport!$B$3:$BO$99,58,0)</f>
        <v>20058.259999999998</v>
      </c>
      <c r="AS68" s="595">
        <f>VLOOKUP(A68,[4]CFR20152016_BenchMarkDataReport!$B$3:$BO$99,59,0)</f>
        <v>129381.97</v>
      </c>
      <c r="AT68" s="595">
        <f>VLOOKUP(A68,[4]CFR20152016_BenchMarkDataReport!$B$3:$BO$99,60,0)</f>
        <v>0</v>
      </c>
      <c r="AU68" s="595">
        <f>VLOOKUP(A68,[4]CFR20152016_BenchMarkDataReport!$B$3:$BO$99,61,0)</f>
        <v>68163.11</v>
      </c>
      <c r="AV68" s="595">
        <f>VLOOKUP(A68,[4]CFR20152016_BenchMarkDataReport!$B$3:$BO$99,62,0)</f>
        <v>43387.95</v>
      </c>
      <c r="AW68" s="595">
        <f>VLOOKUP(A68,[4]CFR20152016_BenchMarkDataReport!$B$3:$BO$99,63,0)</f>
        <v>0</v>
      </c>
      <c r="AX68" s="595">
        <f>VLOOKUP(A68,[4]CFR20152016_BenchMarkDataReport!$B$3:$BO$99,64,0)</f>
        <v>6900</v>
      </c>
      <c r="AY68" s="595">
        <f>VLOOKUP(A68,[4]CFR20152016_BenchMarkDataReport!$B$3:$BO$99,65,0)</f>
        <v>0</v>
      </c>
      <c r="AZ68" s="595">
        <f>VLOOKUP(A68,[4]CFR20152016_BenchMarkDataReport!$B$3:$BO$99,66,0)</f>
        <v>0</v>
      </c>
      <c r="BA68" s="596">
        <f t="shared" si="134"/>
        <v>2341556.27</v>
      </c>
      <c r="BB68" s="595">
        <f t="shared" si="139"/>
        <v>2330258.27</v>
      </c>
      <c r="BC68" s="601">
        <f t="shared" si="100"/>
        <v>11298</v>
      </c>
      <c r="BD68" s="595">
        <f>VLOOKUP(A68,[4]CFR20152016_BenchMarkDataReport!$B$3:$BO$99,15,0)</f>
        <v>146984</v>
      </c>
      <c r="BE68" s="601">
        <f t="shared" si="101"/>
        <v>158282</v>
      </c>
      <c r="BF68" s="76">
        <f>VLOOKUP(A68,'OCT 15 CENSUS'!$B$9:$U$132,20,0)</f>
        <v>491</v>
      </c>
      <c r="BG68" s="73">
        <f>VLOOKUP(A68,'[2]BUDGET SHARE inc ADJUSTMENTS'!$D$4:$M$139,10,0)</f>
        <v>2098743.0158466534</v>
      </c>
      <c r="BH68" s="76">
        <f>VLOOKUP(A68,'12-13 Pupil Data'!A:CI,81,0)</f>
        <v>1992</v>
      </c>
      <c r="BI68" t="s">
        <v>210</v>
      </c>
      <c r="BJ68" s="44">
        <f t="shared" si="140"/>
        <v>0.77054693201970326</v>
      </c>
      <c r="BK68" s="45">
        <f t="shared" si="141"/>
        <v>3674.7026476578412</v>
      </c>
      <c r="BL68" s="44">
        <f t="shared" si="142"/>
        <v>0</v>
      </c>
      <c r="BM68" s="45">
        <f t="shared" si="143"/>
        <v>0</v>
      </c>
      <c r="BN68" s="44">
        <f t="shared" si="144"/>
        <v>4.9227943601799495E-2</v>
      </c>
      <c r="BO68" s="45">
        <f t="shared" si="145"/>
        <v>234.76578411405296</v>
      </c>
      <c r="BP68" s="44">
        <f t="shared" si="146"/>
        <v>0</v>
      </c>
      <c r="BQ68" s="45">
        <f t="shared" si="147"/>
        <v>0</v>
      </c>
      <c r="BR68" s="44">
        <f t="shared" si="148"/>
        <v>3.6505639900765656E-2</v>
      </c>
      <c r="BS68" s="45">
        <f t="shared" si="149"/>
        <v>174.09370672097759</v>
      </c>
      <c r="BT68" s="44">
        <f t="shared" si="150"/>
        <v>5.2527543999615267E-3</v>
      </c>
      <c r="BU68" s="45">
        <f t="shared" si="151"/>
        <v>25.050142566191447</v>
      </c>
      <c r="BV68" s="44">
        <f t="shared" si="152"/>
        <v>1.5532985675377342E-2</v>
      </c>
      <c r="BW68" s="45">
        <f t="shared" si="153"/>
        <v>74.076089613034625</v>
      </c>
      <c r="BX68" s="44">
        <f t="shared" si="154"/>
        <v>4.4093730021700479E-2</v>
      </c>
      <c r="BY68" s="45">
        <f t="shared" si="155"/>
        <v>210.28095723014255</v>
      </c>
      <c r="BZ68" s="46">
        <f t="shared" si="156"/>
        <v>1.9458242615711302E-2</v>
      </c>
      <c r="CA68" s="47">
        <f t="shared" si="157"/>
        <v>92.795458248472499</v>
      </c>
      <c r="CB68" s="44">
        <f t="shared" si="158"/>
        <v>1.2584365525411867E-4</v>
      </c>
      <c r="CC68" s="48">
        <f t="shared" si="159"/>
        <v>0.60014256619144601</v>
      </c>
      <c r="CD68" s="46">
        <f t="shared" si="135"/>
        <v>0.50741953729403666</v>
      </c>
      <c r="CE68" s="49">
        <f t="shared" si="136"/>
        <v>0.45480145988548032</v>
      </c>
      <c r="CF68" s="49">
        <f t="shared" si="137"/>
        <v>0.45700651456115204</v>
      </c>
      <c r="CG68" s="47">
        <f t="shared" si="138"/>
        <v>2168.9271079429736</v>
      </c>
      <c r="CH68" s="44">
        <f t="shared" si="102"/>
        <v>0.20294679090482853</v>
      </c>
      <c r="CI68" s="50">
        <f t="shared" si="103"/>
        <v>0.18190174007648338</v>
      </c>
      <c r="CJ68" s="50">
        <f t="shared" si="104"/>
        <v>0.18278367058429107</v>
      </c>
      <c r="CK68" s="45">
        <f t="shared" si="105"/>
        <v>867.48097759674124</v>
      </c>
      <c r="CL68" s="46">
        <f t="shared" si="105"/>
        <v>1.5097436780375754E-2</v>
      </c>
      <c r="CM68" s="49">
        <f t="shared" si="160"/>
        <v>1.3531872116829376E-2</v>
      </c>
      <c r="CN68" s="49">
        <f t="shared" si="161"/>
        <v>1.3597479905092236E-2</v>
      </c>
      <c r="CO68" s="47">
        <f t="shared" si="162"/>
        <v>64.532871690427697</v>
      </c>
      <c r="CP68" s="44">
        <f t="shared" si="106"/>
        <v>5.3862244756248706E-2</v>
      </c>
      <c r="CQ68" s="50">
        <f t="shared" si="107"/>
        <v>4.8276871005965616E-2</v>
      </c>
      <c r="CR68" s="50">
        <f t="shared" si="163"/>
        <v>4.8510936086067401E-2</v>
      </c>
      <c r="CS68" s="45">
        <f t="shared" si="108"/>
        <v>230.23016293279022</v>
      </c>
      <c r="CT68" s="46">
        <f t="shared" si="109"/>
        <v>0.80637730642656968</v>
      </c>
      <c r="CU68" s="49">
        <f t="shared" si="110"/>
        <v>0.72275809113910372</v>
      </c>
      <c r="CV68" s="49">
        <f t="shared" si="111"/>
        <v>0.72626230396341418</v>
      </c>
      <c r="CW68" s="47">
        <f t="shared" si="112"/>
        <v>3446.7998778004066</v>
      </c>
      <c r="CX68" s="44">
        <f t="shared" si="113"/>
        <v>2.5978931002186016E-2</v>
      </c>
      <c r="CY68" s="50">
        <f t="shared" si="114"/>
        <v>2.3397878553607709E-2</v>
      </c>
      <c r="CZ68" s="48">
        <f t="shared" si="115"/>
        <v>27.371034136546186</v>
      </c>
      <c r="DA68" s="45">
        <f t="shared" si="116"/>
        <v>111.04501018329938</v>
      </c>
      <c r="DB68" s="51">
        <f t="shared" si="117"/>
        <v>2.69988098787007E-3</v>
      </c>
      <c r="DC68" s="52">
        <f t="shared" si="118"/>
        <v>12.813482688391039</v>
      </c>
      <c r="DD68" s="44">
        <f t="shared" si="118"/>
        <v>6.6825523154116105E-3</v>
      </c>
      <c r="DE68" s="50">
        <f t="shared" si="119"/>
        <v>6.0186289994370451E-3</v>
      </c>
      <c r="DF68" s="48">
        <f t="shared" si="120"/>
        <v>7.0406425702811237</v>
      </c>
      <c r="DG68" s="45">
        <f t="shared" si="121"/>
        <v>28.5640733197556</v>
      </c>
      <c r="DH68" s="46">
        <f t="shared" si="122"/>
        <v>5.4024384664484552E-3</v>
      </c>
      <c r="DI68" s="49">
        <f t="shared" si="123"/>
        <v>4.8656967109486967E-3</v>
      </c>
      <c r="DJ68" s="47">
        <f t="shared" si="124"/>
        <v>5.6919327309236945</v>
      </c>
      <c r="DK68" s="44">
        <f t="shared" si="125"/>
        <v>6.0299840925949158E-2</v>
      </c>
      <c r="DL68" s="50">
        <f t="shared" si="126"/>
        <v>5.4046905308835477E-2</v>
      </c>
      <c r="DM68" s="50">
        <f t="shared" si="127"/>
        <v>5.4308945763338071E-2</v>
      </c>
      <c r="DN68" s="45">
        <f t="shared" si="128"/>
        <v>257.74718940936862</v>
      </c>
      <c r="DO68" s="46">
        <f t="shared" si="129"/>
        <v>4.0116583766705311E-3</v>
      </c>
      <c r="DP68" s="49">
        <f t="shared" si="130"/>
        <v>3.6130930671474455E-3</v>
      </c>
      <c r="DQ68" s="47">
        <f t="shared" si="131"/>
        <v>17.147535641547861</v>
      </c>
      <c r="DR68" s="53">
        <f t="shared" si="132"/>
        <v>5.5522588060592959E-2</v>
      </c>
      <c r="DS68" s="45">
        <f t="shared" si="133"/>
        <v>263.50706720977598</v>
      </c>
      <c r="DT68" s="46">
        <f t="shared" si="164"/>
        <v>2.8112064961988128E-5</v>
      </c>
      <c r="DU68" s="49">
        <f t="shared" si="165"/>
        <v>2.519691743303696E-5</v>
      </c>
      <c r="DV68" s="49">
        <f t="shared" si="166"/>
        <v>2.5319081905886766E-5</v>
      </c>
      <c r="DW68" s="47">
        <f t="shared" si="167"/>
        <v>0.12016293279022404</v>
      </c>
      <c r="DX68"/>
      <c r="DY68" s="54">
        <f>VLOOKUP(A68,'[3]Barnet Schools'!$E$8:$V$130,17,0)</f>
        <v>59</v>
      </c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>
      <c r="A69" s="79">
        <v>3307</v>
      </c>
      <c r="B69" s="80">
        <v>10089</v>
      </c>
      <c r="C69" s="573" t="s">
        <v>97</v>
      </c>
      <c r="D69" s="595">
        <f>VLOOKUP(A69,[4]CFR20152016_BenchMarkDataReport!$B$3:$BO$99,18,0)</f>
        <v>959900</v>
      </c>
      <c r="E69" s="595">
        <f>VLOOKUP(A69,[4]CFR20152016_BenchMarkDataReport!$B$3:$BO$99,19,0)</f>
        <v>0</v>
      </c>
      <c r="F69" s="595">
        <f>VLOOKUP(A69,[4]CFR20152016_BenchMarkDataReport!$B$3:$BO$99,20,0)</f>
        <v>24322</v>
      </c>
      <c r="G69" s="595">
        <f>VLOOKUP(A69,[4]CFR20152016_BenchMarkDataReport!$B$3:$BO$99,21,0)</f>
        <v>0</v>
      </c>
      <c r="H69" s="595">
        <f>VLOOKUP(A69,[4]CFR20152016_BenchMarkDataReport!$B$3:$BO$99,22,0)</f>
        <v>46776.01</v>
      </c>
      <c r="I69" s="595">
        <f>VLOOKUP(A69,[4]CFR20152016_BenchMarkDataReport!$B$3:$BO$99,23,0)</f>
        <v>5831.76</v>
      </c>
      <c r="J69" s="595">
        <f>VLOOKUP(A69,[4]CFR20152016_BenchMarkDataReport!$B$3:$BO$99,24,0)</f>
        <v>0</v>
      </c>
      <c r="K69" s="595">
        <f>VLOOKUP(A69,[4]CFR20152016_BenchMarkDataReport!$B$3:$BO$99,25,0)</f>
        <v>109351.72</v>
      </c>
      <c r="L69" s="595">
        <f>VLOOKUP(A69,[4]CFR20152016_BenchMarkDataReport!$B$3:$BO$99,26,0)</f>
        <v>28461.16</v>
      </c>
      <c r="M69" s="595">
        <f>VLOOKUP(A69,[4]CFR20152016_BenchMarkDataReport!$B$3:$BO$99,27,0)</f>
        <v>12992</v>
      </c>
      <c r="N69" s="595">
        <f>VLOOKUP(A69,[4]CFR20152016_BenchMarkDataReport!$B$3:$BO$99,28,0)</f>
        <v>0</v>
      </c>
      <c r="O69" s="595">
        <f>VLOOKUP(A69,[4]CFR20152016_BenchMarkDataReport!$B$3:$BO$99,29,0)</f>
        <v>42803.8</v>
      </c>
      <c r="P69" s="595">
        <f>VLOOKUP(A69,[4]CFR20152016_BenchMarkDataReport!$B$3:$BO$99,30,0)</f>
        <v>11426.5</v>
      </c>
      <c r="Q69" s="595">
        <f>VLOOKUP(A69,[4]CFR20152016_BenchMarkDataReport!$B$3:$BO$99,31,0)</f>
        <v>0</v>
      </c>
      <c r="R69" s="595">
        <f>VLOOKUP(A69,[4]CFR20152016_BenchMarkDataReport!$B$3:$BO$99,32,0)</f>
        <v>0</v>
      </c>
      <c r="S69" s="595">
        <f>VLOOKUP(A69,[4]CFR20152016_BenchMarkDataReport!$B$3:$BO$99,33,0)</f>
        <v>0</v>
      </c>
      <c r="T69" s="595">
        <f>VLOOKUP(A69,[4]CFR20152016_BenchMarkDataReport!$B$3:$BO$99,34,0)</f>
        <v>43796.91</v>
      </c>
      <c r="U69" s="595">
        <f>VLOOKUP(A69,[4]CFR20152016_BenchMarkDataReport!$B$3:$BO$99,35,0)</f>
        <v>538075.97</v>
      </c>
      <c r="V69" s="595">
        <f>VLOOKUP(A69,[4]CFR20152016_BenchMarkDataReport!$B$3:$BO$99,36,0)</f>
        <v>0</v>
      </c>
      <c r="W69" s="595">
        <f>VLOOKUP(A69,[4]CFR20152016_BenchMarkDataReport!$B$3:$BO$99,37,0)</f>
        <v>211892.93</v>
      </c>
      <c r="X69" s="595">
        <f>VLOOKUP(A69,[4]CFR20152016_BenchMarkDataReport!$B$3:$BO$99,38,0)</f>
        <v>54603.4</v>
      </c>
      <c r="Y69" s="595">
        <f>VLOOKUP(A69,[4]CFR20152016_BenchMarkDataReport!$B$3:$BO$99,39,0)</f>
        <v>31119.599999999999</v>
      </c>
      <c r="Z69" s="595">
        <f>VLOOKUP(A69,[4]CFR20152016_BenchMarkDataReport!$B$3:$BO$99,40,0)</f>
        <v>0</v>
      </c>
      <c r="AA69" s="595">
        <f>VLOOKUP(A69,[4]CFR20152016_BenchMarkDataReport!$B$3:$BO$99,41,0)</f>
        <v>12759.8</v>
      </c>
      <c r="AB69" s="595">
        <f>VLOOKUP(A69,[4]CFR20152016_BenchMarkDataReport!$B$3:$BO$99,42,0)</f>
        <v>1410.16</v>
      </c>
      <c r="AC69" s="595">
        <f>VLOOKUP(A69,[4]CFR20152016_BenchMarkDataReport!$B$3:$BO$99,43,0)</f>
        <v>3400.07</v>
      </c>
      <c r="AD69" s="595">
        <f>VLOOKUP(A69,[4]CFR20152016_BenchMarkDataReport!$B$3:$BO$99,44,0)</f>
        <v>9490.23</v>
      </c>
      <c r="AE69" s="595">
        <f>VLOOKUP(A69,[4]CFR20152016_BenchMarkDataReport!$B$3:$BO$99,45,0)</f>
        <v>882</v>
      </c>
      <c r="AF69" s="595">
        <f>VLOOKUP(A69,[4]CFR20152016_BenchMarkDataReport!$B$3:$BO$99,46,0)</f>
        <v>19162.849999999999</v>
      </c>
      <c r="AG69" s="595">
        <f>VLOOKUP(A69,[4]CFR20152016_BenchMarkDataReport!$B$3:$BO$99,47,0)</f>
        <v>1164</v>
      </c>
      <c r="AH69" s="595">
        <f>VLOOKUP(A69,[4]CFR20152016_BenchMarkDataReport!$B$3:$BO$99,48,0)</f>
        <v>3962.12</v>
      </c>
      <c r="AI69" s="595">
        <f>VLOOKUP(A69,[4]CFR20152016_BenchMarkDataReport!$B$3:$BO$99,49,0)</f>
        <v>6758.69</v>
      </c>
      <c r="AJ69" s="595">
        <f>VLOOKUP(A69,[4]CFR20152016_BenchMarkDataReport!$B$3:$BO$99,50,0)</f>
        <v>22163.53</v>
      </c>
      <c r="AK69" s="595">
        <f>VLOOKUP(A69,[4]CFR20152016_BenchMarkDataReport!$B$3:$BO$99,51,0)</f>
        <v>0</v>
      </c>
      <c r="AL69" s="595">
        <f>VLOOKUP(A69,[4]CFR20152016_BenchMarkDataReport!$B$3:$BO$99,52,0)</f>
        <v>9703.7000000000007</v>
      </c>
      <c r="AM69" s="595">
        <f>VLOOKUP(A69,[4]CFR20152016_BenchMarkDataReport!$B$3:$BO$99,53,0)</f>
        <v>70587.600000000006</v>
      </c>
      <c r="AN69" s="595">
        <f>VLOOKUP(A69,[4]CFR20152016_BenchMarkDataReport!$B$3:$BO$99,54,0)</f>
        <v>10647.9</v>
      </c>
      <c r="AO69" s="595">
        <f>VLOOKUP(A69,[4]CFR20152016_BenchMarkDataReport!$B$3:$BO$99,55,0)</f>
        <v>0</v>
      </c>
      <c r="AP69" s="595">
        <f>VLOOKUP(A69,[4]CFR20152016_BenchMarkDataReport!$B$3:$BO$99,56,0)</f>
        <v>9015.69</v>
      </c>
      <c r="AQ69" s="595">
        <f>VLOOKUP(A69,[4]CFR20152016_BenchMarkDataReport!$B$3:$BO$99,57,0)</f>
        <v>7384.41</v>
      </c>
      <c r="AR69" s="595">
        <f>VLOOKUP(A69,[4]CFR20152016_BenchMarkDataReport!$B$3:$BO$99,58,0)</f>
        <v>934</v>
      </c>
      <c r="AS69" s="595">
        <f>VLOOKUP(A69,[4]CFR20152016_BenchMarkDataReport!$B$3:$BO$99,59,0)</f>
        <v>65201.75</v>
      </c>
      <c r="AT69" s="595">
        <f>VLOOKUP(A69,[4]CFR20152016_BenchMarkDataReport!$B$3:$BO$99,60,0)</f>
        <v>128881.77</v>
      </c>
      <c r="AU69" s="595">
        <f>VLOOKUP(A69,[4]CFR20152016_BenchMarkDataReport!$B$3:$BO$99,61,0)</f>
        <v>39258.85</v>
      </c>
      <c r="AV69" s="595">
        <f>VLOOKUP(A69,[4]CFR20152016_BenchMarkDataReport!$B$3:$BO$99,62,0)</f>
        <v>35129.51</v>
      </c>
      <c r="AW69" s="595">
        <f>VLOOKUP(A69,[4]CFR20152016_BenchMarkDataReport!$B$3:$BO$99,63,0)</f>
        <v>0</v>
      </c>
      <c r="AX69" s="595">
        <f>VLOOKUP(A69,[4]CFR20152016_BenchMarkDataReport!$B$3:$BO$99,64,0)</f>
        <v>8471.33</v>
      </c>
      <c r="AY69" s="595">
        <f>VLOOKUP(A69,[4]CFR20152016_BenchMarkDataReport!$B$3:$BO$99,65,0)</f>
        <v>0</v>
      </c>
      <c r="AZ69" s="595">
        <f>VLOOKUP(A69,[4]CFR20152016_BenchMarkDataReport!$B$3:$BO$99,66,0)</f>
        <v>0</v>
      </c>
      <c r="BA69" s="596">
        <f t="shared" si="134"/>
        <v>1285661.8599999999</v>
      </c>
      <c r="BB69" s="595">
        <f t="shared" si="139"/>
        <v>1302061.8600000001</v>
      </c>
      <c r="BC69" s="601">
        <f t="shared" si="100"/>
        <v>-16400.000000000233</v>
      </c>
      <c r="BD69" s="595">
        <f>VLOOKUP(A69,[4]CFR20152016_BenchMarkDataReport!$B$3:$BO$99,15,0)</f>
        <v>124462</v>
      </c>
      <c r="BE69" s="601">
        <f t="shared" si="101"/>
        <v>108061.99999999977</v>
      </c>
      <c r="BF69" s="76">
        <f>VLOOKUP(A69,'OCT 15 CENSUS'!$B$9:$U$132,20,0)</f>
        <v>241</v>
      </c>
      <c r="BG69" s="73">
        <f>VLOOKUP(A69,'[2]BUDGET SHARE inc ADJUSTMENTS'!$D$4:$M$139,10,0)</f>
        <v>1072767.7385371765</v>
      </c>
      <c r="BH69" s="76">
        <f>VLOOKUP(A69,'12-13 Pupil Data'!A:CI,81,0)</f>
        <v>1602</v>
      </c>
      <c r="BI69" t="s">
        <v>210</v>
      </c>
      <c r="BJ69" s="44">
        <f t="shared" si="140"/>
        <v>0.74661933270696856</v>
      </c>
      <c r="BK69" s="45">
        <f t="shared" si="141"/>
        <v>3982.9875518672197</v>
      </c>
      <c r="BL69" s="44">
        <f t="shared" si="142"/>
        <v>0</v>
      </c>
      <c r="BM69" s="45">
        <f t="shared" si="143"/>
        <v>0</v>
      </c>
      <c r="BN69" s="44">
        <f t="shared" si="144"/>
        <v>1.8917882498279914E-2</v>
      </c>
      <c r="BO69" s="45">
        <f t="shared" si="145"/>
        <v>100.92116182572614</v>
      </c>
      <c r="BP69" s="44">
        <f t="shared" si="146"/>
        <v>0</v>
      </c>
      <c r="BQ69" s="45">
        <f t="shared" si="147"/>
        <v>0</v>
      </c>
      <c r="BR69" s="44">
        <f t="shared" si="148"/>
        <v>3.6382824640998533E-2</v>
      </c>
      <c r="BS69" s="45">
        <f t="shared" si="149"/>
        <v>194.09132780082987</v>
      </c>
      <c r="BT69" s="44">
        <f t="shared" si="150"/>
        <v>4.5359982911836556E-3</v>
      </c>
      <c r="BU69" s="45">
        <f t="shared" si="151"/>
        <v>24.198174273858921</v>
      </c>
      <c r="BV69" s="44">
        <f t="shared" si="152"/>
        <v>0</v>
      </c>
      <c r="BW69" s="45">
        <f t="shared" si="153"/>
        <v>0</v>
      </c>
      <c r="BX69" s="44">
        <f t="shared" si="154"/>
        <v>8.5054805934742447E-2</v>
      </c>
      <c r="BY69" s="45">
        <f t="shared" si="155"/>
        <v>453.74157676348545</v>
      </c>
      <c r="BZ69" s="46">
        <f t="shared" si="156"/>
        <v>3.3293201993251947E-2</v>
      </c>
      <c r="CA69" s="47">
        <f t="shared" si="157"/>
        <v>177.60912863070541</v>
      </c>
      <c r="CB69" s="44">
        <f t="shared" si="158"/>
        <v>8.8876401762435428E-3</v>
      </c>
      <c r="CC69" s="48">
        <f t="shared" si="159"/>
        <v>47.412863070539416</v>
      </c>
      <c r="CD69" s="46">
        <f t="shared" si="135"/>
        <v>0.6217168134730281</v>
      </c>
      <c r="CE69" s="49">
        <f t="shared" si="136"/>
        <v>0.51876606186326479</v>
      </c>
      <c r="CF69" s="49">
        <f t="shared" si="137"/>
        <v>0.51223199180413748</v>
      </c>
      <c r="CG69" s="47">
        <f t="shared" si="138"/>
        <v>2767.4595020746888</v>
      </c>
      <c r="CH69" s="44">
        <f t="shared" si="102"/>
        <v>0.19751985671095654</v>
      </c>
      <c r="CI69" s="50">
        <f t="shared" si="103"/>
        <v>0.16481233253664382</v>
      </c>
      <c r="CJ69" s="50">
        <f t="shared" si="104"/>
        <v>0.16273645401148604</v>
      </c>
      <c r="CK69" s="45">
        <f t="shared" si="105"/>
        <v>879.22377593360989</v>
      </c>
      <c r="CL69" s="46">
        <f t="shared" si="105"/>
        <v>5.0899554524688695E-2</v>
      </c>
      <c r="CM69" s="49">
        <f t="shared" si="160"/>
        <v>4.2471042891480043E-2</v>
      </c>
      <c r="CN69" s="49">
        <f t="shared" si="161"/>
        <v>4.1936102790077881E-2</v>
      </c>
      <c r="CO69" s="47">
        <f t="shared" si="162"/>
        <v>226.57012448132781</v>
      </c>
      <c r="CP69" s="44">
        <f t="shared" si="106"/>
        <v>2.9008702333307122E-2</v>
      </c>
      <c r="CQ69" s="50">
        <f t="shared" si="107"/>
        <v>2.4205120310561285E-2</v>
      </c>
      <c r="CR69" s="50">
        <f t="shared" si="163"/>
        <v>2.3900246951400601E-2</v>
      </c>
      <c r="CS69" s="45">
        <f t="shared" si="108"/>
        <v>129.12697095435684</v>
      </c>
      <c r="CT69" s="46">
        <f t="shared" si="109"/>
        <v>0.79089971623955302</v>
      </c>
      <c r="CU69" s="49">
        <f t="shared" si="110"/>
        <v>0.65993378694457039</v>
      </c>
      <c r="CV69" s="49">
        <f t="shared" si="111"/>
        <v>0.65162165183150356</v>
      </c>
      <c r="CW69" s="47">
        <f t="shared" si="112"/>
        <v>3520.5464730290455</v>
      </c>
      <c r="CX69" s="44">
        <f t="shared" si="113"/>
        <v>1.7862999894208614E-2</v>
      </c>
      <c r="CY69" s="50">
        <f t="shared" si="114"/>
        <v>1.4717311510837125E-2</v>
      </c>
      <c r="CZ69" s="48">
        <f t="shared" si="115"/>
        <v>11.961828963795256</v>
      </c>
      <c r="DA69" s="45">
        <f t="shared" si="116"/>
        <v>79.513900414937751</v>
      </c>
      <c r="DB69" s="51">
        <f t="shared" si="117"/>
        <v>5.1907595235144962E-3</v>
      </c>
      <c r="DC69" s="52">
        <f t="shared" si="118"/>
        <v>28.044356846473029</v>
      </c>
      <c r="DD69" s="44">
        <f t="shared" si="118"/>
        <v>2.0660138447323308E-2</v>
      </c>
      <c r="DE69" s="50">
        <f t="shared" si="119"/>
        <v>1.702187175653851E-2</v>
      </c>
      <c r="DF69" s="48">
        <f t="shared" si="120"/>
        <v>13.834912609238451</v>
      </c>
      <c r="DG69" s="45">
        <f t="shared" si="121"/>
        <v>91.964854771784232</v>
      </c>
      <c r="DH69" s="46">
        <f t="shared" si="122"/>
        <v>9.0454808169678387E-3</v>
      </c>
      <c r="DI69" s="49">
        <f t="shared" si="123"/>
        <v>7.4525645041165706E-3</v>
      </c>
      <c r="DJ69" s="47">
        <f t="shared" si="124"/>
        <v>6.0572409488139831</v>
      </c>
      <c r="DK69" s="44">
        <f t="shared" si="125"/>
        <v>6.5799517886558634E-2</v>
      </c>
      <c r="DL69" s="50">
        <f t="shared" si="126"/>
        <v>5.4903705395756244E-2</v>
      </c>
      <c r="DM69" s="50">
        <f t="shared" si="127"/>
        <v>5.4212170841099673E-2</v>
      </c>
      <c r="DN69" s="45">
        <f t="shared" si="128"/>
        <v>292.89460580912868</v>
      </c>
      <c r="DO69" s="46">
        <f t="shared" si="129"/>
        <v>8.4041397556322613E-3</v>
      </c>
      <c r="DP69" s="49">
        <f t="shared" si="130"/>
        <v>6.9241641099909027E-3</v>
      </c>
      <c r="DQ69" s="47">
        <f t="shared" si="131"/>
        <v>37.409502074688795</v>
      </c>
      <c r="DR69" s="53">
        <f t="shared" si="132"/>
        <v>5.0075769825559592E-2</v>
      </c>
      <c r="DS69" s="45">
        <f t="shared" si="133"/>
        <v>270.54668049792531</v>
      </c>
      <c r="DT69" s="46">
        <f t="shared" si="164"/>
        <v>2.982938323968907E-5</v>
      </c>
      <c r="DU69" s="49">
        <f t="shared" si="165"/>
        <v>2.4889903788543593E-5</v>
      </c>
      <c r="DV69" s="49">
        <f t="shared" si="166"/>
        <v>2.4576405302279568E-5</v>
      </c>
      <c r="DW69" s="47">
        <f t="shared" si="167"/>
        <v>0.13278008298755187</v>
      </c>
      <c r="DY69" s="54">
        <f>VLOOKUP(A69,'[3]Barnet Schools'!$E$8:$V$130,17,0)</f>
        <v>32</v>
      </c>
    </row>
    <row r="70" spans="1:256" s="14" customFormat="1">
      <c r="A70" s="573">
        <v>3309</v>
      </c>
      <c r="B70" s="574">
        <v>10116</v>
      </c>
      <c r="C70" s="573" t="s">
        <v>98</v>
      </c>
      <c r="D70" s="595">
        <f>VLOOKUP(A70,[4]CFR20152016_BenchMarkDataReport!$B$3:$BO$99,18,0)</f>
        <v>964252</v>
      </c>
      <c r="E70" s="595">
        <f>VLOOKUP(A70,[4]CFR20152016_BenchMarkDataReport!$B$3:$BO$99,19,0)</f>
        <v>0</v>
      </c>
      <c r="F70" s="595">
        <f>VLOOKUP(A70,[4]CFR20152016_BenchMarkDataReport!$B$3:$BO$99,20,0)</f>
        <v>89016</v>
      </c>
      <c r="G70" s="595">
        <f>VLOOKUP(A70,[4]CFR20152016_BenchMarkDataReport!$B$3:$BO$99,21,0)</f>
        <v>0</v>
      </c>
      <c r="H70" s="595">
        <f>VLOOKUP(A70,[4]CFR20152016_BenchMarkDataReport!$B$3:$BO$99,22,0)</f>
        <v>46720.01</v>
      </c>
      <c r="I70" s="595">
        <f>VLOOKUP(A70,[4]CFR20152016_BenchMarkDataReport!$B$3:$BO$99,23,0)</f>
        <v>2250</v>
      </c>
      <c r="J70" s="595">
        <f>VLOOKUP(A70,[4]CFR20152016_BenchMarkDataReport!$B$3:$BO$99,24,0)</f>
        <v>8685</v>
      </c>
      <c r="K70" s="595">
        <f>VLOOKUP(A70,[4]CFR20152016_BenchMarkDataReport!$B$3:$BO$99,25,0)</f>
        <v>38305.08</v>
      </c>
      <c r="L70" s="595">
        <f>VLOOKUP(A70,[4]CFR20152016_BenchMarkDataReport!$B$3:$BO$99,26,0)</f>
        <v>29122.68</v>
      </c>
      <c r="M70" s="595">
        <f>VLOOKUP(A70,[4]CFR20152016_BenchMarkDataReport!$B$3:$BO$99,27,0)</f>
        <v>7695</v>
      </c>
      <c r="N70" s="595">
        <f>VLOOKUP(A70,[4]CFR20152016_BenchMarkDataReport!$B$3:$BO$99,28,0)</f>
        <v>189.04</v>
      </c>
      <c r="O70" s="595">
        <f>VLOOKUP(A70,[4]CFR20152016_BenchMarkDataReport!$B$3:$BO$99,29,0)</f>
        <v>21214.76</v>
      </c>
      <c r="P70" s="595">
        <f>VLOOKUP(A70,[4]CFR20152016_BenchMarkDataReport!$B$3:$BO$99,30,0)</f>
        <v>8324.08</v>
      </c>
      <c r="Q70" s="595">
        <f>VLOOKUP(A70,[4]CFR20152016_BenchMarkDataReport!$B$3:$BO$99,31,0)</f>
        <v>0</v>
      </c>
      <c r="R70" s="595">
        <f>VLOOKUP(A70,[4]CFR20152016_BenchMarkDataReport!$B$3:$BO$99,32,0)</f>
        <v>0</v>
      </c>
      <c r="S70" s="595">
        <f>VLOOKUP(A70,[4]CFR20152016_BenchMarkDataReport!$B$3:$BO$99,33,0)</f>
        <v>0</v>
      </c>
      <c r="T70" s="595">
        <f>VLOOKUP(A70,[4]CFR20152016_BenchMarkDataReport!$B$3:$BO$99,34,0)</f>
        <v>47974.58</v>
      </c>
      <c r="U70" s="595">
        <f>VLOOKUP(A70,[4]CFR20152016_BenchMarkDataReport!$B$3:$BO$99,35,0)</f>
        <v>592256.05000000005</v>
      </c>
      <c r="V70" s="595">
        <f>VLOOKUP(A70,[4]CFR20152016_BenchMarkDataReport!$B$3:$BO$99,36,0)</f>
        <v>0</v>
      </c>
      <c r="W70" s="595">
        <f>VLOOKUP(A70,[4]CFR20152016_BenchMarkDataReport!$B$3:$BO$99,37,0)</f>
        <v>329132.34999999998</v>
      </c>
      <c r="X70" s="595">
        <f>VLOOKUP(A70,[4]CFR20152016_BenchMarkDataReport!$B$3:$BO$99,38,0)</f>
        <v>19021.150000000001</v>
      </c>
      <c r="Y70" s="595">
        <f>VLOOKUP(A70,[4]CFR20152016_BenchMarkDataReport!$B$3:$BO$99,39,0)</f>
        <v>47239.74</v>
      </c>
      <c r="Z70" s="595">
        <f>VLOOKUP(A70,[4]CFR20152016_BenchMarkDataReport!$B$3:$BO$99,40,0)</f>
        <v>33745.480000000003</v>
      </c>
      <c r="AA70" s="595">
        <f>VLOOKUP(A70,[4]CFR20152016_BenchMarkDataReport!$B$3:$BO$99,41,0)</f>
        <v>722.47</v>
      </c>
      <c r="AB70" s="595">
        <f>VLOOKUP(A70,[4]CFR20152016_BenchMarkDataReport!$B$3:$BO$99,42,0)</f>
        <v>5085.67</v>
      </c>
      <c r="AC70" s="595">
        <f>VLOOKUP(A70,[4]CFR20152016_BenchMarkDataReport!$B$3:$BO$99,43,0)</f>
        <v>6660.53</v>
      </c>
      <c r="AD70" s="595">
        <f>VLOOKUP(A70,[4]CFR20152016_BenchMarkDataReport!$B$3:$BO$99,44,0)</f>
        <v>5661.75</v>
      </c>
      <c r="AE70" s="595">
        <f>VLOOKUP(A70,[4]CFR20152016_BenchMarkDataReport!$B$3:$BO$99,45,0)</f>
        <v>7551.1</v>
      </c>
      <c r="AF70" s="595">
        <f>VLOOKUP(A70,[4]CFR20152016_BenchMarkDataReport!$B$3:$BO$99,46,0)</f>
        <v>12568.49</v>
      </c>
      <c r="AG70" s="595">
        <f>VLOOKUP(A70,[4]CFR20152016_BenchMarkDataReport!$B$3:$BO$99,47,0)</f>
        <v>3401.91</v>
      </c>
      <c r="AH70" s="595">
        <f>VLOOKUP(A70,[4]CFR20152016_BenchMarkDataReport!$B$3:$BO$99,48,0)</f>
        <v>21299.86</v>
      </c>
      <c r="AI70" s="595">
        <f>VLOOKUP(A70,[4]CFR20152016_BenchMarkDataReport!$B$3:$BO$99,49,0)</f>
        <v>2388.5300000000002</v>
      </c>
      <c r="AJ70" s="595">
        <f>VLOOKUP(A70,[4]CFR20152016_BenchMarkDataReport!$B$3:$BO$99,50,0)</f>
        <v>-188.68</v>
      </c>
      <c r="AK70" s="595">
        <f>VLOOKUP(A70,[4]CFR20152016_BenchMarkDataReport!$B$3:$BO$99,51,0)</f>
        <v>0</v>
      </c>
      <c r="AL70" s="595">
        <f>VLOOKUP(A70,[4]CFR20152016_BenchMarkDataReport!$B$3:$BO$99,52,0)</f>
        <v>4538.7</v>
      </c>
      <c r="AM70" s="595">
        <f>VLOOKUP(A70,[4]CFR20152016_BenchMarkDataReport!$B$3:$BO$99,53,0)</f>
        <v>41554.49</v>
      </c>
      <c r="AN70" s="595">
        <f>VLOOKUP(A70,[4]CFR20152016_BenchMarkDataReport!$B$3:$BO$99,54,0)</f>
        <v>13585.95</v>
      </c>
      <c r="AO70" s="595">
        <f>VLOOKUP(A70,[4]CFR20152016_BenchMarkDataReport!$B$3:$BO$99,55,0)</f>
        <v>0</v>
      </c>
      <c r="AP70" s="595">
        <f>VLOOKUP(A70,[4]CFR20152016_BenchMarkDataReport!$B$3:$BO$99,56,0)</f>
        <v>10766.81</v>
      </c>
      <c r="AQ70" s="595">
        <f>VLOOKUP(A70,[4]CFR20152016_BenchMarkDataReport!$B$3:$BO$99,57,0)</f>
        <v>5932.72</v>
      </c>
      <c r="AR70" s="595">
        <f>VLOOKUP(A70,[4]CFR20152016_BenchMarkDataReport!$B$3:$BO$99,58,0)</f>
        <v>3282.39</v>
      </c>
      <c r="AS70" s="595">
        <f>VLOOKUP(A70,[4]CFR20152016_BenchMarkDataReport!$B$3:$BO$99,59,0)</f>
        <v>35640.29</v>
      </c>
      <c r="AT70" s="595">
        <f>VLOOKUP(A70,[4]CFR20152016_BenchMarkDataReport!$B$3:$BO$99,60,0)</f>
        <v>365</v>
      </c>
      <c r="AU70" s="595">
        <f>VLOOKUP(A70,[4]CFR20152016_BenchMarkDataReport!$B$3:$BO$99,61,0)</f>
        <v>20385.12</v>
      </c>
      <c r="AV70" s="595">
        <f>VLOOKUP(A70,[4]CFR20152016_BenchMarkDataReport!$B$3:$BO$99,62,0)</f>
        <v>36014.36</v>
      </c>
      <c r="AW70" s="595">
        <f>VLOOKUP(A70,[4]CFR20152016_BenchMarkDataReport!$B$3:$BO$99,63,0)</f>
        <v>0</v>
      </c>
      <c r="AX70" s="595">
        <f>VLOOKUP(A70,[4]CFR20152016_BenchMarkDataReport!$B$3:$BO$99,64,0)</f>
        <v>0</v>
      </c>
      <c r="AY70" s="595">
        <f>VLOOKUP(A70,[4]CFR20152016_BenchMarkDataReport!$B$3:$BO$99,65,0)</f>
        <v>0</v>
      </c>
      <c r="AZ70" s="595">
        <f>VLOOKUP(A70,[4]CFR20152016_BenchMarkDataReport!$B$3:$BO$99,66,0)</f>
        <v>0</v>
      </c>
      <c r="BA70" s="598">
        <f t="shared" si="134"/>
        <v>1263748.2300000002</v>
      </c>
      <c r="BB70" s="597">
        <f t="shared" si="139"/>
        <v>1258612.2300000002</v>
      </c>
      <c r="BC70" s="602">
        <f t="shared" si="100"/>
        <v>5136</v>
      </c>
      <c r="BD70" s="595">
        <f>VLOOKUP(A70,[4]CFR20152016_BenchMarkDataReport!$B$3:$BO$99,15,0)</f>
        <v>24750</v>
      </c>
      <c r="BE70" s="602">
        <f t="shared" si="101"/>
        <v>29886</v>
      </c>
      <c r="BF70" s="76">
        <f>VLOOKUP(A70,'OCT 15 CENSUS'!$B$9:$U$132,20,0)</f>
        <v>230</v>
      </c>
      <c r="BG70" s="579">
        <f>VLOOKUP(A70,'[2]BUDGET SHARE inc ADJUSTMENTS'!$D$4:$M$139,10,0)</f>
        <v>1146616.9154813148</v>
      </c>
      <c r="BH70" s="580">
        <f>VLOOKUP(A70,'12-13 Pupil Data'!A:CI,81,0)</f>
        <v>1246</v>
      </c>
      <c r="BI70" s="14" t="s">
        <v>210</v>
      </c>
      <c r="BJ70" s="53">
        <f t="shared" si="140"/>
        <v>0.7630095750955076</v>
      </c>
      <c r="BK70" s="581">
        <f t="shared" si="141"/>
        <v>4192.3999999999996</v>
      </c>
      <c r="BL70" s="53">
        <f t="shared" si="142"/>
        <v>0</v>
      </c>
      <c r="BM70" s="581">
        <f t="shared" si="143"/>
        <v>0</v>
      </c>
      <c r="BN70" s="53">
        <f t="shared" si="144"/>
        <v>7.0438080850961898E-2</v>
      </c>
      <c r="BO70" s="581">
        <f t="shared" si="145"/>
        <v>387.02608695652174</v>
      </c>
      <c r="BP70" s="53">
        <f t="shared" si="146"/>
        <v>0</v>
      </c>
      <c r="BQ70" s="581">
        <f t="shared" si="147"/>
        <v>0</v>
      </c>
      <c r="BR70" s="53">
        <f t="shared" si="148"/>
        <v>3.6969396981865597E-2</v>
      </c>
      <c r="BS70" s="581">
        <f t="shared" si="149"/>
        <v>203.13047826086958</v>
      </c>
      <c r="BT70" s="53">
        <f t="shared" si="150"/>
        <v>1.7804179239087833E-3</v>
      </c>
      <c r="BU70" s="581">
        <f t="shared" si="151"/>
        <v>9.7826086956521738</v>
      </c>
      <c r="BV70" s="53">
        <f t="shared" si="152"/>
        <v>6.8724131862879035E-3</v>
      </c>
      <c r="BW70" s="581">
        <f t="shared" si="153"/>
        <v>37.760869565217391</v>
      </c>
      <c r="BX70" s="53">
        <f t="shared" si="154"/>
        <v>3.0310689337226606E-2</v>
      </c>
      <c r="BY70" s="581">
        <f t="shared" si="155"/>
        <v>166.54382608695653</v>
      </c>
      <c r="BZ70" s="582">
        <f t="shared" si="156"/>
        <v>1.6787172869076931E-2</v>
      </c>
      <c r="CA70" s="583">
        <f t="shared" si="157"/>
        <v>92.238086956521727</v>
      </c>
      <c r="CB70" s="53">
        <f t="shared" si="158"/>
        <v>6.5868183253558338E-3</v>
      </c>
      <c r="CC70" s="584">
        <f t="shared" si="159"/>
        <v>36.191652173913042</v>
      </c>
      <c r="CD70" s="582">
        <f t="shared" si="135"/>
        <v>0.51684310775341724</v>
      </c>
      <c r="CE70" s="585">
        <f t="shared" si="136"/>
        <v>0.46893917311361927</v>
      </c>
      <c r="CF70" s="585">
        <f t="shared" si="137"/>
        <v>0.47085276614545524</v>
      </c>
      <c r="CG70" s="583">
        <f t="shared" si="138"/>
        <v>2576.6132608695652</v>
      </c>
      <c r="CH70" s="53">
        <f t="shared" si="102"/>
        <v>0.28704648043836006</v>
      </c>
      <c r="CI70" s="65">
        <f t="shared" si="103"/>
        <v>0.26044139345698625</v>
      </c>
      <c r="CJ70" s="65">
        <f t="shared" si="104"/>
        <v>0.26150417273475873</v>
      </c>
      <c r="CK70" s="581">
        <f t="shared" si="105"/>
        <v>1431.0102173913042</v>
      </c>
      <c r="CL70" s="582">
        <f t="shared" si="105"/>
        <v>1.6588931964269429E-2</v>
      </c>
      <c r="CM70" s="585">
        <f t="shared" si="160"/>
        <v>1.5051376174825581E-2</v>
      </c>
      <c r="CN70" s="585">
        <f t="shared" si="161"/>
        <v>1.511279609924019E-2</v>
      </c>
      <c r="CO70" s="583">
        <f t="shared" si="162"/>
        <v>82.700652173913056</v>
      </c>
      <c r="CP70" s="53">
        <f t="shared" si="106"/>
        <v>4.1199235212896014E-2</v>
      </c>
      <c r="CQ70" s="65">
        <f t="shared" si="107"/>
        <v>3.7380657696351426E-2</v>
      </c>
      <c r="CR70" s="65">
        <f t="shared" si="163"/>
        <v>3.7533196384084075E-2</v>
      </c>
      <c r="CS70" s="581">
        <f t="shared" si="108"/>
        <v>205.39017391304347</v>
      </c>
      <c r="CT70" s="582">
        <f t="shared" si="109"/>
        <v>0.89141999058242249</v>
      </c>
      <c r="CU70" s="585">
        <f t="shared" si="110"/>
        <v>0.8087981575254114</v>
      </c>
      <c r="CV70" s="585">
        <f t="shared" si="111"/>
        <v>0.81209860800415057</v>
      </c>
      <c r="CW70" s="583">
        <f t="shared" si="112"/>
        <v>4443.9880000000003</v>
      </c>
      <c r="CX70" s="53">
        <f t="shared" si="113"/>
        <v>1.0961368029987706E-2</v>
      </c>
      <c r="CY70" s="65">
        <f t="shared" si="114"/>
        <v>9.9859906811806502E-3</v>
      </c>
      <c r="CZ70" s="584">
        <f t="shared" si="115"/>
        <v>10.087070626003211</v>
      </c>
      <c r="DA70" s="581">
        <f t="shared" si="116"/>
        <v>54.645608695652172</v>
      </c>
      <c r="DB70" s="586">
        <f t="shared" si="117"/>
        <v>1.8977489198559589E-3</v>
      </c>
      <c r="DC70" s="587">
        <f t="shared" si="118"/>
        <v>10.384913043478262</v>
      </c>
      <c r="DD70" s="53">
        <f t="shared" si="118"/>
        <v>-1.6455365122604868E-4</v>
      </c>
      <c r="DE70" s="65">
        <f t="shared" si="119"/>
        <v>-1.4991114459455076E-4</v>
      </c>
      <c r="DF70" s="584">
        <f t="shared" si="120"/>
        <v>-0.15142857142857144</v>
      </c>
      <c r="DG70" s="581">
        <f t="shared" si="121"/>
        <v>-0.82034782608695656</v>
      </c>
      <c r="DH70" s="582">
        <f t="shared" si="122"/>
        <v>3.9583403477828445E-3</v>
      </c>
      <c r="DI70" s="585">
        <f t="shared" si="123"/>
        <v>3.6061146489892275E-3</v>
      </c>
      <c r="DJ70" s="583">
        <f t="shared" si="124"/>
        <v>3.6426163723916529</v>
      </c>
      <c r="DK70" s="53">
        <f t="shared" si="125"/>
        <v>3.6240953224169634E-2</v>
      </c>
      <c r="DL70" s="65">
        <f t="shared" si="126"/>
        <v>3.2881937251061463E-2</v>
      </c>
      <c r="DM70" s="65">
        <f t="shared" si="127"/>
        <v>3.3016118077924594E-2</v>
      </c>
      <c r="DN70" s="581">
        <f t="shared" si="128"/>
        <v>180.6716956521739</v>
      </c>
      <c r="DO70" s="582">
        <f t="shared" si="129"/>
        <v>9.3900672967836187E-3</v>
      </c>
      <c r="DP70" s="585">
        <f t="shared" si="130"/>
        <v>8.5545092788427753E-3</v>
      </c>
      <c r="DQ70" s="583">
        <f t="shared" si="131"/>
        <v>46.812217391304344</v>
      </c>
      <c r="DR70" s="53">
        <f t="shared" si="132"/>
        <v>2.8317133069650845E-2</v>
      </c>
      <c r="DS70" s="581">
        <f t="shared" si="133"/>
        <v>154.95778260869565</v>
      </c>
      <c r="DT70" s="582">
        <f t="shared" si="164"/>
        <v>2.7036056752212789E-5</v>
      </c>
      <c r="DU70" s="585">
        <f t="shared" si="165"/>
        <v>2.4530202507187682E-5</v>
      </c>
      <c r="DV70" s="585">
        <f t="shared" si="166"/>
        <v>2.4630302535674545E-5</v>
      </c>
      <c r="DW70" s="583">
        <f t="shared" si="167"/>
        <v>0.13478260869565217</v>
      </c>
      <c r="DY70" s="588">
        <f>VLOOKUP(A70,'[3]Barnet Schools'!$E$8:$V$130,17,0)</f>
        <v>31</v>
      </c>
    </row>
    <row r="71" spans="1:256" s="14" customFormat="1">
      <c r="A71" s="573">
        <v>3509</v>
      </c>
      <c r="B71" s="574">
        <v>10107</v>
      </c>
      <c r="C71" s="609" t="s">
        <v>1585</v>
      </c>
      <c r="D71" s="595">
        <f>VLOOKUP(A71,[4]CFR20152016_BenchMarkDataReport!$B$3:$BO$99,18,0)</f>
        <v>1862955</v>
      </c>
      <c r="E71" s="595">
        <f>VLOOKUP(A71,[4]CFR20152016_BenchMarkDataReport!$B$3:$BO$99,19,0)</f>
        <v>0</v>
      </c>
      <c r="F71" s="595">
        <f>VLOOKUP(A71,[4]CFR20152016_BenchMarkDataReport!$B$3:$BO$99,20,0)</f>
        <v>76917</v>
      </c>
      <c r="G71" s="595">
        <f>VLOOKUP(A71,[4]CFR20152016_BenchMarkDataReport!$B$3:$BO$99,21,0)</f>
        <v>0</v>
      </c>
      <c r="H71" s="595">
        <f>VLOOKUP(A71,[4]CFR20152016_BenchMarkDataReport!$B$3:$BO$99,22,0)</f>
        <v>91072</v>
      </c>
      <c r="I71" s="595">
        <f>VLOOKUP(A71,[4]CFR20152016_BenchMarkDataReport!$B$3:$BO$99,23,0)</f>
        <v>1700</v>
      </c>
      <c r="J71" s="595">
        <f>VLOOKUP(A71,[4]CFR20152016_BenchMarkDataReport!$B$3:$BO$99,24,0)</f>
        <v>5051</v>
      </c>
      <c r="K71" s="595">
        <f>VLOOKUP(A71,[4]CFR20152016_BenchMarkDataReport!$B$3:$BO$99,25,0)</f>
        <v>58914.84</v>
      </c>
      <c r="L71" s="595">
        <f>VLOOKUP(A71,[4]CFR20152016_BenchMarkDataReport!$B$3:$BO$99,26,0)</f>
        <v>68039.710000000006</v>
      </c>
      <c r="M71" s="595">
        <f>VLOOKUP(A71,[4]CFR20152016_BenchMarkDataReport!$B$3:$BO$99,27,0)</f>
        <v>10022.120000000001</v>
      </c>
      <c r="N71" s="595">
        <f>VLOOKUP(A71,[4]CFR20152016_BenchMarkDataReport!$B$3:$BO$99,28,0)</f>
        <v>1805.55</v>
      </c>
      <c r="O71" s="595">
        <f>VLOOKUP(A71,[4]CFR20152016_BenchMarkDataReport!$B$3:$BO$99,29,0)</f>
        <v>63973.15</v>
      </c>
      <c r="P71" s="595">
        <f>VLOOKUP(A71,[4]CFR20152016_BenchMarkDataReport!$B$3:$BO$99,30,0)</f>
        <v>834.5</v>
      </c>
      <c r="Q71" s="595">
        <f>VLOOKUP(A71,[4]CFR20152016_BenchMarkDataReport!$B$3:$BO$99,31,0)</f>
        <v>0</v>
      </c>
      <c r="R71" s="595">
        <f>VLOOKUP(A71,[4]CFR20152016_BenchMarkDataReport!$B$3:$BO$99,32,0)</f>
        <v>0</v>
      </c>
      <c r="S71" s="595">
        <f>VLOOKUP(A71,[4]CFR20152016_BenchMarkDataReport!$B$3:$BO$99,33,0)</f>
        <v>0</v>
      </c>
      <c r="T71" s="595">
        <f>VLOOKUP(A71,[4]CFR20152016_BenchMarkDataReport!$B$3:$BO$99,34,0)</f>
        <v>79189.320000000007</v>
      </c>
      <c r="U71" s="595">
        <f>VLOOKUP(A71,[4]CFR20152016_BenchMarkDataReport!$B$3:$BO$99,35,0)</f>
        <v>1031875.39</v>
      </c>
      <c r="V71" s="595">
        <f>VLOOKUP(A71,[4]CFR20152016_BenchMarkDataReport!$B$3:$BO$99,36,0)</f>
        <v>0</v>
      </c>
      <c r="W71" s="595">
        <f>VLOOKUP(A71,[4]CFR20152016_BenchMarkDataReport!$B$3:$BO$99,37,0)</f>
        <v>493413.24</v>
      </c>
      <c r="X71" s="595">
        <f>VLOOKUP(A71,[4]CFR20152016_BenchMarkDataReport!$B$3:$BO$99,38,0)</f>
        <v>89867.5</v>
      </c>
      <c r="Y71" s="595">
        <f>VLOOKUP(A71,[4]CFR20152016_BenchMarkDataReport!$B$3:$BO$99,39,0)</f>
        <v>109703.48</v>
      </c>
      <c r="Z71" s="595">
        <f>VLOOKUP(A71,[4]CFR20152016_BenchMarkDataReport!$B$3:$BO$99,40,0)</f>
        <v>0</v>
      </c>
      <c r="AA71" s="595">
        <f>VLOOKUP(A71,[4]CFR20152016_BenchMarkDataReport!$B$3:$BO$99,41,0)</f>
        <v>55093.4</v>
      </c>
      <c r="AB71" s="595">
        <f>VLOOKUP(A71,[4]CFR20152016_BenchMarkDataReport!$B$3:$BO$99,42,0)</f>
        <v>10264.450000000001</v>
      </c>
      <c r="AC71" s="595">
        <f>VLOOKUP(A71,[4]CFR20152016_BenchMarkDataReport!$B$3:$BO$99,43,0)</f>
        <v>9646.89</v>
      </c>
      <c r="AD71" s="595">
        <f>VLOOKUP(A71,[4]CFR20152016_BenchMarkDataReport!$B$3:$BO$99,44,0)</f>
        <v>22143.29</v>
      </c>
      <c r="AE71" s="595">
        <f>VLOOKUP(A71,[4]CFR20152016_BenchMarkDataReport!$B$3:$BO$99,45,0)</f>
        <v>3757.34</v>
      </c>
      <c r="AF71" s="595">
        <f>VLOOKUP(A71,[4]CFR20152016_BenchMarkDataReport!$B$3:$BO$99,46,0)</f>
        <v>34374.019999999997</v>
      </c>
      <c r="AG71" s="595">
        <f>VLOOKUP(A71,[4]CFR20152016_BenchMarkDataReport!$B$3:$BO$99,47,0)</f>
        <v>167.7</v>
      </c>
      <c r="AH71" s="595">
        <f>VLOOKUP(A71,[4]CFR20152016_BenchMarkDataReport!$B$3:$BO$99,48,0)</f>
        <v>2412.3000000000002</v>
      </c>
      <c r="AI71" s="595">
        <f>VLOOKUP(A71,[4]CFR20152016_BenchMarkDataReport!$B$3:$BO$99,49,0)</f>
        <v>2610.0700000000002</v>
      </c>
      <c r="AJ71" s="595">
        <f>VLOOKUP(A71,[4]CFR20152016_BenchMarkDataReport!$B$3:$BO$99,50,0)</f>
        <v>32017.1</v>
      </c>
      <c r="AK71" s="595">
        <f>VLOOKUP(A71,[4]CFR20152016_BenchMarkDataReport!$B$3:$BO$99,51,0)</f>
        <v>0</v>
      </c>
      <c r="AL71" s="595">
        <f>VLOOKUP(A71,[4]CFR20152016_BenchMarkDataReport!$B$3:$BO$99,52,0)</f>
        <v>12954.16</v>
      </c>
      <c r="AM71" s="595">
        <f>VLOOKUP(A71,[4]CFR20152016_BenchMarkDataReport!$B$3:$BO$99,53,0)</f>
        <v>113292.36</v>
      </c>
      <c r="AN71" s="595">
        <f>VLOOKUP(A71,[4]CFR20152016_BenchMarkDataReport!$B$3:$BO$99,54,0)</f>
        <v>46735.15</v>
      </c>
      <c r="AO71" s="595">
        <f>VLOOKUP(A71,[4]CFR20152016_BenchMarkDataReport!$B$3:$BO$99,55,0)</f>
        <v>0</v>
      </c>
      <c r="AP71" s="595">
        <f>VLOOKUP(A71,[4]CFR20152016_BenchMarkDataReport!$B$3:$BO$99,56,0)</f>
        <v>9241.5400000000009</v>
      </c>
      <c r="AQ71" s="595">
        <f>VLOOKUP(A71,[4]CFR20152016_BenchMarkDataReport!$B$3:$BO$99,57,0)</f>
        <v>15816.77</v>
      </c>
      <c r="AR71" s="595">
        <f>VLOOKUP(A71,[4]CFR20152016_BenchMarkDataReport!$B$3:$BO$99,58,0)</f>
        <v>29275.78</v>
      </c>
      <c r="AS71" s="595">
        <f>VLOOKUP(A71,[4]CFR20152016_BenchMarkDataReport!$B$3:$BO$99,59,0)</f>
        <v>142433.42000000001</v>
      </c>
      <c r="AT71" s="595">
        <f>VLOOKUP(A71,[4]CFR20152016_BenchMarkDataReport!$B$3:$BO$99,60,0)</f>
        <v>70980.55</v>
      </c>
      <c r="AU71" s="595">
        <f>VLOOKUP(A71,[4]CFR20152016_BenchMarkDataReport!$B$3:$BO$99,61,0)</f>
        <v>26532.95</v>
      </c>
      <c r="AV71" s="595">
        <f>VLOOKUP(A71,[4]CFR20152016_BenchMarkDataReport!$B$3:$BO$99,62,0)</f>
        <v>30864</v>
      </c>
      <c r="AW71" s="595">
        <f>VLOOKUP(A71,[4]CFR20152016_BenchMarkDataReport!$B$3:$BO$99,63,0)</f>
        <v>0</v>
      </c>
      <c r="AX71" s="595">
        <f>VLOOKUP(A71,[4]CFR20152016_BenchMarkDataReport!$B$3:$BO$99,64,0)</f>
        <v>12818.34</v>
      </c>
      <c r="AY71" s="595">
        <f>VLOOKUP(A71,[4]CFR20152016_BenchMarkDataReport!$B$3:$BO$99,65,0)</f>
        <v>0</v>
      </c>
      <c r="AZ71" s="595">
        <f>VLOOKUP(A71,[4]CFR20152016_BenchMarkDataReport!$B$3:$BO$99,66,0)</f>
        <v>0</v>
      </c>
      <c r="BA71" s="598">
        <f t="shared" si="134"/>
        <v>2320474.19</v>
      </c>
      <c r="BB71" s="597">
        <f t="shared" si="139"/>
        <v>2408291.1899999995</v>
      </c>
      <c r="BC71" s="602">
        <f t="shared" si="100"/>
        <v>-87816.999999999534</v>
      </c>
      <c r="BD71" s="595">
        <f>VLOOKUP(A71,[4]CFR20152016_BenchMarkDataReport!$B$3:$BO$99,15,0)</f>
        <v>104677</v>
      </c>
      <c r="BE71" s="602">
        <f t="shared" si="101"/>
        <v>16860.000000000466</v>
      </c>
      <c r="BF71" s="76">
        <f>VLOOKUP(A71,'OCT 15 CENSUS'!$B$9:$U$132,20,0)</f>
        <v>519</v>
      </c>
      <c r="BG71" s="579">
        <f>VLOOKUP(A71,'[2]BUDGET SHARE inc ADJUSTMENTS'!$D$4:$M$139,10,0)</f>
        <v>2106019.5203151046</v>
      </c>
      <c r="BH71" s="580">
        <f>VLOOKUP(A71,'12-13 Pupil Data'!A:CI,81,0)</f>
        <v>1787</v>
      </c>
      <c r="BI71" s="14" t="s">
        <v>210</v>
      </c>
      <c r="BJ71" s="53">
        <f t="shared" si="140"/>
        <v>0.8028337518375932</v>
      </c>
      <c r="BK71" s="581">
        <f t="shared" si="141"/>
        <v>3589.5086705202311</v>
      </c>
      <c r="BL71" s="53">
        <f t="shared" si="142"/>
        <v>0</v>
      </c>
      <c r="BM71" s="581">
        <f t="shared" si="143"/>
        <v>0</v>
      </c>
      <c r="BN71" s="53">
        <f t="shared" si="144"/>
        <v>3.314710429940184E-2</v>
      </c>
      <c r="BO71" s="581">
        <f t="shared" si="145"/>
        <v>148.20231213872833</v>
      </c>
      <c r="BP71" s="53">
        <f t="shared" si="146"/>
        <v>0</v>
      </c>
      <c r="BQ71" s="581">
        <f t="shared" si="147"/>
        <v>0</v>
      </c>
      <c r="BR71" s="53">
        <f t="shared" si="148"/>
        <v>3.924715060071407E-2</v>
      </c>
      <c r="BS71" s="581">
        <f t="shared" si="149"/>
        <v>175.47591522157995</v>
      </c>
      <c r="BT71" s="53">
        <f t="shared" si="150"/>
        <v>7.3260888111838902E-4</v>
      </c>
      <c r="BU71" s="581">
        <f t="shared" si="151"/>
        <v>3.2755298651252409</v>
      </c>
      <c r="BV71" s="53">
        <f t="shared" si="152"/>
        <v>2.1767102697229312E-3</v>
      </c>
      <c r="BW71" s="581">
        <f t="shared" si="153"/>
        <v>9.7321772639691719</v>
      </c>
      <c r="BX71" s="53">
        <f t="shared" si="154"/>
        <v>2.538913824333465E-2</v>
      </c>
      <c r="BY71" s="581">
        <f t="shared" si="155"/>
        <v>113.51606936416184</v>
      </c>
      <c r="BZ71" s="582">
        <f t="shared" si="156"/>
        <v>2.7568998731246394E-2</v>
      </c>
      <c r="CA71" s="583">
        <f t="shared" si="157"/>
        <v>123.26233140655106</v>
      </c>
      <c r="CB71" s="53">
        <f t="shared" si="158"/>
        <v>3.5962477134899744E-4</v>
      </c>
      <c r="CC71" s="584">
        <f t="shared" si="159"/>
        <v>1.6078998073217727</v>
      </c>
      <c r="CD71" s="582">
        <f t="shared" si="135"/>
        <v>0.52366843201671254</v>
      </c>
      <c r="CE71" s="585">
        <f t="shared" si="136"/>
        <v>0.47527179778715833</v>
      </c>
      <c r="CF71" s="585">
        <f t="shared" si="137"/>
        <v>0.45794127578069171</v>
      </c>
      <c r="CG71" s="583">
        <f t="shared" si="138"/>
        <v>2124.9632755298649</v>
      </c>
      <c r="CH71" s="53">
        <f t="shared" si="102"/>
        <v>0.23428711616413461</v>
      </c>
      <c r="CI71" s="65">
        <f t="shared" si="103"/>
        <v>0.21263465981494067</v>
      </c>
      <c r="CJ71" s="65">
        <f t="shared" si="104"/>
        <v>0.20488105510197879</v>
      </c>
      <c r="CK71" s="581">
        <f t="shared" si="105"/>
        <v>950.6998843930636</v>
      </c>
      <c r="CL71" s="582">
        <f t="shared" si="105"/>
        <v>4.2671731735209148E-2</v>
      </c>
      <c r="CM71" s="585">
        <f t="shared" si="160"/>
        <v>3.8728075661121665E-2</v>
      </c>
      <c r="CN71" s="585">
        <f t="shared" si="161"/>
        <v>3.7315877902621905E-2</v>
      </c>
      <c r="CO71" s="583">
        <f t="shared" si="162"/>
        <v>173.15510597302506</v>
      </c>
      <c r="CP71" s="53">
        <f t="shared" si="106"/>
        <v>5.2090438356234253E-2</v>
      </c>
      <c r="CQ71" s="65">
        <f t="shared" si="107"/>
        <v>4.7276319845643275E-2</v>
      </c>
      <c r="CR71" s="65">
        <f t="shared" si="163"/>
        <v>4.5552415113057826E-2</v>
      </c>
      <c r="CS71" s="581">
        <f t="shared" si="108"/>
        <v>211.37472061657033</v>
      </c>
      <c r="CT71" s="582">
        <f t="shared" si="109"/>
        <v>0.84517403225858112</v>
      </c>
      <c r="CU71" s="585">
        <f t="shared" si="110"/>
        <v>0.76706434299965209</v>
      </c>
      <c r="CV71" s="585">
        <f t="shared" si="111"/>
        <v>0.73909376797579041</v>
      </c>
      <c r="CW71" s="583">
        <f t="shared" si="112"/>
        <v>3429.5819075144504</v>
      </c>
      <c r="CX71" s="53">
        <f t="shared" si="113"/>
        <v>1.6321795533432153E-2</v>
      </c>
      <c r="CY71" s="65">
        <f t="shared" si="114"/>
        <v>1.4273199247139216E-2</v>
      </c>
      <c r="CZ71" s="584">
        <f t="shared" si="115"/>
        <v>19.23560156687185</v>
      </c>
      <c r="DA71" s="581">
        <f t="shared" si="116"/>
        <v>66.231252408477829</v>
      </c>
      <c r="DB71" s="586">
        <f t="shared" si="117"/>
        <v>1.0837850550788257E-3</v>
      </c>
      <c r="DC71" s="587">
        <f t="shared" si="118"/>
        <v>5.0290366088631986</v>
      </c>
      <c r="DD71" s="53">
        <f t="shared" si="118"/>
        <v>1.5202660607442789E-2</v>
      </c>
      <c r="DE71" s="65">
        <f t="shared" si="119"/>
        <v>1.3294530218332944E-2</v>
      </c>
      <c r="DF71" s="584">
        <f t="shared" si="120"/>
        <v>17.916675993284834</v>
      </c>
      <c r="DG71" s="581">
        <f t="shared" si="121"/>
        <v>61.689980732177261</v>
      </c>
      <c r="DH71" s="582">
        <f t="shared" si="122"/>
        <v>6.1510161112190388E-3</v>
      </c>
      <c r="DI71" s="585">
        <f t="shared" si="123"/>
        <v>5.3789840920358154E-3</v>
      </c>
      <c r="DJ71" s="583">
        <f t="shared" si="124"/>
        <v>7.2491102406267487</v>
      </c>
      <c r="DK71" s="53">
        <f t="shared" si="125"/>
        <v>5.3794544118493777E-2</v>
      </c>
      <c r="DL71" s="65">
        <f t="shared" si="126"/>
        <v>4.8822934764036312E-2</v>
      </c>
      <c r="DM71" s="65">
        <f t="shared" si="127"/>
        <v>4.7042633577877274E-2</v>
      </c>
      <c r="DN71" s="581">
        <f t="shared" si="128"/>
        <v>218.28971098265896</v>
      </c>
      <c r="DO71" s="582">
        <f t="shared" si="129"/>
        <v>4.3881549581350852E-3</v>
      </c>
      <c r="DP71" s="585">
        <f t="shared" si="130"/>
        <v>3.8373847973093332E-3</v>
      </c>
      <c r="DQ71" s="583">
        <f t="shared" si="131"/>
        <v>17.806435452793835</v>
      </c>
      <c r="DR71" s="53">
        <f t="shared" si="132"/>
        <v>5.9142939438316028E-2</v>
      </c>
      <c r="DS71" s="581">
        <f t="shared" si="133"/>
        <v>274.43818882466286</v>
      </c>
      <c r="DT71" s="582">
        <f t="shared" si="164"/>
        <v>3.0863911456183767E-5</v>
      </c>
      <c r="DU71" s="585">
        <f t="shared" si="165"/>
        <v>2.8011516042761931E-5</v>
      </c>
      <c r="DV71" s="585">
        <f t="shared" si="166"/>
        <v>2.6990091675749566E-5</v>
      </c>
      <c r="DW71" s="583">
        <f t="shared" si="167"/>
        <v>0.12524084778420039</v>
      </c>
      <c r="DY71" s="588">
        <f>VLOOKUP(A71,'[3]Barnet Schools'!$E$8:$V$130,17,0)</f>
        <v>65</v>
      </c>
    </row>
    <row r="72" spans="1:256">
      <c r="A72" s="79">
        <v>3521</v>
      </c>
      <c r="B72" s="80">
        <v>10698</v>
      </c>
      <c r="C72" s="611" t="s">
        <v>101</v>
      </c>
      <c r="D72" s="595">
        <f>VLOOKUP(A72,[4]CFR20152016_BenchMarkDataReport!$B$3:$BO$99,18,0)</f>
        <v>3370179</v>
      </c>
      <c r="E72" s="595">
        <f>VLOOKUP(A72,[4]CFR20152016_BenchMarkDataReport!$B$3:$BO$99,19,0)</f>
        <v>0</v>
      </c>
      <c r="F72" s="595">
        <f>VLOOKUP(A72,[4]CFR20152016_BenchMarkDataReport!$B$3:$BO$99,20,0)</f>
        <v>114693.34</v>
      </c>
      <c r="G72" s="595">
        <f>VLOOKUP(A72,[4]CFR20152016_BenchMarkDataReport!$B$3:$BO$99,21,0)</f>
        <v>0</v>
      </c>
      <c r="H72" s="595">
        <f>VLOOKUP(A72,[4]CFR20152016_BenchMarkDataReport!$B$3:$BO$99,22,0)</f>
        <v>196596</v>
      </c>
      <c r="I72" s="595">
        <f>VLOOKUP(A72,[4]CFR20152016_BenchMarkDataReport!$B$3:$BO$99,23,0)</f>
        <v>3500</v>
      </c>
      <c r="J72" s="595">
        <f>VLOOKUP(A72,[4]CFR20152016_BenchMarkDataReport!$B$3:$BO$99,24,0)</f>
        <v>12295.97</v>
      </c>
      <c r="K72" s="595">
        <f>VLOOKUP(A72,[4]CFR20152016_BenchMarkDataReport!$B$3:$BO$99,25,0)</f>
        <v>16593.5</v>
      </c>
      <c r="L72" s="595">
        <f>VLOOKUP(A72,[4]CFR20152016_BenchMarkDataReport!$B$3:$BO$99,26,0)</f>
        <v>4357.46</v>
      </c>
      <c r="M72" s="595">
        <f>VLOOKUP(A72,[4]CFR20152016_BenchMarkDataReport!$B$3:$BO$99,27,0)</f>
        <v>340</v>
      </c>
      <c r="N72" s="595">
        <f>VLOOKUP(A72,[4]CFR20152016_BenchMarkDataReport!$B$3:$BO$99,28,0)</f>
        <v>3000</v>
      </c>
      <c r="O72" s="595">
        <f>VLOOKUP(A72,[4]CFR20152016_BenchMarkDataReport!$B$3:$BO$99,29,0)</f>
        <v>68928.37</v>
      </c>
      <c r="P72" s="595">
        <f>VLOOKUP(A72,[4]CFR20152016_BenchMarkDataReport!$B$3:$BO$99,30,0)</f>
        <v>2285.75</v>
      </c>
      <c r="Q72" s="595">
        <f>VLOOKUP(A72,[4]CFR20152016_BenchMarkDataReport!$B$3:$BO$99,31,0)</f>
        <v>0</v>
      </c>
      <c r="R72" s="595">
        <f>VLOOKUP(A72,[4]CFR20152016_BenchMarkDataReport!$B$3:$BO$99,32,0)</f>
        <v>0</v>
      </c>
      <c r="S72" s="595">
        <f>VLOOKUP(A72,[4]CFR20152016_BenchMarkDataReport!$B$3:$BO$99,33,0)</f>
        <v>0</v>
      </c>
      <c r="T72" s="595">
        <f>VLOOKUP(A72,[4]CFR20152016_BenchMarkDataReport!$B$3:$BO$99,34,0)</f>
        <v>115406.16</v>
      </c>
      <c r="U72" s="595">
        <f>VLOOKUP(A72,[4]CFR20152016_BenchMarkDataReport!$B$3:$BO$99,35,0)</f>
        <v>1760945.81</v>
      </c>
      <c r="V72" s="595">
        <f>VLOOKUP(A72,[4]CFR20152016_BenchMarkDataReport!$B$3:$BO$99,36,0)</f>
        <v>0</v>
      </c>
      <c r="W72" s="595">
        <f>VLOOKUP(A72,[4]CFR20152016_BenchMarkDataReport!$B$3:$BO$99,37,0)</f>
        <v>629266.15</v>
      </c>
      <c r="X72" s="595">
        <f>VLOOKUP(A72,[4]CFR20152016_BenchMarkDataReport!$B$3:$BO$99,38,0)</f>
        <v>74537.55</v>
      </c>
      <c r="Y72" s="595">
        <f>VLOOKUP(A72,[4]CFR20152016_BenchMarkDataReport!$B$3:$BO$99,39,0)</f>
        <v>184351.96</v>
      </c>
      <c r="Z72" s="595">
        <f>VLOOKUP(A72,[4]CFR20152016_BenchMarkDataReport!$B$3:$BO$99,40,0)</f>
        <v>0</v>
      </c>
      <c r="AA72" s="595">
        <f>VLOOKUP(A72,[4]CFR20152016_BenchMarkDataReport!$B$3:$BO$99,41,0)</f>
        <v>92759.87</v>
      </c>
      <c r="AB72" s="595">
        <f>VLOOKUP(A72,[4]CFR20152016_BenchMarkDataReport!$B$3:$BO$99,42,0)</f>
        <v>21053.33</v>
      </c>
      <c r="AC72" s="595">
        <f>VLOOKUP(A72,[4]CFR20152016_BenchMarkDataReport!$B$3:$BO$99,43,0)</f>
        <v>34787.57</v>
      </c>
      <c r="AD72" s="595">
        <f>VLOOKUP(A72,[4]CFR20152016_BenchMarkDataReport!$B$3:$BO$99,44,0)</f>
        <v>26942.44</v>
      </c>
      <c r="AE72" s="595">
        <f>VLOOKUP(A72,[4]CFR20152016_BenchMarkDataReport!$B$3:$BO$99,45,0)</f>
        <v>4895.9399999999996</v>
      </c>
      <c r="AF72" s="595">
        <f>VLOOKUP(A72,[4]CFR20152016_BenchMarkDataReport!$B$3:$BO$99,46,0)</f>
        <v>33623.870000000003</v>
      </c>
      <c r="AG72" s="595">
        <f>VLOOKUP(A72,[4]CFR20152016_BenchMarkDataReport!$B$3:$BO$99,47,0)</f>
        <v>13337.14</v>
      </c>
      <c r="AH72" s="595">
        <f>VLOOKUP(A72,[4]CFR20152016_BenchMarkDataReport!$B$3:$BO$99,48,0)</f>
        <v>72127.710000000006</v>
      </c>
      <c r="AI72" s="595">
        <f>VLOOKUP(A72,[4]CFR20152016_BenchMarkDataReport!$B$3:$BO$99,49,0)</f>
        <v>9709.0499999999993</v>
      </c>
      <c r="AJ72" s="595">
        <f>VLOOKUP(A72,[4]CFR20152016_BenchMarkDataReport!$B$3:$BO$99,50,0)</f>
        <v>52327.94</v>
      </c>
      <c r="AK72" s="595">
        <f>VLOOKUP(A72,[4]CFR20152016_BenchMarkDataReport!$B$3:$BO$99,51,0)</f>
        <v>0</v>
      </c>
      <c r="AL72" s="595">
        <f>VLOOKUP(A72,[4]CFR20152016_BenchMarkDataReport!$B$3:$BO$99,52,0)</f>
        <v>27627.75</v>
      </c>
      <c r="AM72" s="595">
        <f>VLOOKUP(A72,[4]CFR20152016_BenchMarkDataReport!$B$3:$BO$99,53,0)</f>
        <v>169868.44</v>
      </c>
      <c r="AN72" s="595">
        <f>VLOOKUP(A72,[4]CFR20152016_BenchMarkDataReport!$B$3:$BO$99,54,0)</f>
        <v>51967.49</v>
      </c>
      <c r="AO72" s="595">
        <f>VLOOKUP(A72,[4]CFR20152016_BenchMarkDataReport!$B$3:$BO$99,55,0)</f>
        <v>0</v>
      </c>
      <c r="AP72" s="595">
        <f>VLOOKUP(A72,[4]CFR20152016_BenchMarkDataReport!$B$3:$BO$99,56,0)</f>
        <v>43631.72</v>
      </c>
      <c r="AQ72" s="595">
        <f>VLOOKUP(A72,[4]CFR20152016_BenchMarkDataReport!$B$3:$BO$99,57,0)</f>
        <v>17294.46</v>
      </c>
      <c r="AR72" s="595">
        <f>VLOOKUP(A72,[4]CFR20152016_BenchMarkDataReport!$B$3:$BO$99,58,0)</f>
        <v>13047.13</v>
      </c>
      <c r="AS72" s="595">
        <f>VLOOKUP(A72,[4]CFR20152016_BenchMarkDataReport!$B$3:$BO$99,59,0)</f>
        <v>110290.16</v>
      </c>
      <c r="AT72" s="595">
        <f>VLOOKUP(A72,[4]CFR20152016_BenchMarkDataReport!$B$3:$BO$99,60,0)</f>
        <v>120334.82</v>
      </c>
      <c r="AU72" s="595">
        <f>VLOOKUP(A72,[4]CFR20152016_BenchMarkDataReport!$B$3:$BO$99,61,0)</f>
        <v>200979.77</v>
      </c>
      <c r="AV72" s="595">
        <f>VLOOKUP(A72,[4]CFR20152016_BenchMarkDataReport!$B$3:$BO$99,62,0)</f>
        <v>37259.480000000003</v>
      </c>
      <c r="AW72" s="595">
        <f>VLOOKUP(A72,[4]CFR20152016_BenchMarkDataReport!$B$3:$BO$99,63,0)</f>
        <v>0</v>
      </c>
      <c r="AX72" s="595">
        <f>VLOOKUP(A72,[4]CFR20152016_BenchMarkDataReport!$B$3:$BO$99,64,0)</f>
        <v>77361</v>
      </c>
      <c r="AY72" s="595">
        <f>VLOOKUP(A72,[4]CFR20152016_BenchMarkDataReport!$B$3:$BO$99,65,0)</f>
        <v>0</v>
      </c>
      <c r="AZ72" s="595">
        <f>VLOOKUP(A72,[4]CFR20152016_BenchMarkDataReport!$B$3:$BO$99,66,0)</f>
        <v>0</v>
      </c>
      <c r="BA72" s="596">
        <f t="shared" si="134"/>
        <v>3908175.5500000003</v>
      </c>
      <c r="BB72" s="595">
        <f t="shared" si="139"/>
        <v>3880328.55</v>
      </c>
      <c r="BC72" s="601">
        <f t="shared" si="100"/>
        <v>27847.000000000466</v>
      </c>
      <c r="BD72" s="595">
        <f>VLOOKUP(A72,[4]CFR20152016_BenchMarkDataReport!$B$3:$BO$99,15,0)</f>
        <v>149572</v>
      </c>
      <c r="BE72" s="601">
        <f t="shared" si="101"/>
        <v>177419.00000000047</v>
      </c>
      <c r="BF72" s="76">
        <f>VLOOKUP(A72,'OCT 15 CENSUS'!$B$9:$U$132,20,0)</f>
        <v>817</v>
      </c>
      <c r="BG72" s="73">
        <f>VLOOKUP(A72,'[2]BUDGET SHARE inc ADJUSTMENTS'!$D$4:$M$139,10,0)</f>
        <v>3774781.7335131997</v>
      </c>
      <c r="BH72" s="76">
        <f>VLOOKUP(A72,'12-13 Pupil Data'!A:CI,81,0)</f>
        <v>2190</v>
      </c>
      <c r="BI72" t="s">
        <v>210</v>
      </c>
      <c r="BJ72" s="44">
        <f t="shared" si="140"/>
        <v>0.86234074106522662</v>
      </c>
      <c r="BK72" s="45">
        <f t="shared" si="141"/>
        <v>4125.0660954712366</v>
      </c>
      <c r="BL72" s="44">
        <f t="shared" si="142"/>
        <v>0</v>
      </c>
      <c r="BM72" s="45">
        <f t="shared" si="143"/>
        <v>0</v>
      </c>
      <c r="BN72" s="44">
        <f t="shared" si="144"/>
        <v>2.9347028692198841E-2</v>
      </c>
      <c r="BO72" s="45">
        <f t="shared" si="145"/>
        <v>140.38352509179927</v>
      </c>
      <c r="BP72" s="44">
        <f t="shared" si="146"/>
        <v>0</v>
      </c>
      <c r="BQ72" s="45">
        <f t="shared" si="147"/>
        <v>0</v>
      </c>
      <c r="BR72" s="44">
        <f t="shared" si="148"/>
        <v>5.0303779214830813E-2</v>
      </c>
      <c r="BS72" s="45">
        <f t="shared" si="149"/>
        <v>240.63157894736841</v>
      </c>
      <c r="BT72" s="44">
        <f t="shared" si="150"/>
        <v>8.9555854265553647E-4</v>
      </c>
      <c r="BU72" s="45">
        <f t="shared" si="151"/>
        <v>4.2839657282741737</v>
      </c>
      <c r="BV72" s="44">
        <f t="shared" si="152"/>
        <v>3.1462174210674845E-3</v>
      </c>
      <c r="BW72" s="45">
        <f t="shared" si="153"/>
        <v>15.050146878824968</v>
      </c>
      <c r="BX72" s="44">
        <f t="shared" si="154"/>
        <v>4.2458430507298986E-3</v>
      </c>
      <c r="BY72" s="45">
        <f t="shared" si="155"/>
        <v>20.310281517747857</v>
      </c>
      <c r="BZ72" s="46">
        <f t="shared" si="156"/>
        <v>1.7636968738520456E-2</v>
      </c>
      <c r="CA72" s="47">
        <f t="shared" si="157"/>
        <v>84.367649938800483</v>
      </c>
      <c r="CB72" s="44">
        <f t="shared" si="158"/>
        <v>5.8486369682139781E-4</v>
      </c>
      <c r="CC72" s="48">
        <f t="shared" si="159"/>
        <v>2.797735618115055</v>
      </c>
      <c r="CD72" s="46">
        <f t="shared" si="135"/>
        <v>0.49838130064518649</v>
      </c>
      <c r="CE72" s="49">
        <f t="shared" si="136"/>
        <v>0.48137055409396845</v>
      </c>
      <c r="CF72" s="49">
        <f t="shared" si="137"/>
        <v>0.48482508781376266</v>
      </c>
      <c r="CG72" s="47">
        <f t="shared" si="138"/>
        <v>2302.6690697674421</v>
      </c>
      <c r="CH72" s="44">
        <f t="shared" si="102"/>
        <v>0.16670265843803908</v>
      </c>
      <c r="CI72" s="50">
        <f t="shared" si="103"/>
        <v>0.16101276463898864</v>
      </c>
      <c r="CJ72" s="50">
        <f t="shared" si="104"/>
        <v>0.16216826536505524</v>
      </c>
      <c r="CK72" s="45">
        <f t="shared" si="105"/>
        <v>770.21560587515307</v>
      </c>
      <c r="CL72" s="46">
        <f t="shared" si="105"/>
        <v>1.9746188061217435E-2</v>
      </c>
      <c r="CM72" s="49">
        <f t="shared" si="160"/>
        <v>1.9072211328889768E-2</v>
      </c>
      <c r="CN72" s="49">
        <f t="shared" si="161"/>
        <v>1.9209082179394321E-2</v>
      </c>
      <c r="CO72" s="47">
        <f t="shared" si="162"/>
        <v>91.233231334149323</v>
      </c>
      <c r="CP72" s="44">
        <f t="shared" si="106"/>
        <v>4.8837780039913223E-2</v>
      </c>
      <c r="CQ72" s="50">
        <f t="shared" si="107"/>
        <v>4.7170849323797642E-2</v>
      </c>
      <c r="CR72" s="50">
        <f t="shared" si="163"/>
        <v>4.7509368762085884E-2</v>
      </c>
      <c r="CS72" s="45">
        <f t="shared" si="108"/>
        <v>225.64499388004896</v>
      </c>
      <c r="CT72" s="46">
        <f t="shared" si="109"/>
        <v>0.72636288229787049</v>
      </c>
      <c r="CU72" s="49">
        <f t="shared" si="110"/>
        <v>0.70157067023255892</v>
      </c>
      <c r="CV72" s="49">
        <f t="shared" si="111"/>
        <v>0.70660545999384505</v>
      </c>
      <c r="CW72" s="47">
        <f t="shared" si="112"/>
        <v>3356.0114320685434</v>
      </c>
      <c r="CX72" s="44">
        <f t="shared" si="113"/>
        <v>8.9075004526701935E-3</v>
      </c>
      <c r="CY72" s="50">
        <f t="shared" si="114"/>
        <v>8.6652121248856628E-3</v>
      </c>
      <c r="CZ72" s="48">
        <f t="shared" si="115"/>
        <v>15.353365296803654</v>
      </c>
      <c r="DA72" s="45">
        <f t="shared" si="116"/>
        <v>41.155287637698905</v>
      </c>
      <c r="DB72" s="51">
        <f t="shared" si="117"/>
        <v>2.502120600071352E-3</v>
      </c>
      <c r="DC72" s="52">
        <f t="shared" si="118"/>
        <v>11.883782129742961</v>
      </c>
      <c r="DD72" s="44">
        <f t="shared" si="118"/>
        <v>1.3862507475709926E-2</v>
      </c>
      <c r="DE72" s="50">
        <f t="shared" si="119"/>
        <v>1.3485440556315779E-2</v>
      </c>
      <c r="DF72" s="48">
        <f t="shared" si="120"/>
        <v>23.894036529680367</v>
      </c>
      <c r="DG72" s="45">
        <f t="shared" si="121"/>
        <v>64.048886168910656</v>
      </c>
      <c r="DH72" s="46">
        <f t="shared" si="122"/>
        <v>7.3190324501985916E-3</v>
      </c>
      <c r="DI72" s="49">
        <f t="shared" si="123"/>
        <v>7.1199512216562179E-3</v>
      </c>
      <c r="DJ72" s="47">
        <f t="shared" si="124"/>
        <v>12.615410958904109</v>
      </c>
      <c r="DK72" s="44">
        <f t="shared" si="125"/>
        <v>4.5000864153780615E-2</v>
      </c>
      <c r="DL72" s="50">
        <f t="shared" si="126"/>
        <v>4.3464895019876985E-2</v>
      </c>
      <c r="DM72" s="50">
        <f t="shared" si="127"/>
        <v>4.3776818846950477E-2</v>
      </c>
      <c r="DN72" s="45">
        <f t="shared" si="128"/>
        <v>207.91730722154222</v>
      </c>
      <c r="DO72" s="46">
        <f t="shared" si="129"/>
        <v>1.1558739837228108E-2</v>
      </c>
      <c r="DP72" s="49">
        <f t="shared" si="130"/>
        <v>1.1244336513721242E-2</v>
      </c>
      <c r="DQ72" s="47">
        <f t="shared" si="131"/>
        <v>53.40479804161567</v>
      </c>
      <c r="DR72" s="53">
        <f t="shared" si="132"/>
        <v>2.8422892180096453E-2</v>
      </c>
      <c r="DS72" s="45">
        <f t="shared" si="133"/>
        <v>134.99407588739291</v>
      </c>
      <c r="DT72" s="46">
        <f t="shared" si="164"/>
        <v>3.9207564952969083E-5</v>
      </c>
      <c r="DU72" s="49">
        <f t="shared" si="165"/>
        <v>3.7869332660862682E-5</v>
      </c>
      <c r="DV72" s="49">
        <f t="shared" si="166"/>
        <v>3.8141100191116552E-5</v>
      </c>
      <c r="DW72" s="47">
        <f t="shared" si="167"/>
        <v>0.18115055079559364</v>
      </c>
      <c r="DY72" s="54">
        <f>VLOOKUP(A72,'[3]Barnet Schools'!$E$8:$V$130,17,0)</f>
        <v>148</v>
      </c>
    </row>
    <row r="73" spans="1:256">
      <c r="A73" s="79">
        <v>3312</v>
      </c>
      <c r="B73" s="80">
        <v>10093</v>
      </c>
      <c r="C73" s="573" t="s">
        <v>102</v>
      </c>
      <c r="D73" s="595">
        <f>VLOOKUP(A73,[4]CFR20152016_BenchMarkDataReport!$B$3:$BO$99,18,0)</f>
        <v>875669</v>
      </c>
      <c r="E73" s="595">
        <f>VLOOKUP(A73,[4]CFR20152016_BenchMarkDataReport!$B$3:$BO$99,19,0)</f>
        <v>0</v>
      </c>
      <c r="F73" s="595">
        <f>VLOOKUP(A73,[4]CFR20152016_BenchMarkDataReport!$B$3:$BO$99,20,0)</f>
        <v>55648</v>
      </c>
      <c r="G73" s="595">
        <f>VLOOKUP(A73,[4]CFR20152016_BenchMarkDataReport!$B$3:$BO$99,21,0)</f>
        <v>0</v>
      </c>
      <c r="H73" s="595">
        <f>VLOOKUP(A73,[4]CFR20152016_BenchMarkDataReport!$B$3:$BO$99,22,0)</f>
        <v>33461.01</v>
      </c>
      <c r="I73" s="595">
        <f>VLOOKUP(A73,[4]CFR20152016_BenchMarkDataReport!$B$3:$BO$99,23,0)</f>
        <v>6893.9</v>
      </c>
      <c r="J73" s="595">
        <f>VLOOKUP(A73,[4]CFR20152016_BenchMarkDataReport!$B$3:$BO$99,24,0)</f>
        <v>0</v>
      </c>
      <c r="K73" s="595">
        <f>VLOOKUP(A73,[4]CFR20152016_BenchMarkDataReport!$B$3:$BO$99,25,0)</f>
        <v>42199.46</v>
      </c>
      <c r="L73" s="595">
        <f>VLOOKUP(A73,[4]CFR20152016_BenchMarkDataReport!$B$3:$BO$99,26,0)</f>
        <v>28532.83</v>
      </c>
      <c r="M73" s="595">
        <f>VLOOKUP(A73,[4]CFR20152016_BenchMarkDataReport!$B$3:$BO$99,27,0)</f>
        <v>7040.19</v>
      </c>
      <c r="N73" s="595">
        <f>VLOOKUP(A73,[4]CFR20152016_BenchMarkDataReport!$B$3:$BO$99,28,0)</f>
        <v>0</v>
      </c>
      <c r="O73" s="595">
        <f>VLOOKUP(A73,[4]CFR20152016_BenchMarkDataReport!$B$3:$BO$99,29,0)</f>
        <v>49814.38</v>
      </c>
      <c r="P73" s="595">
        <f>VLOOKUP(A73,[4]CFR20152016_BenchMarkDataReport!$B$3:$BO$99,30,0)</f>
        <v>6172.73</v>
      </c>
      <c r="Q73" s="595">
        <f>VLOOKUP(A73,[4]CFR20152016_BenchMarkDataReport!$B$3:$BO$99,31,0)</f>
        <v>0</v>
      </c>
      <c r="R73" s="595">
        <f>VLOOKUP(A73,[4]CFR20152016_BenchMarkDataReport!$B$3:$BO$99,32,0)</f>
        <v>0</v>
      </c>
      <c r="S73" s="595">
        <f>VLOOKUP(A73,[4]CFR20152016_BenchMarkDataReport!$B$3:$BO$99,33,0)</f>
        <v>0</v>
      </c>
      <c r="T73" s="595">
        <f>VLOOKUP(A73,[4]CFR20152016_BenchMarkDataReport!$B$3:$BO$99,34,0)</f>
        <v>49975.32</v>
      </c>
      <c r="U73" s="595">
        <f>VLOOKUP(A73,[4]CFR20152016_BenchMarkDataReport!$B$3:$BO$99,35,0)</f>
        <v>573640.75</v>
      </c>
      <c r="V73" s="595">
        <f>VLOOKUP(A73,[4]CFR20152016_BenchMarkDataReport!$B$3:$BO$99,36,0)</f>
        <v>9405.64</v>
      </c>
      <c r="W73" s="595">
        <f>VLOOKUP(A73,[4]CFR20152016_BenchMarkDataReport!$B$3:$BO$99,37,0)</f>
        <v>190693.79</v>
      </c>
      <c r="X73" s="595">
        <f>VLOOKUP(A73,[4]CFR20152016_BenchMarkDataReport!$B$3:$BO$99,38,0)</f>
        <v>27644.57</v>
      </c>
      <c r="Y73" s="595">
        <f>VLOOKUP(A73,[4]CFR20152016_BenchMarkDataReport!$B$3:$BO$99,39,0)</f>
        <v>44320.55</v>
      </c>
      <c r="Z73" s="595">
        <f>VLOOKUP(A73,[4]CFR20152016_BenchMarkDataReport!$B$3:$BO$99,40,0)</f>
        <v>0</v>
      </c>
      <c r="AA73" s="595">
        <f>VLOOKUP(A73,[4]CFR20152016_BenchMarkDataReport!$B$3:$BO$99,41,0)</f>
        <v>5613.88</v>
      </c>
      <c r="AB73" s="595">
        <f>VLOOKUP(A73,[4]CFR20152016_BenchMarkDataReport!$B$3:$BO$99,42,0)</f>
        <v>3829.62</v>
      </c>
      <c r="AC73" s="595">
        <f>VLOOKUP(A73,[4]CFR20152016_BenchMarkDataReport!$B$3:$BO$99,43,0)</f>
        <v>3237.32</v>
      </c>
      <c r="AD73" s="595">
        <f>VLOOKUP(A73,[4]CFR20152016_BenchMarkDataReport!$B$3:$BO$99,44,0)</f>
        <v>0</v>
      </c>
      <c r="AE73" s="595">
        <f>VLOOKUP(A73,[4]CFR20152016_BenchMarkDataReport!$B$3:$BO$99,45,0)</f>
        <v>1375.07</v>
      </c>
      <c r="AF73" s="595">
        <f>VLOOKUP(A73,[4]CFR20152016_BenchMarkDataReport!$B$3:$BO$99,46,0)</f>
        <v>26316.49</v>
      </c>
      <c r="AG73" s="595">
        <f>VLOOKUP(A73,[4]CFR20152016_BenchMarkDataReport!$B$3:$BO$99,47,0)</f>
        <v>4972.22</v>
      </c>
      <c r="AH73" s="595">
        <f>VLOOKUP(A73,[4]CFR20152016_BenchMarkDataReport!$B$3:$BO$99,48,0)</f>
        <v>16306.92</v>
      </c>
      <c r="AI73" s="595">
        <f>VLOOKUP(A73,[4]CFR20152016_BenchMarkDataReport!$B$3:$BO$99,49,0)</f>
        <v>2478.1799999999998</v>
      </c>
      <c r="AJ73" s="595">
        <f>VLOOKUP(A73,[4]CFR20152016_BenchMarkDataReport!$B$3:$BO$99,50,0)</f>
        <v>10668.56</v>
      </c>
      <c r="AK73" s="595">
        <f>VLOOKUP(A73,[4]CFR20152016_BenchMarkDataReport!$B$3:$BO$99,51,0)</f>
        <v>0</v>
      </c>
      <c r="AL73" s="595">
        <f>VLOOKUP(A73,[4]CFR20152016_BenchMarkDataReport!$B$3:$BO$99,52,0)</f>
        <v>7773.4</v>
      </c>
      <c r="AM73" s="595">
        <f>VLOOKUP(A73,[4]CFR20152016_BenchMarkDataReport!$B$3:$BO$99,53,0)</f>
        <v>80570.22</v>
      </c>
      <c r="AN73" s="595">
        <f>VLOOKUP(A73,[4]CFR20152016_BenchMarkDataReport!$B$3:$BO$99,54,0)</f>
        <v>14911.8</v>
      </c>
      <c r="AO73" s="595">
        <f>VLOOKUP(A73,[4]CFR20152016_BenchMarkDataReport!$B$3:$BO$99,55,0)</f>
        <v>0</v>
      </c>
      <c r="AP73" s="595">
        <f>VLOOKUP(A73,[4]CFR20152016_BenchMarkDataReport!$B$3:$BO$99,56,0)</f>
        <v>4084.85</v>
      </c>
      <c r="AQ73" s="595">
        <f>VLOOKUP(A73,[4]CFR20152016_BenchMarkDataReport!$B$3:$BO$99,57,0)</f>
        <v>9523.33</v>
      </c>
      <c r="AR73" s="595">
        <f>VLOOKUP(A73,[4]CFR20152016_BenchMarkDataReport!$B$3:$BO$99,58,0)</f>
        <v>15352.54</v>
      </c>
      <c r="AS73" s="595">
        <f>VLOOKUP(A73,[4]CFR20152016_BenchMarkDataReport!$B$3:$BO$99,59,0)</f>
        <v>63877.67</v>
      </c>
      <c r="AT73" s="595">
        <f>VLOOKUP(A73,[4]CFR20152016_BenchMarkDataReport!$B$3:$BO$99,60,0)</f>
        <v>189</v>
      </c>
      <c r="AU73" s="595">
        <f>VLOOKUP(A73,[4]CFR20152016_BenchMarkDataReport!$B$3:$BO$99,61,0)</f>
        <v>32765.15</v>
      </c>
      <c r="AV73" s="595">
        <f>VLOOKUP(A73,[4]CFR20152016_BenchMarkDataReport!$B$3:$BO$99,62,0)</f>
        <v>47495.040000000001</v>
      </c>
      <c r="AW73" s="595">
        <f>VLOOKUP(A73,[4]CFR20152016_BenchMarkDataReport!$B$3:$BO$99,63,0)</f>
        <v>0</v>
      </c>
      <c r="AX73" s="595">
        <f>VLOOKUP(A73,[4]CFR20152016_BenchMarkDataReport!$B$3:$BO$99,64,0)</f>
        <v>6593.26</v>
      </c>
      <c r="AY73" s="595">
        <f>VLOOKUP(A73,[4]CFR20152016_BenchMarkDataReport!$B$3:$BO$99,65,0)</f>
        <v>0</v>
      </c>
      <c r="AZ73" s="595">
        <f>VLOOKUP(A73,[4]CFR20152016_BenchMarkDataReport!$B$3:$BO$99,66,0)</f>
        <v>0</v>
      </c>
      <c r="BA73" s="596">
        <f t="shared" si="134"/>
        <v>1155406.8199999998</v>
      </c>
      <c r="BB73" s="595">
        <f t="shared" si="139"/>
        <v>1203639.8199999998</v>
      </c>
      <c r="BC73" s="601">
        <f t="shared" si="100"/>
        <v>-48233</v>
      </c>
      <c r="BD73" s="595">
        <f>VLOOKUP(A73,[4]CFR20152016_BenchMarkDataReport!$B$3:$BO$99,15,0)</f>
        <v>82061</v>
      </c>
      <c r="BE73" s="601">
        <f t="shared" si="101"/>
        <v>33828</v>
      </c>
      <c r="BF73" s="76">
        <f>VLOOKUP(A73,'OCT 15 CENSUS'!$B$9:$U$132,20,0)</f>
        <v>216</v>
      </c>
      <c r="BG73" s="73">
        <f>VLOOKUP(A73,'[2]BUDGET SHARE inc ADJUSTMENTS'!$D$4:$M$139,10,0)</f>
        <v>1012870.8740913812</v>
      </c>
      <c r="BH73" s="76">
        <f>VLOOKUP(A73,'12-13 Pupil Data'!A:CI,81,0)</f>
        <v>1355</v>
      </c>
      <c r="BI73" t="s">
        <v>210</v>
      </c>
      <c r="BJ73" s="44">
        <f t="shared" si="140"/>
        <v>0.7578880311611802</v>
      </c>
      <c r="BK73" s="45">
        <f t="shared" si="141"/>
        <v>4054.0231481481483</v>
      </c>
      <c r="BL73" s="44">
        <f t="shared" si="142"/>
        <v>0</v>
      </c>
      <c r="BM73" s="45">
        <f t="shared" si="143"/>
        <v>0</v>
      </c>
      <c r="BN73" s="44">
        <f t="shared" si="144"/>
        <v>4.8163122319115279E-2</v>
      </c>
      <c r="BO73" s="45">
        <f t="shared" si="145"/>
        <v>257.62962962962962</v>
      </c>
      <c r="BP73" s="44">
        <f t="shared" si="146"/>
        <v>0</v>
      </c>
      <c r="BQ73" s="45">
        <f t="shared" si="147"/>
        <v>0</v>
      </c>
      <c r="BR73" s="44">
        <f t="shared" si="148"/>
        <v>2.8960370858811452E-2</v>
      </c>
      <c r="BS73" s="45">
        <f t="shared" si="149"/>
        <v>154.91208333333336</v>
      </c>
      <c r="BT73" s="44">
        <f t="shared" si="150"/>
        <v>5.9666429872726563E-3</v>
      </c>
      <c r="BU73" s="45">
        <f t="shared" si="151"/>
        <v>31.916203703703701</v>
      </c>
      <c r="BV73" s="44">
        <f t="shared" si="152"/>
        <v>0</v>
      </c>
      <c r="BW73" s="45">
        <f t="shared" si="153"/>
        <v>0</v>
      </c>
      <c r="BX73" s="44">
        <f t="shared" si="154"/>
        <v>3.6523464523084609E-2</v>
      </c>
      <c r="BY73" s="45">
        <f t="shared" si="155"/>
        <v>195.36787037037035</v>
      </c>
      <c r="BZ73" s="46">
        <f t="shared" si="156"/>
        <v>4.3114147448082403E-2</v>
      </c>
      <c r="CA73" s="47">
        <f t="shared" si="157"/>
        <v>230.62212962962963</v>
      </c>
      <c r="CB73" s="44">
        <f t="shared" si="158"/>
        <v>5.3424732251450627E-3</v>
      </c>
      <c r="CC73" s="48">
        <f t="shared" si="159"/>
        <v>28.5774537037037</v>
      </c>
      <c r="CD73" s="46">
        <f t="shared" si="135"/>
        <v>0.57582403139314731</v>
      </c>
      <c r="CE73" s="49">
        <f t="shared" si="136"/>
        <v>0.50478790665265427</v>
      </c>
      <c r="CF73" s="49">
        <f t="shared" si="137"/>
        <v>0.48455973316004125</v>
      </c>
      <c r="CG73" s="47">
        <f t="shared" si="138"/>
        <v>2700.1638425925926</v>
      </c>
      <c r="CH73" s="44">
        <f t="shared" si="102"/>
        <v>0.18827058303070093</v>
      </c>
      <c r="CI73" s="50">
        <f t="shared" si="103"/>
        <v>0.16504471559203712</v>
      </c>
      <c r="CJ73" s="50">
        <f t="shared" si="104"/>
        <v>0.15843094157519649</v>
      </c>
      <c r="CK73" s="45">
        <f t="shared" si="105"/>
        <v>882.84162037037038</v>
      </c>
      <c r="CL73" s="46">
        <f t="shared" si="105"/>
        <v>2.7293281608871602E-2</v>
      </c>
      <c r="CM73" s="49">
        <f t="shared" si="160"/>
        <v>2.392626520933986E-2</v>
      </c>
      <c r="CN73" s="49">
        <f t="shared" si="161"/>
        <v>2.296747709792453E-2</v>
      </c>
      <c r="CO73" s="47">
        <f t="shared" si="162"/>
        <v>127.98412037037036</v>
      </c>
      <c r="CP73" s="44">
        <f t="shared" si="106"/>
        <v>4.3757354598392174E-2</v>
      </c>
      <c r="CQ73" s="50">
        <f t="shared" si="107"/>
        <v>3.835925946845286E-2</v>
      </c>
      <c r="CR73" s="50">
        <f t="shared" si="163"/>
        <v>3.6822103476104678E-2</v>
      </c>
      <c r="CS73" s="45">
        <f t="shared" si="108"/>
        <v>205.18773148148151</v>
      </c>
      <c r="CT73" s="46">
        <f t="shared" si="109"/>
        <v>0.84050119494619213</v>
      </c>
      <c r="CU73" s="49">
        <f t="shared" si="110"/>
        <v>0.73681335895178479</v>
      </c>
      <c r="CV73" s="49">
        <f t="shared" si="111"/>
        <v>0.70728731789548149</v>
      </c>
      <c r="CW73" s="47">
        <f t="shared" si="112"/>
        <v>3941.2925</v>
      </c>
      <c r="CX73" s="44">
        <f t="shared" si="113"/>
        <v>2.5982077946122999E-2</v>
      </c>
      <c r="CY73" s="50">
        <f t="shared" si="114"/>
        <v>2.1864090538314031E-2</v>
      </c>
      <c r="CZ73" s="48">
        <f t="shared" si="115"/>
        <v>19.421763837638377</v>
      </c>
      <c r="DA73" s="45">
        <f t="shared" si="116"/>
        <v>121.83560185185186</v>
      </c>
      <c r="DB73" s="51">
        <f t="shared" si="117"/>
        <v>2.0589049637789484E-3</v>
      </c>
      <c r="DC73" s="52">
        <f t="shared" si="118"/>
        <v>11.473055555555554</v>
      </c>
      <c r="DD73" s="44">
        <f t="shared" si="118"/>
        <v>1.0532991196504167E-2</v>
      </c>
      <c r="DE73" s="50">
        <f t="shared" si="119"/>
        <v>8.8635817980830846E-3</v>
      </c>
      <c r="DF73" s="48">
        <f t="shared" si="120"/>
        <v>7.873476014760147</v>
      </c>
      <c r="DG73" s="45">
        <f t="shared" si="121"/>
        <v>49.391481481481478</v>
      </c>
      <c r="DH73" s="46">
        <f t="shared" si="122"/>
        <v>7.6746209204340129E-3</v>
      </c>
      <c r="DI73" s="49">
        <f t="shared" si="123"/>
        <v>6.4582442943770342E-3</v>
      </c>
      <c r="DJ73" s="47">
        <f t="shared" si="124"/>
        <v>5.7368265682656823</v>
      </c>
      <c r="DK73" s="44">
        <f t="shared" si="125"/>
        <v>7.9546388449838037E-2</v>
      </c>
      <c r="DL73" s="50">
        <f t="shared" si="126"/>
        <v>6.9733204448282571E-2</v>
      </c>
      <c r="DM73" s="50">
        <f t="shared" si="127"/>
        <v>6.6938812310147741E-2</v>
      </c>
      <c r="DN73" s="45">
        <f t="shared" si="128"/>
        <v>373.01027777777779</v>
      </c>
      <c r="DO73" s="46">
        <f t="shared" si="129"/>
        <v>4.032942504802902E-3</v>
      </c>
      <c r="DP73" s="49">
        <f t="shared" si="130"/>
        <v>3.3937478073797862E-3</v>
      </c>
      <c r="DQ73" s="47">
        <f t="shared" si="131"/>
        <v>18.911342592592593</v>
      </c>
      <c r="DR73" s="53">
        <f t="shared" si="132"/>
        <v>5.3070419355185514E-2</v>
      </c>
      <c r="DS73" s="45">
        <f t="shared" si="133"/>
        <v>295.7299537037037</v>
      </c>
      <c r="DT73" s="46">
        <f t="shared" si="164"/>
        <v>2.1720438964873581E-5</v>
      </c>
      <c r="DU73" s="49">
        <f t="shared" si="165"/>
        <v>1.9040912360202274E-5</v>
      </c>
      <c r="DV73" s="49">
        <f t="shared" si="166"/>
        <v>1.8277893132515344E-5</v>
      </c>
      <c r="DW73" s="47">
        <f t="shared" si="167"/>
        <v>0.10185185185185185</v>
      </c>
      <c r="DY73" s="54">
        <f>VLOOKUP(A73,'[3]Barnet Schools'!$E$8:$V$130,17,0)</f>
        <v>22</v>
      </c>
    </row>
    <row r="74" spans="1:256">
      <c r="A74" s="79">
        <v>3311</v>
      </c>
      <c r="B74" s="80">
        <v>10092</v>
      </c>
      <c r="C74" s="573" t="s">
        <v>103</v>
      </c>
      <c r="D74" s="595">
        <f>VLOOKUP(A74,[4]CFR20152016_BenchMarkDataReport!$B$3:$BO$99,18,0)</f>
        <v>1742184.55</v>
      </c>
      <c r="E74" s="595">
        <f>VLOOKUP(A74,[4]CFR20152016_BenchMarkDataReport!$B$3:$BO$99,19,0)</f>
        <v>0</v>
      </c>
      <c r="F74" s="595">
        <f>VLOOKUP(A74,[4]CFR20152016_BenchMarkDataReport!$B$3:$BO$99,20,0)</f>
        <v>37681</v>
      </c>
      <c r="G74" s="595">
        <f>VLOOKUP(A74,[4]CFR20152016_BenchMarkDataReport!$B$3:$BO$99,21,0)</f>
        <v>0</v>
      </c>
      <c r="H74" s="595">
        <f>VLOOKUP(A74,[4]CFR20152016_BenchMarkDataReport!$B$3:$BO$99,22,0)</f>
        <v>30310</v>
      </c>
      <c r="I74" s="595">
        <f>VLOOKUP(A74,[4]CFR20152016_BenchMarkDataReport!$B$3:$BO$99,23,0)</f>
        <v>8994</v>
      </c>
      <c r="J74" s="595">
        <f>VLOOKUP(A74,[4]CFR20152016_BenchMarkDataReport!$B$3:$BO$99,24,0)</f>
        <v>585</v>
      </c>
      <c r="K74" s="595">
        <f>VLOOKUP(A74,[4]CFR20152016_BenchMarkDataReport!$B$3:$BO$99,25,0)</f>
        <v>38912.230000000003</v>
      </c>
      <c r="L74" s="595">
        <f>VLOOKUP(A74,[4]CFR20152016_BenchMarkDataReport!$B$3:$BO$99,26,0)</f>
        <v>58697.8</v>
      </c>
      <c r="M74" s="595">
        <f>VLOOKUP(A74,[4]CFR20152016_BenchMarkDataReport!$B$3:$BO$99,27,0)</f>
        <v>0</v>
      </c>
      <c r="N74" s="595">
        <f>VLOOKUP(A74,[4]CFR20152016_BenchMarkDataReport!$B$3:$BO$99,28,0)</f>
        <v>0</v>
      </c>
      <c r="O74" s="595">
        <f>VLOOKUP(A74,[4]CFR20152016_BenchMarkDataReport!$B$3:$BO$99,29,0)</f>
        <v>67572.98</v>
      </c>
      <c r="P74" s="595">
        <f>VLOOKUP(A74,[4]CFR20152016_BenchMarkDataReport!$B$3:$BO$99,30,0)</f>
        <v>15908.75</v>
      </c>
      <c r="Q74" s="595">
        <f>VLOOKUP(A74,[4]CFR20152016_BenchMarkDataReport!$B$3:$BO$99,31,0)</f>
        <v>0</v>
      </c>
      <c r="R74" s="595">
        <f>VLOOKUP(A74,[4]CFR20152016_BenchMarkDataReport!$B$3:$BO$99,32,0)</f>
        <v>0</v>
      </c>
      <c r="S74" s="595">
        <f>VLOOKUP(A74,[4]CFR20152016_BenchMarkDataReport!$B$3:$BO$99,33,0)</f>
        <v>0</v>
      </c>
      <c r="T74" s="595">
        <f>VLOOKUP(A74,[4]CFR20152016_BenchMarkDataReport!$B$3:$BO$99,34,0)</f>
        <v>72136.22</v>
      </c>
      <c r="U74" s="595">
        <f>VLOOKUP(A74,[4]CFR20152016_BenchMarkDataReport!$B$3:$BO$99,35,0)</f>
        <v>875732.75</v>
      </c>
      <c r="V74" s="595">
        <f>VLOOKUP(A74,[4]CFR20152016_BenchMarkDataReport!$B$3:$BO$99,36,0)</f>
        <v>0</v>
      </c>
      <c r="W74" s="595">
        <f>VLOOKUP(A74,[4]CFR20152016_BenchMarkDataReport!$B$3:$BO$99,37,0)</f>
        <v>474319.47</v>
      </c>
      <c r="X74" s="595">
        <f>VLOOKUP(A74,[4]CFR20152016_BenchMarkDataReport!$B$3:$BO$99,38,0)</f>
        <v>58671.46</v>
      </c>
      <c r="Y74" s="595">
        <f>VLOOKUP(A74,[4]CFR20152016_BenchMarkDataReport!$B$3:$BO$99,39,0)</f>
        <v>34660.230000000003</v>
      </c>
      <c r="Z74" s="595">
        <f>VLOOKUP(A74,[4]CFR20152016_BenchMarkDataReport!$B$3:$BO$99,40,0)</f>
        <v>0</v>
      </c>
      <c r="AA74" s="595">
        <f>VLOOKUP(A74,[4]CFR20152016_BenchMarkDataReport!$B$3:$BO$99,41,0)</f>
        <v>75762.5</v>
      </c>
      <c r="AB74" s="595">
        <f>VLOOKUP(A74,[4]CFR20152016_BenchMarkDataReport!$B$3:$BO$99,42,0)</f>
        <v>8769.65</v>
      </c>
      <c r="AC74" s="595">
        <f>VLOOKUP(A74,[4]CFR20152016_BenchMarkDataReport!$B$3:$BO$99,43,0)</f>
        <v>4029.38</v>
      </c>
      <c r="AD74" s="595">
        <f>VLOOKUP(A74,[4]CFR20152016_BenchMarkDataReport!$B$3:$BO$99,44,0)</f>
        <v>693</v>
      </c>
      <c r="AE74" s="595">
        <f>VLOOKUP(A74,[4]CFR20152016_BenchMarkDataReport!$B$3:$BO$99,45,0)</f>
        <v>1429.68</v>
      </c>
      <c r="AF74" s="595">
        <f>VLOOKUP(A74,[4]CFR20152016_BenchMarkDataReport!$B$3:$BO$99,46,0)</f>
        <v>15262.17</v>
      </c>
      <c r="AG74" s="595">
        <f>VLOOKUP(A74,[4]CFR20152016_BenchMarkDataReport!$B$3:$BO$99,47,0)</f>
        <v>6382.75</v>
      </c>
      <c r="AH74" s="595">
        <f>VLOOKUP(A74,[4]CFR20152016_BenchMarkDataReport!$B$3:$BO$99,48,0)</f>
        <v>22756.27</v>
      </c>
      <c r="AI74" s="595">
        <f>VLOOKUP(A74,[4]CFR20152016_BenchMarkDataReport!$B$3:$BO$99,49,0)</f>
        <v>6659.26</v>
      </c>
      <c r="AJ74" s="595">
        <f>VLOOKUP(A74,[4]CFR20152016_BenchMarkDataReport!$B$3:$BO$99,50,0)</f>
        <v>23582.78</v>
      </c>
      <c r="AK74" s="595">
        <f>VLOOKUP(A74,[4]CFR20152016_BenchMarkDataReport!$B$3:$BO$99,51,0)</f>
        <v>0</v>
      </c>
      <c r="AL74" s="595">
        <f>VLOOKUP(A74,[4]CFR20152016_BenchMarkDataReport!$B$3:$BO$99,52,0)</f>
        <v>10296.06</v>
      </c>
      <c r="AM74" s="595">
        <f>VLOOKUP(A74,[4]CFR20152016_BenchMarkDataReport!$B$3:$BO$99,53,0)</f>
        <v>92260.62</v>
      </c>
      <c r="AN74" s="595">
        <f>VLOOKUP(A74,[4]CFR20152016_BenchMarkDataReport!$B$3:$BO$99,54,0)</f>
        <v>27331.11</v>
      </c>
      <c r="AO74" s="595">
        <f>VLOOKUP(A74,[4]CFR20152016_BenchMarkDataReport!$B$3:$BO$99,55,0)</f>
        <v>0</v>
      </c>
      <c r="AP74" s="595">
        <f>VLOOKUP(A74,[4]CFR20152016_BenchMarkDataReport!$B$3:$BO$99,56,0)</f>
        <v>13209.5</v>
      </c>
      <c r="AQ74" s="595">
        <f>VLOOKUP(A74,[4]CFR20152016_BenchMarkDataReport!$B$3:$BO$99,57,0)</f>
        <v>6503.35</v>
      </c>
      <c r="AR74" s="595">
        <f>VLOOKUP(A74,[4]CFR20152016_BenchMarkDataReport!$B$3:$BO$99,58,0)</f>
        <v>5061.55</v>
      </c>
      <c r="AS74" s="595">
        <f>VLOOKUP(A74,[4]CFR20152016_BenchMarkDataReport!$B$3:$BO$99,59,0)</f>
        <v>118374.83</v>
      </c>
      <c r="AT74" s="595">
        <f>VLOOKUP(A74,[4]CFR20152016_BenchMarkDataReport!$B$3:$BO$99,60,0)</f>
        <v>56318.73</v>
      </c>
      <c r="AU74" s="595">
        <f>VLOOKUP(A74,[4]CFR20152016_BenchMarkDataReport!$B$3:$BO$99,61,0)</f>
        <v>78211.360000000001</v>
      </c>
      <c r="AV74" s="595">
        <f>VLOOKUP(A74,[4]CFR20152016_BenchMarkDataReport!$B$3:$BO$99,62,0)</f>
        <v>53642.07</v>
      </c>
      <c r="AW74" s="595">
        <f>VLOOKUP(A74,[4]CFR20152016_BenchMarkDataReport!$B$3:$BO$99,63,0)</f>
        <v>0</v>
      </c>
      <c r="AX74" s="595">
        <f>VLOOKUP(A74,[4]CFR20152016_BenchMarkDataReport!$B$3:$BO$99,64,0)</f>
        <v>0</v>
      </c>
      <c r="AY74" s="595">
        <f>VLOOKUP(A74,[4]CFR20152016_BenchMarkDataReport!$B$3:$BO$99,65,0)</f>
        <v>0</v>
      </c>
      <c r="AZ74" s="595">
        <f>VLOOKUP(A74,[4]CFR20152016_BenchMarkDataReport!$B$3:$BO$99,66,0)</f>
        <v>0</v>
      </c>
      <c r="BA74" s="596">
        <f t="shared" si="134"/>
        <v>2072982.53</v>
      </c>
      <c r="BB74" s="595">
        <f t="shared" si="139"/>
        <v>2069920.5300000003</v>
      </c>
      <c r="BC74" s="601">
        <f t="shared" si="100"/>
        <v>3061.9999999997672</v>
      </c>
      <c r="BD74" s="595">
        <f>VLOOKUP(A74,[4]CFR20152016_BenchMarkDataReport!$B$3:$BO$99,15,0)</f>
        <v>97706</v>
      </c>
      <c r="BE74" s="601">
        <f t="shared" si="101"/>
        <v>100767.99999999977</v>
      </c>
      <c r="BF74" s="76">
        <f>VLOOKUP(A74,'OCT 15 CENSUS'!$B$9:$U$132,20,0)</f>
        <v>471</v>
      </c>
      <c r="BG74" s="73">
        <f>VLOOKUP(A74,'[2]BUDGET SHARE inc ADJUSTMENTS'!$D$4:$M$139,10,0)</f>
        <v>1879382.1851442526</v>
      </c>
      <c r="BH74" s="76">
        <f>VLOOKUP(A74,'12-13 Pupil Data'!A:CI,81,0)</f>
        <v>2233.86</v>
      </c>
      <c r="BI74" t="s">
        <v>210</v>
      </c>
      <c r="BJ74" s="44">
        <f t="shared" si="140"/>
        <v>0.84042413517107639</v>
      </c>
      <c r="BK74" s="45">
        <f t="shared" si="141"/>
        <v>3698.905626326964</v>
      </c>
      <c r="BL74" s="44">
        <f t="shared" si="142"/>
        <v>0</v>
      </c>
      <c r="BM74" s="45">
        <f t="shared" si="143"/>
        <v>0</v>
      </c>
      <c r="BN74" s="44">
        <f t="shared" si="144"/>
        <v>1.8177191295480913E-2</v>
      </c>
      <c r="BO74" s="45">
        <f t="shared" si="145"/>
        <v>80.002123142250525</v>
      </c>
      <c r="BP74" s="44">
        <f t="shared" si="146"/>
        <v>0</v>
      </c>
      <c r="BQ74" s="45">
        <f t="shared" si="147"/>
        <v>0</v>
      </c>
      <c r="BR74" s="44">
        <f t="shared" si="148"/>
        <v>1.4621444976673295E-2</v>
      </c>
      <c r="BS74" s="45">
        <f t="shared" si="149"/>
        <v>64.352441613588113</v>
      </c>
      <c r="BT74" s="44">
        <f t="shared" si="150"/>
        <v>4.3386762164368074E-3</v>
      </c>
      <c r="BU74" s="45">
        <f t="shared" si="151"/>
        <v>19.095541401273884</v>
      </c>
      <c r="BV74" s="44">
        <f t="shared" si="152"/>
        <v>2.8220208879425532E-4</v>
      </c>
      <c r="BW74" s="45">
        <f t="shared" si="153"/>
        <v>1.2420382165605095</v>
      </c>
      <c r="BX74" s="44">
        <f t="shared" si="154"/>
        <v>1.8771132625029888E-2</v>
      </c>
      <c r="BY74" s="45">
        <f t="shared" si="155"/>
        <v>82.616199575371553</v>
      </c>
      <c r="BZ74" s="46">
        <f t="shared" si="156"/>
        <v>3.2596984789833222E-2</v>
      </c>
      <c r="CA74" s="47">
        <f t="shared" si="157"/>
        <v>143.46704883227176</v>
      </c>
      <c r="CB74" s="44">
        <f t="shared" si="158"/>
        <v>7.6743290258215538E-3</v>
      </c>
      <c r="CC74" s="48">
        <f t="shared" si="159"/>
        <v>33.776539278131636</v>
      </c>
      <c r="CD74" s="46">
        <f t="shared" si="135"/>
        <v>0.49593504044440012</v>
      </c>
      <c r="CE74" s="49">
        <f t="shared" si="136"/>
        <v>0.44961858892269585</v>
      </c>
      <c r="CF74" s="49">
        <f t="shared" si="137"/>
        <v>0.4502837024376003</v>
      </c>
      <c r="CG74" s="47">
        <f t="shared" si="138"/>
        <v>1978.8778768577495</v>
      </c>
      <c r="CH74" s="44">
        <f t="shared" si="102"/>
        <v>0.25238052895749535</v>
      </c>
      <c r="CI74" s="50">
        <f t="shared" si="103"/>
        <v>0.22881016271757967</v>
      </c>
      <c r="CJ74" s="50">
        <f t="shared" si="104"/>
        <v>0.22914863789480841</v>
      </c>
      <c r="CK74" s="45">
        <f t="shared" si="105"/>
        <v>1007.0477070063694</v>
      </c>
      <c r="CL74" s="46">
        <f t="shared" si="105"/>
        <v>3.1218482575696361E-2</v>
      </c>
      <c r="CM74" s="49">
        <f t="shared" si="160"/>
        <v>2.8302920623262558E-2</v>
      </c>
      <c r="CN74" s="49">
        <f t="shared" si="161"/>
        <v>2.8344788676500539E-2</v>
      </c>
      <c r="CO74" s="47">
        <f t="shared" si="162"/>
        <v>124.56785562632696</v>
      </c>
      <c r="CP74" s="44">
        <f t="shared" si="106"/>
        <v>1.8442353170086929E-2</v>
      </c>
      <c r="CQ74" s="50">
        <f t="shared" si="107"/>
        <v>1.6719981716391986E-2</v>
      </c>
      <c r="CR74" s="50">
        <f t="shared" si="163"/>
        <v>1.6744715315229999E-2</v>
      </c>
      <c r="CS74" s="45">
        <f t="shared" si="108"/>
        <v>73.588598726114654</v>
      </c>
      <c r="CT74" s="46">
        <f t="shared" si="109"/>
        <v>0.80832223589657859</v>
      </c>
      <c r="CU74" s="49">
        <f t="shared" si="110"/>
        <v>0.73283126510477625</v>
      </c>
      <c r="CV74" s="49">
        <f t="shared" si="111"/>
        <v>0.73391533055619274</v>
      </c>
      <c r="CW74" s="47">
        <f t="shared" si="112"/>
        <v>3225.3639278131632</v>
      </c>
      <c r="CX74" s="44">
        <f t="shared" si="113"/>
        <v>8.1208442437313774E-3</v>
      </c>
      <c r="CY74" s="50">
        <f t="shared" si="114"/>
        <v>7.3733120565744612E-3</v>
      </c>
      <c r="CZ74" s="48">
        <f t="shared" si="115"/>
        <v>6.8321962880395368</v>
      </c>
      <c r="DA74" s="45">
        <f t="shared" si="116"/>
        <v>32.403757961783441</v>
      </c>
      <c r="DB74" s="51">
        <f t="shared" si="117"/>
        <v>3.2171573272912072E-3</v>
      </c>
      <c r="DC74" s="52">
        <f t="shared" si="118"/>
        <v>14.13855626326964</v>
      </c>
      <c r="DD74" s="44">
        <f t="shared" si="118"/>
        <v>1.2548155551548923E-2</v>
      </c>
      <c r="DE74" s="50">
        <f t="shared" si="119"/>
        <v>1.1393084738378819E-2</v>
      </c>
      <c r="DF74" s="48">
        <f t="shared" si="120"/>
        <v>10.556964178596688</v>
      </c>
      <c r="DG74" s="45">
        <f t="shared" si="121"/>
        <v>50.069596602972396</v>
      </c>
      <c r="DH74" s="46">
        <f t="shared" si="122"/>
        <v>5.4784280075580909E-3</v>
      </c>
      <c r="DI74" s="49">
        <f t="shared" si="123"/>
        <v>4.9741329924390858E-3</v>
      </c>
      <c r="DJ74" s="47">
        <f t="shared" si="124"/>
        <v>4.6090891998603309</v>
      </c>
      <c r="DK74" s="44">
        <f t="shared" si="125"/>
        <v>4.9090930375568338E-2</v>
      </c>
      <c r="DL74" s="50">
        <f t="shared" si="126"/>
        <v>4.4506221670859908E-2</v>
      </c>
      <c r="DM74" s="50">
        <f t="shared" si="127"/>
        <v>4.4572059005569639E-2</v>
      </c>
      <c r="DN74" s="45">
        <f t="shared" si="128"/>
        <v>195.88242038216561</v>
      </c>
      <c r="DO74" s="46">
        <f t="shared" si="129"/>
        <v>7.0286395733745342E-3</v>
      </c>
      <c r="DP74" s="49">
        <f t="shared" si="130"/>
        <v>6.3816459658960906E-3</v>
      </c>
      <c r="DQ74" s="47">
        <f t="shared" si="131"/>
        <v>28.045647558386413</v>
      </c>
      <c r="DR74" s="53">
        <f t="shared" si="132"/>
        <v>5.7188103738456078E-2</v>
      </c>
      <c r="DS74" s="45">
        <f t="shared" si="133"/>
        <v>251.32660297239914</v>
      </c>
      <c r="DT74" s="46">
        <f t="shared" si="164"/>
        <v>1.1173884782986883E-5</v>
      </c>
      <c r="DU74" s="49">
        <f t="shared" si="165"/>
        <v>1.0130331392614293E-5</v>
      </c>
      <c r="DV74" s="49">
        <f t="shared" si="166"/>
        <v>1.0145317028185617E-5</v>
      </c>
      <c r="DW74" s="47">
        <f t="shared" si="167"/>
        <v>4.4585987261146494E-2</v>
      </c>
      <c r="DY74" s="54">
        <f>VLOOKUP(A74,'[3]Barnet Schools'!$E$8:$V$130,17,0)</f>
        <v>21</v>
      </c>
    </row>
    <row r="75" spans="1:256">
      <c r="A75" s="79">
        <v>3313</v>
      </c>
      <c r="B75" s="80">
        <v>10094</v>
      </c>
      <c r="C75" s="573" t="s">
        <v>104</v>
      </c>
      <c r="D75" s="595">
        <f>VLOOKUP(A75,[4]CFR20152016_BenchMarkDataReport!$B$3:$BO$99,18,0)</f>
        <v>1031261</v>
      </c>
      <c r="E75" s="595">
        <f>VLOOKUP(A75,[4]CFR20152016_BenchMarkDataReport!$B$3:$BO$99,19,0)</f>
        <v>0</v>
      </c>
      <c r="F75" s="595">
        <f>VLOOKUP(A75,[4]CFR20152016_BenchMarkDataReport!$B$3:$BO$99,20,0)</f>
        <v>46919</v>
      </c>
      <c r="G75" s="595">
        <f>VLOOKUP(A75,[4]CFR20152016_BenchMarkDataReport!$B$3:$BO$99,21,0)</f>
        <v>0</v>
      </c>
      <c r="H75" s="595">
        <f>VLOOKUP(A75,[4]CFR20152016_BenchMarkDataReport!$B$3:$BO$99,22,0)</f>
        <v>61879.99</v>
      </c>
      <c r="I75" s="595">
        <f>VLOOKUP(A75,[4]CFR20152016_BenchMarkDataReport!$B$3:$BO$99,23,0)</f>
        <v>0</v>
      </c>
      <c r="J75" s="595">
        <f>VLOOKUP(A75,[4]CFR20152016_BenchMarkDataReport!$B$3:$BO$99,24,0)</f>
        <v>357</v>
      </c>
      <c r="K75" s="595">
        <f>VLOOKUP(A75,[4]CFR20152016_BenchMarkDataReport!$B$3:$BO$99,25,0)</f>
        <v>9447.2000000000007</v>
      </c>
      <c r="L75" s="595">
        <f>VLOOKUP(A75,[4]CFR20152016_BenchMarkDataReport!$B$3:$BO$99,26,0)</f>
        <v>21929.42</v>
      </c>
      <c r="M75" s="595">
        <f>VLOOKUP(A75,[4]CFR20152016_BenchMarkDataReport!$B$3:$BO$99,27,0)</f>
        <v>11501.36</v>
      </c>
      <c r="N75" s="595">
        <f>VLOOKUP(A75,[4]CFR20152016_BenchMarkDataReport!$B$3:$BO$99,28,0)</f>
        <v>0</v>
      </c>
      <c r="O75" s="595">
        <f>VLOOKUP(A75,[4]CFR20152016_BenchMarkDataReport!$B$3:$BO$99,29,0)</f>
        <v>19944.86</v>
      </c>
      <c r="P75" s="595">
        <f>VLOOKUP(A75,[4]CFR20152016_BenchMarkDataReport!$B$3:$BO$99,30,0)</f>
        <v>2074.77</v>
      </c>
      <c r="Q75" s="595">
        <f>VLOOKUP(A75,[4]CFR20152016_BenchMarkDataReport!$B$3:$BO$99,31,0)</f>
        <v>0</v>
      </c>
      <c r="R75" s="595">
        <f>VLOOKUP(A75,[4]CFR20152016_BenchMarkDataReport!$B$3:$BO$99,32,0)</f>
        <v>0</v>
      </c>
      <c r="S75" s="595">
        <f>VLOOKUP(A75,[4]CFR20152016_BenchMarkDataReport!$B$3:$BO$99,33,0)</f>
        <v>0</v>
      </c>
      <c r="T75" s="595">
        <f>VLOOKUP(A75,[4]CFR20152016_BenchMarkDataReport!$B$3:$BO$99,34,0)</f>
        <v>36573.07</v>
      </c>
      <c r="U75" s="595">
        <f>VLOOKUP(A75,[4]CFR20152016_BenchMarkDataReport!$B$3:$BO$99,35,0)</f>
        <v>520639.61</v>
      </c>
      <c r="V75" s="595">
        <f>VLOOKUP(A75,[4]CFR20152016_BenchMarkDataReport!$B$3:$BO$99,36,0)</f>
        <v>30647.47</v>
      </c>
      <c r="W75" s="595">
        <f>VLOOKUP(A75,[4]CFR20152016_BenchMarkDataReport!$B$3:$BO$99,37,0)</f>
        <v>222445.15</v>
      </c>
      <c r="X75" s="595">
        <f>VLOOKUP(A75,[4]CFR20152016_BenchMarkDataReport!$B$3:$BO$99,38,0)</f>
        <v>26127.37</v>
      </c>
      <c r="Y75" s="595">
        <f>VLOOKUP(A75,[4]CFR20152016_BenchMarkDataReport!$B$3:$BO$99,39,0)</f>
        <v>36177.300000000003</v>
      </c>
      <c r="Z75" s="595">
        <f>VLOOKUP(A75,[4]CFR20152016_BenchMarkDataReport!$B$3:$BO$99,40,0)</f>
        <v>0</v>
      </c>
      <c r="AA75" s="595">
        <f>VLOOKUP(A75,[4]CFR20152016_BenchMarkDataReport!$B$3:$BO$99,41,0)</f>
        <v>22257.040000000001</v>
      </c>
      <c r="AB75" s="595">
        <f>VLOOKUP(A75,[4]CFR20152016_BenchMarkDataReport!$B$3:$BO$99,42,0)</f>
        <v>12417.31</v>
      </c>
      <c r="AC75" s="595">
        <f>VLOOKUP(A75,[4]CFR20152016_BenchMarkDataReport!$B$3:$BO$99,43,0)</f>
        <v>4029.93</v>
      </c>
      <c r="AD75" s="595">
        <f>VLOOKUP(A75,[4]CFR20152016_BenchMarkDataReport!$B$3:$BO$99,44,0)</f>
        <v>10614.37</v>
      </c>
      <c r="AE75" s="595">
        <f>VLOOKUP(A75,[4]CFR20152016_BenchMarkDataReport!$B$3:$BO$99,45,0)</f>
        <v>6114.11</v>
      </c>
      <c r="AF75" s="595">
        <f>VLOOKUP(A75,[4]CFR20152016_BenchMarkDataReport!$B$3:$BO$99,46,0)</f>
        <v>28406.45</v>
      </c>
      <c r="AG75" s="595">
        <f>VLOOKUP(A75,[4]CFR20152016_BenchMarkDataReport!$B$3:$BO$99,47,0)</f>
        <v>1849.09</v>
      </c>
      <c r="AH75" s="595">
        <f>VLOOKUP(A75,[4]CFR20152016_BenchMarkDataReport!$B$3:$BO$99,48,0)</f>
        <v>14557.24</v>
      </c>
      <c r="AI75" s="595">
        <f>VLOOKUP(A75,[4]CFR20152016_BenchMarkDataReport!$B$3:$BO$99,49,0)</f>
        <v>1642.51</v>
      </c>
      <c r="AJ75" s="595">
        <f>VLOOKUP(A75,[4]CFR20152016_BenchMarkDataReport!$B$3:$BO$99,50,0)</f>
        <v>11136.42</v>
      </c>
      <c r="AK75" s="595">
        <f>VLOOKUP(A75,[4]CFR20152016_BenchMarkDataReport!$B$3:$BO$99,51,0)</f>
        <v>0</v>
      </c>
      <c r="AL75" s="595">
        <f>VLOOKUP(A75,[4]CFR20152016_BenchMarkDataReport!$B$3:$BO$99,52,0)</f>
        <v>5017.07</v>
      </c>
      <c r="AM75" s="595">
        <f>VLOOKUP(A75,[4]CFR20152016_BenchMarkDataReport!$B$3:$BO$99,53,0)</f>
        <v>62589.04</v>
      </c>
      <c r="AN75" s="595">
        <f>VLOOKUP(A75,[4]CFR20152016_BenchMarkDataReport!$B$3:$BO$99,54,0)</f>
        <v>15824.44</v>
      </c>
      <c r="AO75" s="595">
        <f>VLOOKUP(A75,[4]CFR20152016_BenchMarkDataReport!$B$3:$BO$99,55,0)</f>
        <v>0</v>
      </c>
      <c r="AP75" s="595">
        <f>VLOOKUP(A75,[4]CFR20152016_BenchMarkDataReport!$B$3:$BO$99,56,0)</f>
        <v>6265.77</v>
      </c>
      <c r="AQ75" s="595">
        <f>VLOOKUP(A75,[4]CFR20152016_BenchMarkDataReport!$B$3:$BO$99,57,0)</f>
        <v>3268.99</v>
      </c>
      <c r="AR75" s="595">
        <f>VLOOKUP(A75,[4]CFR20152016_BenchMarkDataReport!$B$3:$BO$99,58,0)</f>
        <v>11782.22</v>
      </c>
      <c r="AS75" s="595">
        <f>VLOOKUP(A75,[4]CFR20152016_BenchMarkDataReport!$B$3:$BO$99,59,0)</f>
        <v>60452.36</v>
      </c>
      <c r="AT75" s="595">
        <f>VLOOKUP(A75,[4]CFR20152016_BenchMarkDataReport!$B$3:$BO$99,60,0)</f>
        <v>40651.4</v>
      </c>
      <c r="AU75" s="595">
        <f>VLOOKUP(A75,[4]CFR20152016_BenchMarkDataReport!$B$3:$BO$99,61,0)</f>
        <v>24134.31</v>
      </c>
      <c r="AV75" s="595">
        <f>VLOOKUP(A75,[4]CFR20152016_BenchMarkDataReport!$B$3:$BO$99,62,0)</f>
        <v>29153.7</v>
      </c>
      <c r="AW75" s="595">
        <f>VLOOKUP(A75,[4]CFR20152016_BenchMarkDataReport!$B$3:$BO$99,63,0)</f>
        <v>0</v>
      </c>
      <c r="AX75" s="595">
        <f>VLOOKUP(A75,[4]CFR20152016_BenchMarkDataReport!$B$3:$BO$99,64,0)</f>
        <v>0</v>
      </c>
      <c r="AY75" s="595">
        <f>VLOOKUP(A75,[4]CFR20152016_BenchMarkDataReport!$B$3:$BO$99,65,0)</f>
        <v>0</v>
      </c>
      <c r="AZ75" s="595">
        <f>VLOOKUP(A75,[4]CFR20152016_BenchMarkDataReport!$B$3:$BO$99,66,0)</f>
        <v>0</v>
      </c>
      <c r="BA75" s="596">
        <f t="shared" si="134"/>
        <v>1241887.6700000002</v>
      </c>
      <c r="BB75" s="595">
        <f t="shared" si="139"/>
        <v>1208200.6700000002</v>
      </c>
      <c r="BC75" s="601">
        <f t="shared" si="100"/>
        <v>33687</v>
      </c>
      <c r="BD75" s="595">
        <f>VLOOKUP(A75,[4]CFR20152016_BenchMarkDataReport!$B$3:$BO$99,15,0)</f>
        <v>219470</v>
      </c>
      <c r="BE75" s="601">
        <f t="shared" si="101"/>
        <v>253157</v>
      </c>
      <c r="BF75" s="76">
        <f>VLOOKUP(A75,'OCT 15 CENSUS'!$B$9:$U$132,20,0)</f>
        <v>235</v>
      </c>
      <c r="BG75" s="73">
        <f>VLOOKUP(A75,'[2]BUDGET SHARE inc ADJUSTMENTS'!$D$4:$M$139,10,0)</f>
        <v>1174158.7878500668</v>
      </c>
      <c r="BH75" s="76">
        <f>VLOOKUP(A75,'12-13 Pupil Data'!A:CI,81,0)</f>
        <v>1152</v>
      </c>
      <c r="BI75" t="s">
        <v>210</v>
      </c>
      <c r="BJ75" s="44">
        <f t="shared" si="140"/>
        <v>0.8303979698904651</v>
      </c>
      <c r="BK75" s="45">
        <f t="shared" si="141"/>
        <v>4388.3446808510635</v>
      </c>
      <c r="BL75" s="44">
        <f t="shared" si="142"/>
        <v>0</v>
      </c>
      <c r="BM75" s="45">
        <f t="shared" si="143"/>
        <v>0</v>
      </c>
      <c r="BN75" s="44">
        <f t="shared" si="144"/>
        <v>3.7780389590308112E-2</v>
      </c>
      <c r="BO75" s="45">
        <f t="shared" si="145"/>
        <v>199.65531914893617</v>
      </c>
      <c r="BP75" s="44">
        <f t="shared" si="146"/>
        <v>0</v>
      </c>
      <c r="BQ75" s="45">
        <f t="shared" si="147"/>
        <v>0</v>
      </c>
      <c r="BR75" s="44">
        <f t="shared" si="148"/>
        <v>4.9827364821167758E-2</v>
      </c>
      <c r="BS75" s="45">
        <f t="shared" si="149"/>
        <v>263.3191063829787</v>
      </c>
      <c r="BT75" s="44">
        <f t="shared" si="150"/>
        <v>0</v>
      </c>
      <c r="BU75" s="45">
        <f t="shared" si="151"/>
        <v>0</v>
      </c>
      <c r="BV75" s="44">
        <f t="shared" si="152"/>
        <v>2.874656127313028E-4</v>
      </c>
      <c r="BW75" s="45">
        <f t="shared" si="153"/>
        <v>1.5191489361702128</v>
      </c>
      <c r="BX75" s="44">
        <f t="shared" si="154"/>
        <v>7.6071292341601234E-3</v>
      </c>
      <c r="BY75" s="45">
        <f t="shared" si="155"/>
        <v>40.200851063829788</v>
      </c>
      <c r="BZ75" s="46">
        <f t="shared" si="156"/>
        <v>1.6060115968459528E-2</v>
      </c>
      <c r="CA75" s="47">
        <f t="shared" si="157"/>
        <v>84.871744680851066</v>
      </c>
      <c r="CB75" s="44">
        <f t="shared" si="158"/>
        <v>1.6706583454524511E-3</v>
      </c>
      <c r="CC75" s="48">
        <f t="shared" si="159"/>
        <v>8.8288085106382983</v>
      </c>
      <c r="CD75" s="46">
        <f t="shared" si="135"/>
        <v>0.50413835515711103</v>
      </c>
      <c r="CE75" s="49">
        <f t="shared" si="136"/>
        <v>0.47664413964267793</v>
      </c>
      <c r="CF75" s="49">
        <f t="shared" si="137"/>
        <v>0.48993391139238474</v>
      </c>
      <c r="CG75" s="47">
        <f t="shared" si="138"/>
        <v>2518.88714893617</v>
      </c>
      <c r="CH75" s="44">
        <f t="shared" si="102"/>
        <v>0.1894506537802321</v>
      </c>
      <c r="CI75" s="50">
        <f t="shared" si="103"/>
        <v>0.1791185751928755</v>
      </c>
      <c r="CJ75" s="50">
        <f t="shared" si="104"/>
        <v>0.18411275173353445</v>
      </c>
      <c r="CK75" s="45">
        <f t="shared" si="105"/>
        <v>946.57510638297867</v>
      </c>
      <c r="CL75" s="46">
        <f t="shared" si="105"/>
        <v>2.2251990335855929E-2</v>
      </c>
      <c r="CM75" s="49">
        <f t="shared" si="160"/>
        <v>2.1038432566127335E-2</v>
      </c>
      <c r="CN75" s="49">
        <f t="shared" si="161"/>
        <v>2.1625025253462236E-2</v>
      </c>
      <c r="CO75" s="47">
        <f t="shared" si="162"/>
        <v>111.18029787234042</v>
      </c>
      <c r="CP75" s="44">
        <f t="shared" si="106"/>
        <v>3.0811250040756525E-2</v>
      </c>
      <c r="CQ75" s="50">
        <f t="shared" si="107"/>
        <v>2.913089555031978E-2</v>
      </c>
      <c r="CR75" s="50">
        <f t="shared" si="163"/>
        <v>2.9943121948442553E-2</v>
      </c>
      <c r="CS75" s="45">
        <f t="shared" si="108"/>
        <v>153.94595744680853</v>
      </c>
      <c r="CT75" s="46">
        <f t="shared" si="109"/>
        <v>0.73098625916820981</v>
      </c>
      <c r="CU75" s="49">
        <f t="shared" si="110"/>
        <v>0.69112042959569764</v>
      </c>
      <c r="CV75" s="49">
        <f t="shared" si="111"/>
        <v>0.71039022019413378</v>
      </c>
      <c r="CW75" s="47">
        <f t="shared" si="112"/>
        <v>3652.3146382978725</v>
      </c>
      <c r="CX75" s="44">
        <f t="shared" si="113"/>
        <v>2.4193022522970155E-2</v>
      </c>
      <c r="CY75" s="50">
        <f t="shared" si="114"/>
        <v>2.3511367528044821E-2</v>
      </c>
      <c r="CZ75" s="48">
        <f t="shared" si="115"/>
        <v>24.658376736111112</v>
      </c>
      <c r="DA75" s="45">
        <f t="shared" si="116"/>
        <v>120.87851063829788</v>
      </c>
      <c r="DB75" s="51">
        <f t="shared" si="117"/>
        <v>1.3594678771366678E-3</v>
      </c>
      <c r="DC75" s="52">
        <f t="shared" si="118"/>
        <v>6.9894042553191493</v>
      </c>
      <c r="DD75" s="44">
        <f t="shared" si="118"/>
        <v>9.4845945158671813E-3</v>
      </c>
      <c r="DE75" s="50">
        <f t="shared" si="119"/>
        <v>9.2173595632917497E-3</v>
      </c>
      <c r="DF75" s="48">
        <f t="shared" si="120"/>
        <v>9.6670312500000009</v>
      </c>
      <c r="DG75" s="45">
        <f t="shared" si="121"/>
        <v>47.389021276595741</v>
      </c>
      <c r="DH75" s="46">
        <f t="shared" si="122"/>
        <v>4.2729058896594915E-3</v>
      </c>
      <c r="DI75" s="49">
        <f t="shared" si="123"/>
        <v>4.1525138369605434E-3</v>
      </c>
      <c r="DJ75" s="47">
        <f t="shared" si="124"/>
        <v>4.3550954861111109</v>
      </c>
      <c r="DK75" s="44">
        <f t="shared" si="125"/>
        <v>5.3305430788116073E-2</v>
      </c>
      <c r="DL75" s="50">
        <f t="shared" si="126"/>
        <v>5.0398310178890814E-2</v>
      </c>
      <c r="DM75" s="50">
        <f t="shared" si="127"/>
        <v>5.1803513732532523E-2</v>
      </c>
      <c r="DN75" s="45">
        <f t="shared" si="128"/>
        <v>266.33634042553194</v>
      </c>
      <c r="DO75" s="46">
        <f t="shared" si="129"/>
        <v>5.3363906695046625E-3</v>
      </c>
      <c r="DP75" s="49">
        <f t="shared" si="130"/>
        <v>5.1860342040697593E-3</v>
      </c>
      <c r="DQ75" s="47">
        <f t="shared" si="131"/>
        <v>26.662851063829788</v>
      </c>
      <c r="DR75" s="53">
        <f t="shared" si="132"/>
        <v>5.0035032673835543E-2</v>
      </c>
      <c r="DS75" s="45">
        <f t="shared" si="133"/>
        <v>257.24408510638295</v>
      </c>
      <c r="DT75" s="46">
        <f t="shared" si="164"/>
        <v>3.7473636832856155E-5</v>
      </c>
      <c r="DU75" s="49">
        <f t="shared" si="165"/>
        <v>3.5429935462681576E-5</v>
      </c>
      <c r="DV75" s="49">
        <f t="shared" si="166"/>
        <v>3.6417791425326716E-5</v>
      </c>
      <c r="DW75" s="47">
        <f t="shared" si="167"/>
        <v>0.18723404255319148</v>
      </c>
      <c r="DY75" s="54">
        <f>VLOOKUP(A75,'[3]Barnet Schools'!$E$8:$V$130,17,0)</f>
        <v>44</v>
      </c>
    </row>
    <row r="76" spans="1:256">
      <c r="A76" s="79">
        <v>3314</v>
      </c>
      <c r="B76" s="80">
        <v>10095</v>
      </c>
      <c r="C76" s="573" t="s">
        <v>105</v>
      </c>
      <c r="D76" s="595">
        <f>VLOOKUP(A76,[4]CFR20152016_BenchMarkDataReport!$B$3:$BO$99,18,0)</f>
        <v>868788</v>
      </c>
      <c r="E76" s="595">
        <f>VLOOKUP(A76,[4]CFR20152016_BenchMarkDataReport!$B$3:$BO$99,19,0)</f>
        <v>0</v>
      </c>
      <c r="F76" s="595">
        <f>VLOOKUP(A76,[4]CFR20152016_BenchMarkDataReport!$B$3:$BO$99,20,0)</f>
        <v>59408</v>
      </c>
      <c r="G76" s="595">
        <f>VLOOKUP(A76,[4]CFR20152016_BenchMarkDataReport!$B$3:$BO$99,21,0)</f>
        <v>0</v>
      </c>
      <c r="H76" s="595">
        <f>VLOOKUP(A76,[4]CFR20152016_BenchMarkDataReport!$B$3:$BO$99,22,0)</f>
        <v>24179.99</v>
      </c>
      <c r="I76" s="595">
        <f>VLOOKUP(A76,[4]CFR20152016_BenchMarkDataReport!$B$3:$BO$99,23,0)</f>
        <v>1100</v>
      </c>
      <c r="J76" s="595">
        <f>VLOOKUP(A76,[4]CFR20152016_BenchMarkDataReport!$B$3:$BO$99,24,0)</f>
        <v>43382.19</v>
      </c>
      <c r="K76" s="595">
        <f>VLOOKUP(A76,[4]CFR20152016_BenchMarkDataReport!$B$3:$BO$99,25,0)</f>
        <v>43556.55</v>
      </c>
      <c r="L76" s="595">
        <f>VLOOKUP(A76,[4]CFR20152016_BenchMarkDataReport!$B$3:$BO$99,26,0)</f>
        <v>26050.12</v>
      </c>
      <c r="M76" s="595">
        <f>VLOOKUP(A76,[4]CFR20152016_BenchMarkDataReport!$B$3:$BO$99,27,0)</f>
        <v>5264.52</v>
      </c>
      <c r="N76" s="595">
        <f>VLOOKUP(A76,[4]CFR20152016_BenchMarkDataReport!$B$3:$BO$99,28,0)</f>
        <v>3417.32</v>
      </c>
      <c r="O76" s="595">
        <f>VLOOKUP(A76,[4]CFR20152016_BenchMarkDataReport!$B$3:$BO$99,29,0)</f>
        <v>40391.61</v>
      </c>
      <c r="P76" s="595">
        <f>VLOOKUP(A76,[4]CFR20152016_BenchMarkDataReport!$B$3:$BO$99,30,0)</f>
        <v>11070.1</v>
      </c>
      <c r="Q76" s="595">
        <f>VLOOKUP(A76,[4]CFR20152016_BenchMarkDataReport!$B$3:$BO$99,31,0)</f>
        <v>0</v>
      </c>
      <c r="R76" s="595">
        <f>VLOOKUP(A76,[4]CFR20152016_BenchMarkDataReport!$B$3:$BO$99,32,0)</f>
        <v>0</v>
      </c>
      <c r="S76" s="595">
        <f>VLOOKUP(A76,[4]CFR20152016_BenchMarkDataReport!$B$3:$BO$99,33,0)</f>
        <v>0</v>
      </c>
      <c r="T76" s="595">
        <f>VLOOKUP(A76,[4]CFR20152016_BenchMarkDataReport!$B$3:$BO$99,34,0)</f>
        <v>48242.76</v>
      </c>
      <c r="U76" s="595">
        <f>VLOOKUP(A76,[4]CFR20152016_BenchMarkDataReport!$B$3:$BO$99,35,0)</f>
        <v>547162.88</v>
      </c>
      <c r="V76" s="595">
        <f>VLOOKUP(A76,[4]CFR20152016_BenchMarkDataReport!$B$3:$BO$99,36,0)</f>
        <v>2836.26</v>
      </c>
      <c r="W76" s="595">
        <f>VLOOKUP(A76,[4]CFR20152016_BenchMarkDataReport!$B$3:$BO$99,37,0)</f>
        <v>182792.87</v>
      </c>
      <c r="X76" s="595">
        <f>VLOOKUP(A76,[4]CFR20152016_BenchMarkDataReport!$B$3:$BO$99,38,0)</f>
        <v>31533.95</v>
      </c>
      <c r="Y76" s="595">
        <f>VLOOKUP(A76,[4]CFR20152016_BenchMarkDataReport!$B$3:$BO$99,39,0)</f>
        <v>51008.33</v>
      </c>
      <c r="Z76" s="595">
        <f>VLOOKUP(A76,[4]CFR20152016_BenchMarkDataReport!$B$3:$BO$99,40,0)</f>
        <v>0</v>
      </c>
      <c r="AA76" s="595">
        <f>VLOOKUP(A76,[4]CFR20152016_BenchMarkDataReport!$B$3:$BO$99,41,0)</f>
        <v>18793.61</v>
      </c>
      <c r="AB76" s="595">
        <f>VLOOKUP(A76,[4]CFR20152016_BenchMarkDataReport!$B$3:$BO$99,42,0)</f>
        <v>4900.6899999999996</v>
      </c>
      <c r="AC76" s="595">
        <f>VLOOKUP(A76,[4]CFR20152016_BenchMarkDataReport!$B$3:$BO$99,43,0)</f>
        <v>5496.55</v>
      </c>
      <c r="AD76" s="595">
        <f>VLOOKUP(A76,[4]CFR20152016_BenchMarkDataReport!$B$3:$BO$99,44,0)</f>
        <v>709</v>
      </c>
      <c r="AE76" s="595">
        <f>VLOOKUP(A76,[4]CFR20152016_BenchMarkDataReport!$B$3:$BO$99,45,0)</f>
        <v>6673.52</v>
      </c>
      <c r="AF76" s="595">
        <f>VLOOKUP(A76,[4]CFR20152016_BenchMarkDataReport!$B$3:$BO$99,46,0)</f>
        <v>39806.699999999997</v>
      </c>
      <c r="AG76" s="595">
        <f>VLOOKUP(A76,[4]CFR20152016_BenchMarkDataReport!$B$3:$BO$99,47,0)</f>
        <v>7518.92</v>
      </c>
      <c r="AH76" s="595">
        <f>VLOOKUP(A76,[4]CFR20152016_BenchMarkDataReport!$B$3:$BO$99,48,0)</f>
        <v>11231.84</v>
      </c>
      <c r="AI76" s="595">
        <f>VLOOKUP(A76,[4]CFR20152016_BenchMarkDataReport!$B$3:$BO$99,49,0)</f>
        <v>2878.59</v>
      </c>
      <c r="AJ76" s="595">
        <f>VLOOKUP(A76,[4]CFR20152016_BenchMarkDataReport!$B$3:$BO$99,50,0)</f>
        <v>12299.87</v>
      </c>
      <c r="AK76" s="595">
        <f>VLOOKUP(A76,[4]CFR20152016_BenchMarkDataReport!$B$3:$BO$99,51,0)</f>
        <v>0</v>
      </c>
      <c r="AL76" s="595">
        <f>VLOOKUP(A76,[4]CFR20152016_BenchMarkDataReport!$B$3:$BO$99,52,0)</f>
        <v>5001</v>
      </c>
      <c r="AM76" s="595">
        <f>VLOOKUP(A76,[4]CFR20152016_BenchMarkDataReport!$B$3:$BO$99,53,0)</f>
        <v>76828.539999999994</v>
      </c>
      <c r="AN76" s="595">
        <f>VLOOKUP(A76,[4]CFR20152016_BenchMarkDataReport!$B$3:$BO$99,54,0)</f>
        <v>19752.55</v>
      </c>
      <c r="AO76" s="595">
        <f>VLOOKUP(A76,[4]CFR20152016_BenchMarkDataReport!$B$3:$BO$99,55,0)</f>
        <v>0</v>
      </c>
      <c r="AP76" s="595">
        <f>VLOOKUP(A76,[4]CFR20152016_BenchMarkDataReport!$B$3:$BO$99,56,0)</f>
        <v>12151.03</v>
      </c>
      <c r="AQ76" s="595">
        <f>VLOOKUP(A76,[4]CFR20152016_BenchMarkDataReport!$B$3:$BO$99,57,0)</f>
        <v>4724.78</v>
      </c>
      <c r="AR76" s="595">
        <f>VLOOKUP(A76,[4]CFR20152016_BenchMarkDataReport!$B$3:$BO$99,58,0)</f>
        <v>9235.56</v>
      </c>
      <c r="AS76" s="595">
        <f>VLOOKUP(A76,[4]CFR20152016_BenchMarkDataReport!$B$3:$BO$99,59,0)</f>
        <v>61276.800000000003</v>
      </c>
      <c r="AT76" s="595">
        <f>VLOOKUP(A76,[4]CFR20152016_BenchMarkDataReport!$B$3:$BO$99,60,0)</f>
        <v>16245</v>
      </c>
      <c r="AU76" s="595">
        <f>VLOOKUP(A76,[4]CFR20152016_BenchMarkDataReport!$B$3:$BO$99,61,0)</f>
        <v>25059.25</v>
      </c>
      <c r="AV76" s="595">
        <f>VLOOKUP(A76,[4]CFR20152016_BenchMarkDataReport!$B$3:$BO$99,62,0)</f>
        <v>28228.799999999999</v>
      </c>
      <c r="AW76" s="595">
        <f>VLOOKUP(A76,[4]CFR20152016_BenchMarkDataReport!$B$3:$BO$99,63,0)</f>
        <v>0</v>
      </c>
      <c r="AX76" s="595">
        <f>VLOOKUP(A76,[4]CFR20152016_BenchMarkDataReport!$B$3:$BO$99,64,0)</f>
        <v>5489.27</v>
      </c>
      <c r="AY76" s="595">
        <f>VLOOKUP(A76,[4]CFR20152016_BenchMarkDataReport!$B$3:$BO$99,65,0)</f>
        <v>0</v>
      </c>
      <c r="AZ76" s="595">
        <f>VLOOKUP(A76,[4]CFR20152016_BenchMarkDataReport!$B$3:$BO$99,66,0)</f>
        <v>0</v>
      </c>
      <c r="BA76" s="596">
        <f t="shared" si="134"/>
        <v>1174851.1600000004</v>
      </c>
      <c r="BB76" s="595">
        <f t="shared" si="139"/>
        <v>1189636.1600000001</v>
      </c>
      <c r="BC76" s="601">
        <f t="shared" si="100"/>
        <v>-14784.999999999767</v>
      </c>
      <c r="BD76" s="595">
        <f>VLOOKUP(A76,[4]CFR20152016_BenchMarkDataReport!$B$3:$BO$99,15,0)</f>
        <v>61296</v>
      </c>
      <c r="BE76" s="601">
        <f t="shared" si="101"/>
        <v>46511.000000000233</v>
      </c>
      <c r="BF76" s="76">
        <f>VLOOKUP(A76,'OCT 15 CENSUS'!$B$9:$U$132,20,0)</f>
        <v>208</v>
      </c>
      <c r="BG76" s="73">
        <f>VLOOKUP(A76,'[2]BUDGET SHARE inc ADJUSTMENTS'!$D$4:$M$139,10,0)</f>
        <v>999511.46612373961</v>
      </c>
      <c r="BH76" s="76">
        <f>VLOOKUP(A76,'12-13 Pupil Data'!A:CI,81,0)</f>
        <v>1113.2</v>
      </c>
      <c r="BI76" t="s">
        <v>210</v>
      </c>
      <c r="BJ76" s="44">
        <f t="shared" si="140"/>
        <v>0.73948771519279066</v>
      </c>
      <c r="BK76" s="45">
        <f t="shared" si="141"/>
        <v>4176.8653846153848</v>
      </c>
      <c r="BL76" s="44">
        <f t="shared" si="142"/>
        <v>0</v>
      </c>
      <c r="BM76" s="45">
        <f t="shared" si="143"/>
        <v>0</v>
      </c>
      <c r="BN76" s="44">
        <f t="shared" si="144"/>
        <v>5.0566405364914462E-2</v>
      </c>
      <c r="BO76" s="45">
        <f t="shared" si="145"/>
        <v>285.61538461538464</v>
      </c>
      <c r="BP76" s="44">
        <f t="shared" si="146"/>
        <v>0</v>
      </c>
      <c r="BQ76" s="45">
        <f t="shared" si="147"/>
        <v>0</v>
      </c>
      <c r="BR76" s="44">
        <f t="shared" si="148"/>
        <v>2.0581321977840999E-2</v>
      </c>
      <c r="BS76" s="45">
        <f t="shared" si="149"/>
        <v>116.24995192307694</v>
      </c>
      <c r="BT76" s="44">
        <f t="shared" si="150"/>
        <v>9.3628881466142455E-4</v>
      </c>
      <c r="BU76" s="45">
        <f t="shared" si="151"/>
        <v>5.2884615384615383</v>
      </c>
      <c r="BV76" s="44">
        <f t="shared" si="152"/>
        <v>3.6925690229560645E-2</v>
      </c>
      <c r="BW76" s="45">
        <f t="shared" si="153"/>
        <v>208.56822115384617</v>
      </c>
      <c r="BX76" s="44">
        <f t="shared" si="154"/>
        <v>3.7074100518400974E-2</v>
      </c>
      <c r="BY76" s="45">
        <f t="shared" si="155"/>
        <v>209.40649038461541</v>
      </c>
      <c r="BZ76" s="46">
        <f t="shared" si="156"/>
        <v>3.4380193317424132E-2</v>
      </c>
      <c r="CA76" s="47">
        <f t="shared" si="157"/>
        <v>194.1904326923077</v>
      </c>
      <c r="CB76" s="44">
        <f t="shared" si="158"/>
        <v>9.4225552792576699E-3</v>
      </c>
      <c r="CC76" s="48">
        <f t="shared" si="159"/>
        <v>53.221634615384616</v>
      </c>
      <c r="CD76" s="46">
        <f t="shared" si="135"/>
        <v>0.566520904653533</v>
      </c>
      <c r="CE76" s="49">
        <f t="shared" si="136"/>
        <v>0.48197095877234342</v>
      </c>
      <c r="CF76" s="49">
        <f t="shared" si="137"/>
        <v>0.47598094193774332</v>
      </c>
      <c r="CG76" s="47">
        <f t="shared" si="138"/>
        <v>2722.3275961538461</v>
      </c>
      <c r="CH76" s="44">
        <f t="shared" si="102"/>
        <v>0.18288221415698119</v>
      </c>
      <c r="CI76" s="50">
        <f t="shared" si="103"/>
        <v>0.15558810870987261</v>
      </c>
      <c r="CJ76" s="50">
        <f t="shared" si="104"/>
        <v>0.15365443330169115</v>
      </c>
      <c r="CK76" s="45">
        <f t="shared" si="105"/>
        <v>878.81187499999999</v>
      </c>
      <c r="CL76" s="46">
        <f t="shared" si="105"/>
        <v>3.1549362932566993E-2</v>
      </c>
      <c r="CM76" s="49">
        <f t="shared" si="160"/>
        <v>2.6840804242811482E-2</v>
      </c>
      <c r="CN76" s="49">
        <f t="shared" si="161"/>
        <v>2.6507222174551249E-2</v>
      </c>
      <c r="CO76" s="47">
        <f t="shared" si="162"/>
        <v>151.60552884615385</v>
      </c>
      <c r="CP76" s="44">
        <f t="shared" si="106"/>
        <v>5.1033261477047592E-2</v>
      </c>
      <c r="CQ76" s="50">
        <f t="shared" si="107"/>
        <v>4.3416844394144345E-2</v>
      </c>
      <c r="CR76" s="50">
        <f t="shared" si="163"/>
        <v>4.2877252487012497E-2</v>
      </c>
      <c r="CS76" s="45">
        <f t="shared" si="108"/>
        <v>245.23235576923076</v>
      </c>
      <c r="CT76" s="46">
        <f t="shared" si="109"/>
        <v>0.83453559891101314</v>
      </c>
      <c r="CU76" s="49">
        <f t="shared" si="110"/>
        <v>0.70998602069729377</v>
      </c>
      <c r="CV76" s="49">
        <f t="shared" si="111"/>
        <v>0.70116219399383406</v>
      </c>
      <c r="CW76" s="47">
        <f t="shared" si="112"/>
        <v>4010.2302884615378</v>
      </c>
      <c r="CX76" s="44">
        <f t="shared" si="113"/>
        <v>3.9826156426575623E-2</v>
      </c>
      <c r="CY76" s="50">
        <f t="shared" si="114"/>
        <v>3.3461239106921559E-2</v>
      </c>
      <c r="CZ76" s="48">
        <f t="shared" si="115"/>
        <v>35.758803449514907</v>
      </c>
      <c r="DA76" s="45">
        <f t="shared" si="116"/>
        <v>191.37836538461536</v>
      </c>
      <c r="DB76" s="51">
        <f t="shared" si="117"/>
        <v>2.4197230185067677E-3</v>
      </c>
      <c r="DC76" s="52">
        <f t="shared" si="118"/>
        <v>13.839375</v>
      </c>
      <c r="DD76" s="44">
        <f t="shared" si="118"/>
        <v>1.2305881840156175E-2</v>
      </c>
      <c r="DE76" s="50">
        <f t="shared" si="119"/>
        <v>1.0339186394603203E-2</v>
      </c>
      <c r="DF76" s="48">
        <f t="shared" si="120"/>
        <v>11.049110671936759</v>
      </c>
      <c r="DG76" s="45">
        <f t="shared" si="121"/>
        <v>59.133990384615387</v>
      </c>
      <c r="DH76" s="46">
        <f t="shared" si="122"/>
        <v>5.0034443520639666E-3</v>
      </c>
      <c r="DI76" s="49">
        <f t="shared" si="123"/>
        <v>4.203806313352142E-3</v>
      </c>
      <c r="DJ76" s="47">
        <f t="shared" si="124"/>
        <v>4.4924541861300753</v>
      </c>
      <c r="DK76" s="44">
        <f t="shared" si="125"/>
        <v>7.6866091689726163E-2</v>
      </c>
      <c r="DL76" s="50">
        <f t="shared" si="126"/>
        <v>6.5394275135243485E-2</v>
      </c>
      <c r="DM76" s="50">
        <f t="shared" si="127"/>
        <v>6.4581543990727366E-2</v>
      </c>
      <c r="DN76" s="45">
        <f t="shared" si="128"/>
        <v>369.36798076923071</v>
      </c>
      <c r="DO76" s="46">
        <f t="shared" si="129"/>
        <v>1.2156969091233719E-2</v>
      </c>
      <c r="DP76" s="49">
        <f t="shared" si="130"/>
        <v>1.0214072511044048E-2</v>
      </c>
      <c r="DQ76" s="47">
        <f t="shared" si="131"/>
        <v>58.418413461538464</v>
      </c>
      <c r="DR76" s="53">
        <f t="shared" si="132"/>
        <v>5.1508857968809552E-2</v>
      </c>
      <c r="DS76" s="45">
        <f t="shared" si="133"/>
        <v>294.60000000000002</v>
      </c>
      <c r="DT76" s="46">
        <f t="shared" si="164"/>
        <v>1.4006842817215664E-5</v>
      </c>
      <c r="DU76" s="49">
        <f t="shared" si="165"/>
        <v>1.1916403095690859E-5</v>
      </c>
      <c r="DV76" s="49">
        <f t="shared" si="166"/>
        <v>1.1768304016582682E-5</v>
      </c>
      <c r="DW76" s="47">
        <f t="shared" si="167"/>
        <v>6.7307692307692304E-2</v>
      </c>
      <c r="DY76" s="54">
        <f>VLOOKUP(A76,'[3]Barnet Schools'!$E$8:$V$130,17,0)</f>
        <v>14</v>
      </c>
    </row>
    <row r="77" spans="1:256">
      <c r="A77" s="79">
        <v>3507</v>
      </c>
      <c r="B77" s="80">
        <v>10108</v>
      </c>
      <c r="C77" s="573" t="s">
        <v>106</v>
      </c>
      <c r="D77" s="595">
        <f>VLOOKUP(A77,[4]CFR20152016_BenchMarkDataReport!$B$3:$BO$99,18,0)</f>
        <v>986368</v>
      </c>
      <c r="E77" s="595">
        <f>VLOOKUP(A77,[4]CFR20152016_BenchMarkDataReport!$B$3:$BO$99,19,0)</f>
        <v>0</v>
      </c>
      <c r="F77" s="595">
        <f>VLOOKUP(A77,[4]CFR20152016_BenchMarkDataReport!$B$3:$BO$99,20,0)</f>
        <v>0</v>
      </c>
      <c r="G77" s="595">
        <f>VLOOKUP(A77,[4]CFR20152016_BenchMarkDataReport!$B$3:$BO$99,21,0)</f>
        <v>0</v>
      </c>
      <c r="H77" s="595">
        <f>VLOOKUP(A77,[4]CFR20152016_BenchMarkDataReport!$B$3:$BO$99,22,0)</f>
        <v>34036</v>
      </c>
      <c r="I77" s="595">
        <f>VLOOKUP(A77,[4]CFR20152016_BenchMarkDataReport!$B$3:$BO$99,23,0)</f>
        <v>0</v>
      </c>
      <c r="J77" s="595">
        <f>VLOOKUP(A77,[4]CFR20152016_BenchMarkDataReport!$B$3:$BO$99,24,0)</f>
        <v>577</v>
      </c>
      <c r="K77" s="595">
        <f>VLOOKUP(A77,[4]CFR20152016_BenchMarkDataReport!$B$3:$BO$99,25,0)</f>
        <v>18829.759999999998</v>
      </c>
      <c r="L77" s="595">
        <f>VLOOKUP(A77,[4]CFR20152016_BenchMarkDataReport!$B$3:$BO$99,26,0)</f>
        <v>28662.76</v>
      </c>
      <c r="M77" s="595">
        <f>VLOOKUP(A77,[4]CFR20152016_BenchMarkDataReport!$B$3:$BO$99,27,0)</f>
        <v>0</v>
      </c>
      <c r="N77" s="595">
        <f>VLOOKUP(A77,[4]CFR20152016_BenchMarkDataReport!$B$3:$BO$99,28,0)</f>
        <v>0</v>
      </c>
      <c r="O77" s="595">
        <f>VLOOKUP(A77,[4]CFR20152016_BenchMarkDataReport!$B$3:$BO$99,29,0)</f>
        <v>29683.85</v>
      </c>
      <c r="P77" s="595">
        <f>VLOOKUP(A77,[4]CFR20152016_BenchMarkDataReport!$B$3:$BO$99,30,0)</f>
        <v>2083.23</v>
      </c>
      <c r="Q77" s="595">
        <f>VLOOKUP(A77,[4]CFR20152016_BenchMarkDataReport!$B$3:$BO$99,31,0)</f>
        <v>0</v>
      </c>
      <c r="R77" s="595">
        <f>VLOOKUP(A77,[4]CFR20152016_BenchMarkDataReport!$B$3:$BO$99,32,0)</f>
        <v>0</v>
      </c>
      <c r="S77" s="595">
        <f>VLOOKUP(A77,[4]CFR20152016_BenchMarkDataReport!$B$3:$BO$99,33,0)</f>
        <v>0</v>
      </c>
      <c r="T77" s="595">
        <f>VLOOKUP(A77,[4]CFR20152016_BenchMarkDataReport!$B$3:$BO$99,34,0)</f>
        <v>43462.080000000002</v>
      </c>
      <c r="U77" s="595">
        <f>VLOOKUP(A77,[4]CFR20152016_BenchMarkDataReport!$B$3:$BO$99,35,0)</f>
        <v>610534.16</v>
      </c>
      <c r="V77" s="595">
        <f>VLOOKUP(A77,[4]CFR20152016_BenchMarkDataReport!$B$3:$BO$99,36,0)</f>
        <v>0</v>
      </c>
      <c r="W77" s="595">
        <f>VLOOKUP(A77,[4]CFR20152016_BenchMarkDataReport!$B$3:$BO$99,37,0)</f>
        <v>128544.45</v>
      </c>
      <c r="X77" s="595">
        <f>VLOOKUP(A77,[4]CFR20152016_BenchMarkDataReport!$B$3:$BO$99,38,0)</f>
        <v>59282.02</v>
      </c>
      <c r="Y77" s="595">
        <f>VLOOKUP(A77,[4]CFR20152016_BenchMarkDataReport!$B$3:$BO$99,39,0)</f>
        <v>39207.18</v>
      </c>
      <c r="Z77" s="595">
        <f>VLOOKUP(A77,[4]CFR20152016_BenchMarkDataReport!$B$3:$BO$99,40,0)</f>
        <v>0</v>
      </c>
      <c r="AA77" s="595">
        <f>VLOOKUP(A77,[4]CFR20152016_BenchMarkDataReport!$B$3:$BO$99,41,0)</f>
        <v>34065.769999999997</v>
      </c>
      <c r="AB77" s="595">
        <f>VLOOKUP(A77,[4]CFR20152016_BenchMarkDataReport!$B$3:$BO$99,42,0)</f>
        <v>12301.93</v>
      </c>
      <c r="AC77" s="595">
        <f>VLOOKUP(A77,[4]CFR20152016_BenchMarkDataReport!$B$3:$BO$99,43,0)</f>
        <v>9630.51</v>
      </c>
      <c r="AD77" s="595">
        <f>VLOOKUP(A77,[4]CFR20152016_BenchMarkDataReport!$B$3:$BO$99,44,0)</f>
        <v>8953.43</v>
      </c>
      <c r="AE77" s="595">
        <f>VLOOKUP(A77,[4]CFR20152016_BenchMarkDataReport!$B$3:$BO$99,45,0)</f>
        <v>1003.8</v>
      </c>
      <c r="AF77" s="595">
        <f>VLOOKUP(A77,[4]CFR20152016_BenchMarkDataReport!$B$3:$BO$99,46,0)</f>
        <v>15798.9</v>
      </c>
      <c r="AG77" s="595">
        <f>VLOOKUP(A77,[4]CFR20152016_BenchMarkDataReport!$B$3:$BO$99,47,0)</f>
        <v>4901.8500000000004</v>
      </c>
      <c r="AH77" s="595">
        <f>VLOOKUP(A77,[4]CFR20152016_BenchMarkDataReport!$B$3:$BO$99,48,0)</f>
        <v>103.92</v>
      </c>
      <c r="AI77" s="595">
        <f>VLOOKUP(A77,[4]CFR20152016_BenchMarkDataReport!$B$3:$BO$99,49,0)</f>
        <v>2459.7199999999998</v>
      </c>
      <c r="AJ77" s="595">
        <f>VLOOKUP(A77,[4]CFR20152016_BenchMarkDataReport!$B$3:$BO$99,50,0)</f>
        <v>11423.8</v>
      </c>
      <c r="AK77" s="595">
        <f>VLOOKUP(A77,[4]CFR20152016_BenchMarkDataReport!$B$3:$BO$99,51,0)</f>
        <v>0</v>
      </c>
      <c r="AL77" s="595">
        <f>VLOOKUP(A77,[4]CFR20152016_BenchMarkDataReport!$B$3:$BO$99,52,0)</f>
        <v>5064.95</v>
      </c>
      <c r="AM77" s="595">
        <f>VLOOKUP(A77,[4]CFR20152016_BenchMarkDataReport!$B$3:$BO$99,53,0)</f>
        <v>61743.89</v>
      </c>
      <c r="AN77" s="595">
        <f>VLOOKUP(A77,[4]CFR20152016_BenchMarkDataReport!$B$3:$BO$99,54,0)</f>
        <v>14039.55</v>
      </c>
      <c r="AO77" s="595">
        <f>VLOOKUP(A77,[4]CFR20152016_BenchMarkDataReport!$B$3:$BO$99,55,0)</f>
        <v>0</v>
      </c>
      <c r="AP77" s="595">
        <f>VLOOKUP(A77,[4]CFR20152016_BenchMarkDataReport!$B$3:$BO$99,56,0)</f>
        <v>11328.72</v>
      </c>
      <c r="AQ77" s="595">
        <f>VLOOKUP(A77,[4]CFR20152016_BenchMarkDataReport!$B$3:$BO$99,57,0)</f>
        <v>6276.22</v>
      </c>
      <c r="AR77" s="595">
        <f>VLOOKUP(A77,[4]CFR20152016_BenchMarkDataReport!$B$3:$BO$99,58,0)</f>
        <v>8318.82</v>
      </c>
      <c r="AS77" s="595">
        <f>VLOOKUP(A77,[4]CFR20152016_BenchMarkDataReport!$B$3:$BO$99,59,0)</f>
        <v>65280.4</v>
      </c>
      <c r="AT77" s="595">
        <f>VLOOKUP(A77,[4]CFR20152016_BenchMarkDataReport!$B$3:$BO$99,60,0)</f>
        <v>10833.45</v>
      </c>
      <c r="AU77" s="595">
        <f>VLOOKUP(A77,[4]CFR20152016_BenchMarkDataReport!$B$3:$BO$99,61,0)</f>
        <v>50190.79</v>
      </c>
      <c r="AV77" s="595">
        <f>VLOOKUP(A77,[4]CFR20152016_BenchMarkDataReport!$B$3:$BO$99,62,0)</f>
        <v>30899.05</v>
      </c>
      <c r="AW77" s="595">
        <f>VLOOKUP(A77,[4]CFR20152016_BenchMarkDataReport!$B$3:$BO$99,63,0)</f>
        <v>0</v>
      </c>
      <c r="AX77" s="595">
        <f>VLOOKUP(A77,[4]CFR20152016_BenchMarkDataReport!$B$3:$BO$99,64,0)</f>
        <v>15850.4</v>
      </c>
      <c r="AY77" s="595">
        <f>VLOOKUP(A77,[4]CFR20152016_BenchMarkDataReport!$B$3:$BO$99,65,0)</f>
        <v>0</v>
      </c>
      <c r="AZ77" s="595">
        <f>VLOOKUP(A77,[4]CFR20152016_BenchMarkDataReport!$B$3:$BO$99,66,0)</f>
        <v>0</v>
      </c>
      <c r="BA77" s="596">
        <f t="shared" si="134"/>
        <v>1143702.6800000002</v>
      </c>
      <c r="BB77" s="595">
        <f t="shared" si="139"/>
        <v>1218037.6800000002</v>
      </c>
      <c r="BC77" s="601">
        <f t="shared" si="100"/>
        <v>-74335</v>
      </c>
      <c r="BD77" s="595">
        <f>VLOOKUP(A77,[4]CFR20152016_BenchMarkDataReport!$B$3:$BO$99,15,0)</f>
        <v>93665</v>
      </c>
      <c r="BE77" s="601">
        <f t="shared" si="101"/>
        <v>19330</v>
      </c>
      <c r="BF77" s="76">
        <f>VLOOKUP(A77,'OCT 15 CENSUS'!$B$9:$U$132,20,0)</f>
        <v>241</v>
      </c>
      <c r="BG77" s="73">
        <f>VLOOKUP(A77,'[2]BUDGET SHARE inc ADJUSTMENTS'!$D$4:$M$139,10,0)</f>
        <v>1065702.4587266773</v>
      </c>
      <c r="BH77" s="76">
        <f>VLOOKUP(A77,'12-13 Pupil Data'!A:CI,81,0)</f>
        <v>1287</v>
      </c>
      <c r="BI77" t="s">
        <v>210</v>
      </c>
      <c r="BJ77" s="44">
        <f t="shared" si="140"/>
        <v>0.86243393256715972</v>
      </c>
      <c r="BK77" s="45">
        <f t="shared" si="141"/>
        <v>4092.8132780082988</v>
      </c>
      <c r="BL77" s="44">
        <f t="shared" si="142"/>
        <v>0</v>
      </c>
      <c r="BM77" s="45">
        <f t="shared" si="143"/>
        <v>0</v>
      </c>
      <c r="BN77" s="44">
        <f t="shared" si="144"/>
        <v>0</v>
      </c>
      <c r="BO77" s="45">
        <f t="shared" si="145"/>
        <v>0</v>
      </c>
      <c r="BP77" s="44">
        <f t="shared" si="146"/>
        <v>0</v>
      </c>
      <c r="BQ77" s="45">
        <f t="shared" si="147"/>
        <v>0</v>
      </c>
      <c r="BR77" s="44">
        <f t="shared" si="148"/>
        <v>2.9759482595599053E-2</v>
      </c>
      <c r="BS77" s="45">
        <f t="shared" si="149"/>
        <v>141.22821576763485</v>
      </c>
      <c r="BT77" s="44">
        <f t="shared" si="150"/>
        <v>0</v>
      </c>
      <c r="BU77" s="45">
        <f t="shared" si="151"/>
        <v>0</v>
      </c>
      <c r="BV77" s="44">
        <f t="shared" si="152"/>
        <v>5.0450174690506099E-4</v>
      </c>
      <c r="BW77" s="45">
        <f t="shared" si="153"/>
        <v>2.3941908713692945</v>
      </c>
      <c r="BX77" s="44">
        <f t="shared" si="154"/>
        <v>1.6463859296019134E-2</v>
      </c>
      <c r="BY77" s="45">
        <f t="shared" si="155"/>
        <v>78.131784232365135</v>
      </c>
      <c r="BZ77" s="46">
        <f t="shared" si="156"/>
        <v>2.5954166689545567E-2</v>
      </c>
      <c r="CA77" s="47">
        <f t="shared" si="157"/>
        <v>123.16950207468879</v>
      </c>
      <c r="CB77" s="44">
        <f t="shared" si="158"/>
        <v>1.8214786381369674E-3</v>
      </c>
      <c r="CC77" s="48">
        <f t="shared" si="159"/>
        <v>8.6441078838174281</v>
      </c>
      <c r="CD77" s="46">
        <f t="shared" si="135"/>
        <v>0.58305918777969457</v>
      </c>
      <c r="CE77" s="49">
        <f t="shared" si="136"/>
        <v>0.54329470487906861</v>
      </c>
      <c r="CF77" s="49">
        <f t="shared" si="137"/>
        <v>0.51013824958190124</v>
      </c>
      <c r="CG77" s="47">
        <f t="shared" si="138"/>
        <v>2578.2888381742737</v>
      </c>
      <c r="CH77" s="44">
        <f t="shared" si="102"/>
        <v>0.1206194552216643</v>
      </c>
      <c r="CI77" s="50">
        <f t="shared" si="103"/>
        <v>0.11239324017322402</v>
      </c>
      <c r="CJ77" s="50">
        <f t="shared" si="104"/>
        <v>0.10553405047370946</v>
      </c>
      <c r="CK77" s="45">
        <f t="shared" si="105"/>
        <v>533.37946058091291</v>
      </c>
      <c r="CL77" s="46">
        <f t="shared" si="105"/>
        <v>5.5627177655976641E-2</v>
      </c>
      <c r="CM77" s="49">
        <f t="shared" si="160"/>
        <v>5.1833418804264751E-2</v>
      </c>
      <c r="CN77" s="49">
        <f t="shared" si="161"/>
        <v>4.8670103538997242E-2</v>
      </c>
      <c r="CO77" s="47">
        <f t="shared" si="162"/>
        <v>245.98348547717842</v>
      </c>
      <c r="CP77" s="44">
        <f t="shared" si="106"/>
        <v>3.6789987373066144E-2</v>
      </c>
      <c r="CQ77" s="50">
        <f t="shared" si="107"/>
        <v>3.4280919932792316E-2</v>
      </c>
      <c r="CR77" s="50">
        <f t="shared" si="163"/>
        <v>3.2188807163995123E-2</v>
      </c>
      <c r="CS77" s="45">
        <f t="shared" si="108"/>
        <v>162.68539419087136</v>
      </c>
      <c r="CT77" s="46">
        <f t="shared" si="109"/>
        <v>0.81789581403560363</v>
      </c>
      <c r="CU77" s="49">
        <f t="shared" si="110"/>
        <v>0.76211553513191033</v>
      </c>
      <c r="CV77" s="49">
        <f t="shared" si="111"/>
        <v>0.71560477505096554</v>
      </c>
      <c r="CW77" s="47">
        <f t="shared" si="112"/>
        <v>3616.7368464730293</v>
      </c>
      <c r="CX77" s="44">
        <f t="shared" si="113"/>
        <v>1.4824869615930925E-2</v>
      </c>
      <c r="CY77" s="50">
        <f t="shared" si="114"/>
        <v>1.2970781002439922E-2</v>
      </c>
      <c r="CZ77" s="48">
        <f t="shared" si="115"/>
        <v>12.275757575757575</v>
      </c>
      <c r="DA77" s="45">
        <f t="shared" si="116"/>
        <v>65.555601659751034</v>
      </c>
      <c r="DB77" s="51">
        <f t="shared" si="117"/>
        <v>2.0194120759876653E-3</v>
      </c>
      <c r="DC77" s="52">
        <f t="shared" si="118"/>
        <v>10.206307053941908</v>
      </c>
      <c r="DD77" s="44">
        <f t="shared" si="118"/>
        <v>1.0719502339939596E-2</v>
      </c>
      <c r="DE77" s="50">
        <f t="shared" si="119"/>
        <v>9.3788559972955831E-3</v>
      </c>
      <c r="DF77" s="48">
        <f t="shared" si="120"/>
        <v>8.8763014763014763</v>
      </c>
      <c r="DG77" s="45">
        <f t="shared" si="121"/>
        <v>47.401659751037343</v>
      </c>
      <c r="DH77" s="46">
        <f t="shared" si="122"/>
        <v>4.752686792194984E-3</v>
      </c>
      <c r="DI77" s="49">
        <f t="shared" si="123"/>
        <v>4.1582867945431697E-3</v>
      </c>
      <c r="DJ77" s="47">
        <f t="shared" si="124"/>
        <v>3.9354700854700853</v>
      </c>
      <c r="DK77" s="44">
        <f t="shared" si="125"/>
        <v>5.7937268976345269E-2</v>
      </c>
      <c r="DL77" s="50">
        <f t="shared" si="126"/>
        <v>5.3985962505570056E-2</v>
      </c>
      <c r="DM77" s="50">
        <f t="shared" si="127"/>
        <v>5.069128074921294E-2</v>
      </c>
      <c r="DN77" s="45">
        <f t="shared" si="128"/>
        <v>256.19871369294606</v>
      </c>
      <c r="DO77" s="46">
        <f t="shared" si="129"/>
        <v>1.0630284191645557E-2</v>
      </c>
      <c r="DP77" s="49">
        <f t="shared" si="130"/>
        <v>9.3007960147833829E-3</v>
      </c>
      <c r="DQ77" s="47">
        <f t="shared" si="131"/>
        <v>47.007136929460579</v>
      </c>
      <c r="DR77" s="53">
        <f t="shared" si="132"/>
        <v>5.3594729516085245E-2</v>
      </c>
      <c r="DS77" s="45">
        <f t="shared" si="133"/>
        <v>270.87302904564314</v>
      </c>
      <c r="DT77" s="46">
        <f t="shared" si="164"/>
        <v>2.3458705378113231E-5</v>
      </c>
      <c r="DU77" s="49">
        <f t="shared" si="165"/>
        <v>2.1858827855505241E-5</v>
      </c>
      <c r="DV77" s="49">
        <f t="shared" si="166"/>
        <v>2.0524816605016682E-5</v>
      </c>
      <c r="DW77" s="47">
        <f t="shared" si="167"/>
        <v>0.1037344398340249</v>
      </c>
      <c r="DY77" s="54">
        <f>VLOOKUP(A77,'[3]Barnet Schools'!$E$8:$V$130,17,0)</f>
        <v>25</v>
      </c>
    </row>
    <row r="78" spans="1:256">
      <c r="A78" s="79">
        <v>3506</v>
      </c>
      <c r="B78" s="80">
        <v>10096</v>
      </c>
      <c r="C78" s="573" t="s">
        <v>107</v>
      </c>
      <c r="D78" s="595">
        <f>VLOOKUP(A78,[4]CFR20152016_BenchMarkDataReport!$B$3:$BO$99,18,0)</f>
        <v>1300931</v>
      </c>
      <c r="E78" s="595">
        <f>VLOOKUP(A78,[4]CFR20152016_BenchMarkDataReport!$B$3:$BO$99,19,0)</f>
        <v>0</v>
      </c>
      <c r="F78" s="595">
        <f>VLOOKUP(A78,[4]CFR20152016_BenchMarkDataReport!$B$3:$BO$99,20,0)</f>
        <v>54087</v>
      </c>
      <c r="G78" s="595">
        <f>VLOOKUP(A78,[4]CFR20152016_BenchMarkDataReport!$B$3:$BO$99,21,0)</f>
        <v>0</v>
      </c>
      <c r="H78" s="595">
        <f>VLOOKUP(A78,[4]CFR20152016_BenchMarkDataReport!$B$3:$BO$99,22,0)</f>
        <v>67899.95</v>
      </c>
      <c r="I78" s="595">
        <f>VLOOKUP(A78,[4]CFR20152016_BenchMarkDataReport!$B$3:$BO$99,23,0)</f>
        <v>1000</v>
      </c>
      <c r="J78" s="595">
        <f>VLOOKUP(A78,[4]CFR20152016_BenchMarkDataReport!$B$3:$BO$99,24,0)</f>
        <v>1438</v>
      </c>
      <c r="K78" s="595">
        <f>VLOOKUP(A78,[4]CFR20152016_BenchMarkDataReport!$B$3:$BO$99,25,0)</f>
        <v>15066.77</v>
      </c>
      <c r="L78" s="595">
        <f>VLOOKUP(A78,[4]CFR20152016_BenchMarkDataReport!$B$3:$BO$99,26,0)</f>
        <v>21796.81</v>
      </c>
      <c r="M78" s="595">
        <f>VLOOKUP(A78,[4]CFR20152016_BenchMarkDataReport!$B$3:$BO$99,27,0)</f>
        <v>1872</v>
      </c>
      <c r="N78" s="595">
        <f>VLOOKUP(A78,[4]CFR20152016_BenchMarkDataReport!$B$3:$BO$99,28,0)</f>
        <v>0</v>
      </c>
      <c r="O78" s="595">
        <f>VLOOKUP(A78,[4]CFR20152016_BenchMarkDataReport!$B$3:$BO$99,29,0)</f>
        <v>48416.6</v>
      </c>
      <c r="P78" s="595">
        <f>VLOOKUP(A78,[4]CFR20152016_BenchMarkDataReport!$B$3:$BO$99,30,0)</f>
        <v>4281.8100000000004</v>
      </c>
      <c r="Q78" s="595">
        <f>VLOOKUP(A78,[4]CFR20152016_BenchMarkDataReport!$B$3:$BO$99,31,0)</f>
        <v>0</v>
      </c>
      <c r="R78" s="595">
        <f>VLOOKUP(A78,[4]CFR20152016_BenchMarkDataReport!$B$3:$BO$99,32,0)</f>
        <v>0</v>
      </c>
      <c r="S78" s="595">
        <f>VLOOKUP(A78,[4]CFR20152016_BenchMarkDataReport!$B$3:$BO$99,33,0)</f>
        <v>0</v>
      </c>
      <c r="T78" s="595">
        <f>VLOOKUP(A78,[4]CFR20152016_BenchMarkDataReport!$B$3:$BO$99,34,0)</f>
        <v>64408.41</v>
      </c>
      <c r="U78" s="595">
        <f>VLOOKUP(A78,[4]CFR20152016_BenchMarkDataReport!$B$3:$BO$99,35,0)</f>
        <v>648709.02</v>
      </c>
      <c r="V78" s="595">
        <f>VLOOKUP(A78,[4]CFR20152016_BenchMarkDataReport!$B$3:$BO$99,36,0)</f>
        <v>21014.6</v>
      </c>
      <c r="W78" s="595">
        <f>VLOOKUP(A78,[4]CFR20152016_BenchMarkDataReport!$B$3:$BO$99,37,0)</f>
        <v>304747.09999999998</v>
      </c>
      <c r="X78" s="595">
        <f>VLOOKUP(A78,[4]CFR20152016_BenchMarkDataReport!$B$3:$BO$99,38,0)</f>
        <v>48275.28</v>
      </c>
      <c r="Y78" s="595">
        <f>VLOOKUP(A78,[4]CFR20152016_BenchMarkDataReport!$B$3:$BO$99,39,0)</f>
        <v>63726.89</v>
      </c>
      <c r="Z78" s="595">
        <f>VLOOKUP(A78,[4]CFR20152016_BenchMarkDataReport!$B$3:$BO$99,40,0)</f>
        <v>0</v>
      </c>
      <c r="AA78" s="595">
        <f>VLOOKUP(A78,[4]CFR20152016_BenchMarkDataReport!$B$3:$BO$99,41,0)</f>
        <v>0</v>
      </c>
      <c r="AB78" s="595">
        <f>VLOOKUP(A78,[4]CFR20152016_BenchMarkDataReport!$B$3:$BO$99,42,0)</f>
        <v>1964.66</v>
      </c>
      <c r="AC78" s="595">
        <f>VLOOKUP(A78,[4]CFR20152016_BenchMarkDataReport!$B$3:$BO$99,43,0)</f>
        <v>15233.07</v>
      </c>
      <c r="AD78" s="595">
        <f>VLOOKUP(A78,[4]CFR20152016_BenchMarkDataReport!$B$3:$BO$99,44,0)</f>
        <v>8344.86</v>
      </c>
      <c r="AE78" s="595">
        <f>VLOOKUP(A78,[4]CFR20152016_BenchMarkDataReport!$B$3:$BO$99,45,0)</f>
        <v>1360.8</v>
      </c>
      <c r="AF78" s="595">
        <f>VLOOKUP(A78,[4]CFR20152016_BenchMarkDataReport!$B$3:$BO$99,46,0)</f>
        <v>48335.51</v>
      </c>
      <c r="AG78" s="595">
        <f>VLOOKUP(A78,[4]CFR20152016_BenchMarkDataReport!$B$3:$BO$99,47,0)</f>
        <v>10715.02</v>
      </c>
      <c r="AH78" s="595">
        <f>VLOOKUP(A78,[4]CFR20152016_BenchMarkDataReport!$B$3:$BO$99,48,0)</f>
        <v>3771.96</v>
      </c>
      <c r="AI78" s="595">
        <f>VLOOKUP(A78,[4]CFR20152016_BenchMarkDataReport!$B$3:$BO$99,49,0)</f>
        <v>2884.11</v>
      </c>
      <c r="AJ78" s="595">
        <f>VLOOKUP(A78,[4]CFR20152016_BenchMarkDataReport!$B$3:$BO$99,50,0)</f>
        <v>28879.89</v>
      </c>
      <c r="AK78" s="595">
        <f>VLOOKUP(A78,[4]CFR20152016_BenchMarkDataReport!$B$3:$BO$99,51,0)</f>
        <v>0</v>
      </c>
      <c r="AL78" s="595">
        <f>VLOOKUP(A78,[4]CFR20152016_BenchMarkDataReport!$B$3:$BO$99,52,0)</f>
        <v>11783.97</v>
      </c>
      <c r="AM78" s="595">
        <f>VLOOKUP(A78,[4]CFR20152016_BenchMarkDataReport!$B$3:$BO$99,53,0)</f>
        <v>74669.09</v>
      </c>
      <c r="AN78" s="595">
        <f>VLOOKUP(A78,[4]CFR20152016_BenchMarkDataReport!$B$3:$BO$99,54,0)</f>
        <v>14137.69</v>
      </c>
      <c r="AO78" s="595">
        <f>VLOOKUP(A78,[4]CFR20152016_BenchMarkDataReport!$B$3:$BO$99,55,0)</f>
        <v>0</v>
      </c>
      <c r="AP78" s="595">
        <f>VLOOKUP(A78,[4]CFR20152016_BenchMarkDataReport!$B$3:$BO$99,56,0)</f>
        <v>12330.26</v>
      </c>
      <c r="AQ78" s="595">
        <f>VLOOKUP(A78,[4]CFR20152016_BenchMarkDataReport!$B$3:$BO$99,57,0)</f>
        <v>8497.5300000000007</v>
      </c>
      <c r="AR78" s="595">
        <f>VLOOKUP(A78,[4]CFR20152016_BenchMarkDataReport!$B$3:$BO$99,58,0)</f>
        <v>1240</v>
      </c>
      <c r="AS78" s="595">
        <f>VLOOKUP(A78,[4]CFR20152016_BenchMarkDataReport!$B$3:$BO$99,59,0)</f>
        <v>70265.399999999994</v>
      </c>
      <c r="AT78" s="595">
        <f>VLOOKUP(A78,[4]CFR20152016_BenchMarkDataReport!$B$3:$BO$99,60,0)</f>
        <v>49287</v>
      </c>
      <c r="AU78" s="595">
        <f>VLOOKUP(A78,[4]CFR20152016_BenchMarkDataReport!$B$3:$BO$99,61,0)</f>
        <v>89275.73</v>
      </c>
      <c r="AV78" s="595">
        <f>VLOOKUP(A78,[4]CFR20152016_BenchMarkDataReport!$B$3:$BO$99,62,0)</f>
        <v>37370.910000000003</v>
      </c>
      <c r="AW78" s="595">
        <f>VLOOKUP(A78,[4]CFR20152016_BenchMarkDataReport!$B$3:$BO$99,63,0)</f>
        <v>0</v>
      </c>
      <c r="AX78" s="595">
        <f>VLOOKUP(A78,[4]CFR20152016_BenchMarkDataReport!$B$3:$BO$99,64,0)</f>
        <v>19293</v>
      </c>
      <c r="AY78" s="595">
        <f>VLOOKUP(A78,[4]CFR20152016_BenchMarkDataReport!$B$3:$BO$99,65,0)</f>
        <v>0</v>
      </c>
      <c r="AZ78" s="595">
        <f>VLOOKUP(A78,[4]CFR20152016_BenchMarkDataReport!$B$3:$BO$99,66,0)</f>
        <v>0</v>
      </c>
      <c r="BA78" s="596">
        <f t="shared" si="134"/>
        <v>1581198.35</v>
      </c>
      <c r="BB78" s="595">
        <f t="shared" si="139"/>
        <v>1596113.3499999999</v>
      </c>
      <c r="BC78" s="601">
        <f t="shared" si="100"/>
        <v>-14914.999999999767</v>
      </c>
      <c r="BD78" s="595">
        <f>VLOOKUP(A78,[4]CFR20152016_BenchMarkDataReport!$B$3:$BO$99,15,0)</f>
        <v>147632</v>
      </c>
      <c r="BE78" s="601">
        <f t="shared" si="101"/>
        <v>132717.00000000023</v>
      </c>
      <c r="BF78" s="76">
        <f>VLOOKUP(A78,'OCT 15 CENSUS'!$B$9:$U$132,20,0)</f>
        <v>330</v>
      </c>
      <c r="BG78" s="73">
        <f>VLOOKUP(A78,'[2]BUDGET SHARE inc ADJUSTMENTS'!$D$4:$M$139,10,0)</f>
        <v>1485341.6830766804</v>
      </c>
      <c r="BH78" s="76">
        <f>VLOOKUP(A78,'12-13 Pupil Data'!A:CI,81,0)</f>
        <v>1631</v>
      </c>
      <c r="BI78" t="s">
        <v>210</v>
      </c>
      <c r="BJ78" s="44">
        <f t="shared" si="140"/>
        <v>0.82275003638854027</v>
      </c>
      <c r="BK78" s="45">
        <f t="shared" si="141"/>
        <v>3942.2151515151513</v>
      </c>
      <c r="BL78" s="44">
        <f t="shared" si="142"/>
        <v>0</v>
      </c>
      <c r="BM78" s="45">
        <f t="shared" si="143"/>
        <v>0</v>
      </c>
      <c r="BN78" s="44">
        <f t="shared" si="144"/>
        <v>3.4206334708102873E-2</v>
      </c>
      <c r="BO78" s="45">
        <f t="shared" si="145"/>
        <v>163.9</v>
      </c>
      <c r="BP78" s="44">
        <f t="shared" si="146"/>
        <v>0</v>
      </c>
      <c r="BQ78" s="45">
        <f t="shared" si="147"/>
        <v>0</v>
      </c>
      <c r="BR78" s="44">
        <f t="shared" si="148"/>
        <v>4.2942082503437971E-2</v>
      </c>
      <c r="BS78" s="45">
        <f t="shared" si="149"/>
        <v>205.75742424242424</v>
      </c>
      <c r="BT78" s="44">
        <f t="shared" si="150"/>
        <v>6.3243172496353791E-4</v>
      </c>
      <c r="BU78" s="45">
        <f t="shared" si="151"/>
        <v>3.0303030303030303</v>
      </c>
      <c r="BV78" s="44">
        <f t="shared" si="152"/>
        <v>9.0943682049756747E-4</v>
      </c>
      <c r="BW78" s="45">
        <f t="shared" si="153"/>
        <v>4.3575757575757574</v>
      </c>
      <c r="BX78" s="44">
        <f t="shared" si="154"/>
        <v>9.5287033407288838E-3</v>
      </c>
      <c r="BY78" s="45">
        <f t="shared" si="155"/>
        <v>45.656878787878789</v>
      </c>
      <c r="BZ78" s="46">
        <f t="shared" si="156"/>
        <v>3.0620193854869627E-2</v>
      </c>
      <c r="CA78" s="47">
        <f t="shared" si="157"/>
        <v>146.7169696969697</v>
      </c>
      <c r="CB78" s="44">
        <f t="shared" si="158"/>
        <v>2.7079524842661263E-3</v>
      </c>
      <c r="CC78" s="48">
        <f t="shared" si="159"/>
        <v>12.97518181818182</v>
      </c>
      <c r="CD78" s="46">
        <f t="shared" si="135"/>
        <v>0.48407085601386252</v>
      </c>
      <c r="CE78" s="49">
        <f t="shared" si="136"/>
        <v>0.45472512667370285</v>
      </c>
      <c r="CF78" s="49">
        <f t="shared" si="137"/>
        <v>0.45047591388168018</v>
      </c>
      <c r="CG78" s="47">
        <f t="shared" si="138"/>
        <v>2178.8200606060605</v>
      </c>
      <c r="CH78" s="44">
        <f t="shared" si="102"/>
        <v>0.20516969494100401</v>
      </c>
      <c r="CI78" s="50">
        <f t="shared" si="103"/>
        <v>0.19273173413063577</v>
      </c>
      <c r="CJ78" s="50">
        <f t="shared" si="104"/>
        <v>0.19093073809576244</v>
      </c>
      <c r="CK78" s="45">
        <f t="shared" si="105"/>
        <v>923.47606060606051</v>
      </c>
      <c r="CL78" s="46">
        <f t="shared" si="105"/>
        <v>3.2501127888637994E-2</v>
      </c>
      <c r="CM78" s="49">
        <f t="shared" si="160"/>
        <v>3.0530818603497781E-2</v>
      </c>
      <c r="CN78" s="49">
        <f t="shared" si="161"/>
        <v>3.0245521096606331E-2</v>
      </c>
      <c r="CO78" s="47">
        <f t="shared" si="162"/>
        <v>146.28872727272727</v>
      </c>
      <c r="CP78" s="44">
        <f t="shared" si="106"/>
        <v>4.2903858907398694E-2</v>
      </c>
      <c r="CQ78" s="50">
        <f t="shared" si="107"/>
        <v>4.0302906969261636E-2</v>
      </c>
      <c r="CR78" s="50">
        <f t="shared" si="163"/>
        <v>3.9926293455286248E-2</v>
      </c>
      <c r="CS78" s="45">
        <f t="shared" si="108"/>
        <v>193.11178787878788</v>
      </c>
      <c r="CT78" s="46">
        <f t="shared" si="109"/>
        <v>0.73146327365533914</v>
      </c>
      <c r="CU78" s="49">
        <f t="shared" si="110"/>
        <v>0.68711992394882015</v>
      </c>
      <c r="CV78" s="49">
        <f t="shared" si="111"/>
        <v>0.68069908067619378</v>
      </c>
      <c r="CW78" s="47">
        <f t="shared" si="112"/>
        <v>3292.3420909090905</v>
      </c>
      <c r="CX78" s="44">
        <f t="shared" si="113"/>
        <v>3.2541677481156835E-2</v>
      </c>
      <c r="CY78" s="50">
        <f t="shared" si="114"/>
        <v>3.0283256511826059E-2</v>
      </c>
      <c r="CZ78" s="48">
        <f t="shared" si="115"/>
        <v>29.635505824647456</v>
      </c>
      <c r="DA78" s="45">
        <f t="shared" si="116"/>
        <v>146.47124242424243</v>
      </c>
      <c r="DB78" s="51">
        <f t="shared" si="117"/>
        <v>1.8069581336438295E-3</v>
      </c>
      <c r="DC78" s="52">
        <f t="shared" si="118"/>
        <v>8.7397272727272739</v>
      </c>
      <c r="DD78" s="44">
        <f t="shared" si="118"/>
        <v>1.9443263680703614E-2</v>
      </c>
      <c r="DE78" s="50">
        <f t="shared" si="119"/>
        <v>1.8093884121701008E-2</v>
      </c>
      <c r="DF78" s="48">
        <f t="shared" si="120"/>
        <v>17.706860821581852</v>
      </c>
      <c r="DG78" s="45">
        <f t="shared" si="121"/>
        <v>87.514818181818185</v>
      </c>
      <c r="DH78" s="46">
        <f t="shared" si="122"/>
        <v>7.9335079155599605E-3</v>
      </c>
      <c r="DI78" s="49">
        <f t="shared" si="123"/>
        <v>7.3829155053430264E-3</v>
      </c>
      <c r="DJ78" s="47">
        <f t="shared" si="124"/>
        <v>7.224996934396076</v>
      </c>
      <c r="DK78" s="44">
        <f t="shared" si="125"/>
        <v>5.0270648734056449E-2</v>
      </c>
      <c r="DL78" s="50">
        <f t="shared" si="126"/>
        <v>4.7223101390157653E-2</v>
      </c>
      <c r="DM78" s="50">
        <f t="shared" si="127"/>
        <v>4.6781821604336561E-2</v>
      </c>
      <c r="DN78" s="45">
        <f t="shared" si="128"/>
        <v>226.2699696969697</v>
      </c>
      <c r="DO78" s="46">
        <f t="shared" si="129"/>
        <v>8.301295345364286E-3</v>
      </c>
      <c r="DP78" s="49">
        <f t="shared" si="130"/>
        <v>7.7251781648214404E-3</v>
      </c>
      <c r="DQ78" s="47">
        <f t="shared" si="131"/>
        <v>37.364424242424242</v>
      </c>
      <c r="DR78" s="53">
        <f t="shared" si="132"/>
        <v>4.4022813292050968E-2</v>
      </c>
      <c r="DS78" s="45">
        <f t="shared" si="133"/>
        <v>212.92545454545453</v>
      </c>
      <c r="DT78" s="46">
        <f t="shared" si="164"/>
        <v>3.3662288327108612E-5</v>
      </c>
      <c r="DU78" s="49">
        <f t="shared" si="165"/>
        <v>3.1621586248176897E-5</v>
      </c>
      <c r="DV78" s="49">
        <f t="shared" si="166"/>
        <v>3.1326095981842392E-5</v>
      </c>
      <c r="DW78" s="47">
        <f t="shared" si="167"/>
        <v>0.15151515151515152</v>
      </c>
      <c r="DY78" s="54">
        <f>VLOOKUP(A78,'[3]Barnet Schools'!$E$8:$V$130,17,0)</f>
        <v>50</v>
      </c>
    </row>
    <row r="79" spans="1:256">
      <c r="A79" s="79">
        <v>2052</v>
      </c>
      <c r="B79" s="80">
        <v>10098</v>
      </c>
      <c r="C79" s="573" t="s">
        <v>108</v>
      </c>
      <c r="D79" s="595">
        <f>VLOOKUP(A79,[4]CFR20152016_BenchMarkDataReport!$B$3:$BO$99,18,0)</f>
        <v>2304581</v>
      </c>
      <c r="E79" s="595">
        <f>VLOOKUP(A79,[4]CFR20152016_BenchMarkDataReport!$B$3:$BO$99,19,0)</f>
        <v>0</v>
      </c>
      <c r="F79" s="595">
        <f>VLOOKUP(A79,[4]CFR20152016_BenchMarkDataReport!$B$3:$BO$99,20,0)</f>
        <v>235953</v>
      </c>
      <c r="G79" s="595">
        <f>VLOOKUP(A79,[4]CFR20152016_BenchMarkDataReport!$B$3:$BO$99,21,0)</f>
        <v>0</v>
      </c>
      <c r="H79" s="595">
        <f>VLOOKUP(A79,[4]CFR20152016_BenchMarkDataReport!$B$3:$BO$99,22,0)</f>
        <v>234852.12</v>
      </c>
      <c r="I79" s="595">
        <f>VLOOKUP(A79,[4]CFR20152016_BenchMarkDataReport!$B$3:$BO$99,23,0)</f>
        <v>17800</v>
      </c>
      <c r="J79" s="595">
        <f>VLOOKUP(A79,[4]CFR20152016_BenchMarkDataReport!$B$3:$BO$99,24,0)</f>
        <v>3837</v>
      </c>
      <c r="K79" s="595">
        <f>VLOOKUP(A79,[4]CFR20152016_BenchMarkDataReport!$B$3:$BO$99,25,0)</f>
        <v>13880.14</v>
      </c>
      <c r="L79" s="595">
        <f>VLOOKUP(A79,[4]CFR20152016_BenchMarkDataReport!$B$3:$BO$99,26,0)</f>
        <v>48838.5</v>
      </c>
      <c r="M79" s="595">
        <f>VLOOKUP(A79,[4]CFR20152016_BenchMarkDataReport!$B$3:$BO$99,27,0)</f>
        <v>15641.86</v>
      </c>
      <c r="N79" s="595">
        <f>VLOOKUP(A79,[4]CFR20152016_BenchMarkDataReport!$B$3:$BO$99,28,0)</f>
        <v>5544.71</v>
      </c>
      <c r="O79" s="595">
        <f>VLOOKUP(A79,[4]CFR20152016_BenchMarkDataReport!$B$3:$BO$99,29,0)</f>
        <v>17402.8</v>
      </c>
      <c r="P79" s="595">
        <f>VLOOKUP(A79,[4]CFR20152016_BenchMarkDataReport!$B$3:$BO$99,30,0)</f>
        <v>7447.85</v>
      </c>
      <c r="Q79" s="595">
        <f>VLOOKUP(A79,[4]CFR20152016_BenchMarkDataReport!$B$3:$BO$99,31,0)</f>
        <v>0</v>
      </c>
      <c r="R79" s="595">
        <f>VLOOKUP(A79,[4]CFR20152016_BenchMarkDataReport!$B$3:$BO$99,32,0)</f>
        <v>0</v>
      </c>
      <c r="S79" s="595">
        <f>VLOOKUP(A79,[4]CFR20152016_BenchMarkDataReport!$B$3:$BO$99,33,0)</f>
        <v>0</v>
      </c>
      <c r="T79" s="595">
        <f>VLOOKUP(A79,[4]CFR20152016_BenchMarkDataReport!$B$3:$BO$99,34,0)</f>
        <v>70361.66</v>
      </c>
      <c r="U79" s="595">
        <f>VLOOKUP(A79,[4]CFR20152016_BenchMarkDataReport!$B$3:$BO$99,35,0)</f>
        <v>1301160.75</v>
      </c>
      <c r="V79" s="595">
        <f>VLOOKUP(A79,[4]CFR20152016_BenchMarkDataReport!$B$3:$BO$99,36,0)</f>
        <v>0</v>
      </c>
      <c r="W79" s="595">
        <f>VLOOKUP(A79,[4]CFR20152016_BenchMarkDataReport!$B$3:$BO$99,37,0)</f>
        <v>561737.11</v>
      </c>
      <c r="X79" s="595">
        <f>VLOOKUP(A79,[4]CFR20152016_BenchMarkDataReport!$B$3:$BO$99,38,0)</f>
        <v>45935</v>
      </c>
      <c r="Y79" s="595">
        <f>VLOOKUP(A79,[4]CFR20152016_BenchMarkDataReport!$B$3:$BO$99,39,0)</f>
        <v>95416.61</v>
      </c>
      <c r="Z79" s="595">
        <f>VLOOKUP(A79,[4]CFR20152016_BenchMarkDataReport!$B$3:$BO$99,40,0)</f>
        <v>59637.02</v>
      </c>
      <c r="AA79" s="595">
        <f>VLOOKUP(A79,[4]CFR20152016_BenchMarkDataReport!$B$3:$BO$99,41,0)</f>
        <v>47814.09</v>
      </c>
      <c r="AB79" s="595">
        <f>VLOOKUP(A79,[4]CFR20152016_BenchMarkDataReport!$B$3:$BO$99,42,0)</f>
        <v>19597.900000000001</v>
      </c>
      <c r="AC79" s="595">
        <f>VLOOKUP(A79,[4]CFR20152016_BenchMarkDataReport!$B$3:$BO$99,43,0)</f>
        <v>20202.330000000002</v>
      </c>
      <c r="AD79" s="595">
        <f>VLOOKUP(A79,[4]CFR20152016_BenchMarkDataReport!$B$3:$BO$99,44,0)</f>
        <v>22856.19</v>
      </c>
      <c r="AE79" s="595">
        <f>VLOOKUP(A79,[4]CFR20152016_BenchMarkDataReport!$B$3:$BO$99,45,0)</f>
        <v>1907</v>
      </c>
      <c r="AF79" s="595">
        <f>VLOOKUP(A79,[4]CFR20152016_BenchMarkDataReport!$B$3:$BO$99,46,0)</f>
        <v>41158.99</v>
      </c>
      <c r="AG79" s="595">
        <f>VLOOKUP(A79,[4]CFR20152016_BenchMarkDataReport!$B$3:$BO$99,47,0)</f>
        <v>7573</v>
      </c>
      <c r="AH79" s="595">
        <f>VLOOKUP(A79,[4]CFR20152016_BenchMarkDataReport!$B$3:$BO$99,48,0)</f>
        <v>35998.959999999999</v>
      </c>
      <c r="AI79" s="595">
        <f>VLOOKUP(A79,[4]CFR20152016_BenchMarkDataReport!$B$3:$BO$99,49,0)</f>
        <v>2992.38</v>
      </c>
      <c r="AJ79" s="595">
        <f>VLOOKUP(A79,[4]CFR20152016_BenchMarkDataReport!$B$3:$BO$99,50,0)</f>
        <v>29468.81</v>
      </c>
      <c r="AK79" s="595">
        <f>VLOOKUP(A79,[4]CFR20152016_BenchMarkDataReport!$B$3:$BO$99,51,0)</f>
        <v>16591.75</v>
      </c>
      <c r="AL79" s="595">
        <f>VLOOKUP(A79,[4]CFR20152016_BenchMarkDataReport!$B$3:$BO$99,52,0)</f>
        <v>13259.9</v>
      </c>
      <c r="AM79" s="595">
        <f>VLOOKUP(A79,[4]CFR20152016_BenchMarkDataReport!$B$3:$BO$99,53,0)</f>
        <v>97713.73</v>
      </c>
      <c r="AN79" s="595">
        <f>VLOOKUP(A79,[4]CFR20152016_BenchMarkDataReport!$B$3:$BO$99,54,0)</f>
        <v>23084.97</v>
      </c>
      <c r="AO79" s="595">
        <f>VLOOKUP(A79,[4]CFR20152016_BenchMarkDataReport!$B$3:$BO$99,55,0)</f>
        <v>0</v>
      </c>
      <c r="AP79" s="595">
        <f>VLOOKUP(A79,[4]CFR20152016_BenchMarkDataReport!$B$3:$BO$99,56,0)</f>
        <v>17643.98</v>
      </c>
      <c r="AQ79" s="595">
        <f>VLOOKUP(A79,[4]CFR20152016_BenchMarkDataReport!$B$3:$BO$99,57,0)</f>
        <v>10379</v>
      </c>
      <c r="AR79" s="595">
        <f>VLOOKUP(A79,[4]CFR20152016_BenchMarkDataReport!$B$3:$BO$99,58,0)</f>
        <v>30567.27</v>
      </c>
      <c r="AS79" s="595">
        <f>VLOOKUP(A79,[4]CFR20152016_BenchMarkDataReport!$B$3:$BO$99,59,0)</f>
        <v>60969.22</v>
      </c>
      <c r="AT79" s="595">
        <f>VLOOKUP(A79,[4]CFR20152016_BenchMarkDataReport!$B$3:$BO$99,60,0)</f>
        <v>123668.73</v>
      </c>
      <c r="AU79" s="595">
        <f>VLOOKUP(A79,[4]CFR20152016_BenchMarkDataReport!$B$3:$BO$99,61,0)</f>
        <v>261776.53</v>
      </c>
      <c r="AV79" s="595">
        <f>VLOOKUP(A79,[4]CFR20152016_BenchMarkDataReport!$B$3:$BO$99,62,0)</f>
        <v>39092.54</v>
      </c>
      <c r="AW79" s="595">
        <f>VLOOKUP(A79,[4]CFR20152016_BenchMarkDataReport!$B$3:$BO$99,63,0)</f>
        <v>0</v>
      </c>
      <c r="AX79" s="595">
        <f>VLOOKUP(A79,[4]CFR20152016_BenchMarkDataReport!$B$3:$BO$99,64,0)</f>
        <v>54054.879999999997</v>
      </c>
      <c r="AY79" s="595">
        <f>VLOOKUP(A79,[4]CFR20152016_BenchMarkDataReport!$B$3:$BO$99,65,0)</f>
        <v>0</v>
      </c>
      <c r="AZ79" s="595">
        <f>VLOOKUP(A79,[4]CFR20152016_BenchMarkDataReport!$B$3:$BO$99,66,0)</f>
        <v>0</v>
      </c>
      <c r="BA79" s="596">
        <f t="shared" si="134"/>
        <v>2976140.64</v>
      </c>
      <c r="BB79" s="595">
        <f t="shared" si="139"/>
        <v>3042258.64</v>
      </c>
      <c r="BC79" s="601">
        <f t="shared" si="100"/>
        <v>-66118</v>
      </c>
      <c r="BD79" s="595">
        <f>VLOOKUP(A79,[4]CFR20152016_BenchMarkDataReport!$B$3:$BO$99,15,0)</f>
        <v>111700</v>
      </c>
      <c r="BE79" s="601">
        <f t="shared" si="101"/>
        <v>45582</v>
      </c>
      <c r="BF79" s="76">
        <f>VLOOKUP(A79,'OCT 15 CENSUS'!$B$9:$U$132,20,0)</f>
        <v>487</v>
      </c>
      <c r="BG79" s="73">
        <f>VLOOKUP(A79,'[2]BUDGET SHARE inc ADJUSTMENTS'!$D$4:$M$139,10,0)</f>
        <v>2853172.5932098911</v>
      </c>
      <c r="BH79" s="76">
        <f>VLOOKUP(A79,'12-13 Pupil Data'!A:CI,81,0)</f>
        <v>2815</v>
      </c>
      <c r="BI79" t="s">
        <v>210</v>
      </c>
      <c r="BJ79" s="44">
        <f t="shared" si="140"/>
        <v>0.77435218249632176</v>
      </c>
      <c r="BK79" s="45">
        <f t="shared" si="141"/>
        <v>4732.1991786447643</v>
      </c>
      <c r="BL79" s="44">
        <f t="shared" si="142"/>
        <v>0</v>
      </c>
      <c r="BM79" s="45">
        <f t="shared" si="143"/>
        <v>0</v>
      </c>
      <c r="BN79" s="44">
        <f t="shared" si="144"/>
        <v>7.9281535566141786E-2</v>
      </c>
      <c r="BO79" s="45">
        <f t="shared" si="145"/>
        <v>484.50308008213551</v>
      </c>
      <c r="BP79" s="44">
        <f t="shared" si="146"/>
        <v>0</v>
      </c>
      <c r="BQ79" s="45">
        <f t="shared" si="147"/>
        <v>0</v>
      </c>
      <c r="BR79" s="44">
        <f t="shared" si="148"/>
        <v>7.8911633692149707E-2</v>
      </c>
      <c r="BS79" s="45">
        <f t="shared" si="149"/>
        <v>482.24254620123202</v>
      </c>
      <c r="BT79" s="44">
        <f t="shared" si="150"/>
        <v>5.9809001499337745E-3</v>
      </c>
      <c r="BU79" s="45">
        <f t="shared" si="151"/>
        <v>36.550308008213555</v>
      </c>
      <c r="BV79" s="44">
        <f t="shared" si="152"/>
        <v>1.2892535884997693E-3</v>
      </c>
      <c r="BW79" s="45">
        <f t="shared" si="153"/>
        <v>7.8788501026694044</v>
      </c>
      <c r="BX79" s="44">
        <f t="shared" si="154"/>
        <v>4.6638051352304371E-3</v>
      </c>
      <c r="BY79" s="45">
        <f t="shared" si="155"/>
        <v>28.501314168377821</v>
      </c>
      <c r="BZ79" s="46">
        <f t="shared" si="156"/>
        <v>5.8474387151273869E-3</v>
      </c>
      <c r="CA79" s="47">
        <f t="shared" si="157"/>
        <v>35.734702258726898</v>
      </c>
      <c r="CB79" s="44">
        <f t="shared" si="158"/>
        <v>2.5025195045890038E-3</v>
      </c>
      <c r="CC79" s="48">
        <f t="shared" si="159"/>
        <v>15.293326488706366</v>
      </c>
      <c r="CD79" s="46">
        <f t="shared" si="135"/>
        <v>0.49938425855865626</v>
      </c>
      <c r="CE79" s="49">
        <f t="shared" si="136"/>
        <v>0.47875072194168888</v>
      </c>
      <c r="CF79" s="49">
        <f t="shared" si="137"/>
        <v>0.46834593918681416</v>
      </c>
      <c r="CG79" s="47">
        <f t="shared" si="138"/>
        <v>2925.7278850102671</v>
      </c>
      <c r="CH79" s="44">
        <f t="shared" si="102"/>
        <v>0.19688157363380235</v>
      </c>
      <c r="CI79" s="50">
        <f t="shared" si="103"/>
        <v>0.18874682951811039</v>
      </c>
      <c r="CJ79" s="50">
        <f t="shared" si="104"/>
        <v>0.18464475788291293</v>
      </c>
      <c r="CK79" s="45">
        <f t="shared" si="105"/>
        <v>1153.4642915811089</v>
      </c>
      <c r="CL79" s="46">
        <f t="shared" si="105"/>
        <v>1.6099621911873887E-2</v>
      </c>
      <c r="CM79" s="49">
        <f t="shared" si="160"/>
        <v>1.5434418448719546E-2</v>
      </c>
      <c r="CN79" s="49">
        <f t="shared" si="161"/>
        <v>1.5098979224199031E-2</v>
      </c>
      <c r="CO79" s="47">
        <f t="shared" si="162"/>
        <v>94.322381930184804</v>
      </c>
      <c r="CP79" s="44">
        <f t="shared" si="106"/>
        <v>3.3442284643795034E-2</v>
      </c>
      <c r="CQ79" s="50">
        <f t="shared" si="107"/>
        <v>3.2060517812088345E-2</v>
      </c>
      <c r="CR79" s="50">
        <f t="shared" si="163"/>
        <v>3.1363740329454694E-2</v>
      </c>
      <c r="CS79" s="45">
        <f t="shared" si="108"/>
        <v>195.92733059548254</v>
      </c>
      <c r="CT79" s="46">
        <f t="shared" si="109"/>
        <v>0.74012367321399353</v>
      </c>
      <c r="CU79" s="49">
        <f t="shared" si="110"/>
        <v>0.70954327615377744</v>
      </c>
      <c r="CV79" s="49">
        <f t="shared" si="111"/>
        <v>0.69412263383365724</v>
      </c>
      <c r="CW79" s="47">
        <f t="shared" si="112"/>
        <v>4336.1408213552359</v>
      </c>
      <c r="CX79" s="44">
        <f t="shared" si="113"/>
        <v>1.4425692332090958E-2</v>
      </c>
      <c r="CY79" s="50">
        <f t="shared" si="114"/>
        <v>1.3529089689757606E-2</v>
      </c>
      <c r="CZ79" s="48">
        <f t="shared" si="115"/>
        <v>14.621310834813498</v>
      </c>
      <c r="DA79" s="45">
        <f t="shared" si="116"/>
        <v>84.515379876796715</v>
      </c>
      <c r="DB79" s="51">
        <f t="shared" si="117"/>
        <v>9.8360473388284957E-4</v>
      </c>
      <c r="DC79" s="52">
        <f t="shared" si="118"/>
        <v>6.1445174537987679</v>
      </c>
      <c r="DD79" s="44">
        <f t="shared" si="118"/>
        <v>1.0328435815671021E-2</v>
      </c>
      <c r="DE79" s="50">
        <f t="shared" si="119"/>
        <v>9.6864906923232533E-3</v>
      </c>
      <c r="DF79" s="48">
        <f t="shared" si="120"/>
        <v>10.46849378330373</v>
      </c>
      <c r="DG79" s="45">
        <f t="shared" si="121"/>
        <v>60.510903490759759</v>
      </c>
      <c r="DH79" s="46">
        <f t="shared" si="122"/>
        <v>4.6474230236041476E-3</v>
      </c>
      <c r="DI79" s="49">
        <f t="shared" si="123"/>
        <v>4.358570907041618E-3</v>
      </c>
      <c r="DJ79" s="47">
        <f t="shared" si="124"/>
        <v>4.71044404973357</v>
      </c>
      <c r="DK79" s="44">
        <f t="shared" si="125"/>
        <v>3.4247395419591348E-2</v>
      </c>
      <c r="DL79" s="50">
        <f t="shared" si="126"/>
        <v>3.2832363056606084E-2</v>
      </c>
      <c r="DM79" s="50">
        <f t="shared" si="127"/>
        <v>3.2118810910830381E-2</v>
      </c>
      <c r="DN79" s="45">
        <f t="shared" si="128"/>
        <v>200.6442094455852</v>
      </c>
      <c r="DO79" s="46">
        <f t="shared" si="129"/>
        <v>6.1839862201080792E-3</v>
      </c>
      <c r="DP79" s="49">
        <f t="shared" si="130"/>
        <v>5.799631815656541E-3</v>
      </c>
      <c r="DQ79" s="47">
        <f t="shared" si="131"/>
        <v>36.229938398357291</v>
      </c>
      <c r="DR79" s="53">
        <f t="shared" si="132"/>
        <v>2.0040774705466856E-2</v>
      </c>
      <c r="DS79" s="45">
        <f t="shared" si="133"/>
        <v>125.19347022587269</v>
      </c>
      <c r="DT79" s="46">
        <f t="shared" si="164"/>
        <v>6.0984743935257565E-5</v>
      </c>
      <c r="DU79" s="49">
        <f t="shared" si="165"/>
        <v>5.8464978993734646E-5</v>
      </c>
      <c r="DV79" s="49">
        <f t="shared" si="166"/>
        <v>5.7194348209657805E-5</v>
      </c>
      <c r="DW79" s="47">
        <f t="shared" si="167"/>
        <v>0.35728952772073924</v>
      </c>
      <c r="DY79" s="54">
        <f>VLOOKUP(A79,'[3]Barnet Schools'!$E$8:$V$130,17,0)</f>
        <v>174</v>
      </c>
    </row>
    <row r="80" spans="1:256">
      <c r="A80" s="79">
        <v>2070</v>
      </c>
      <c r="B80" s="80">
        <v>10097</v>
      </c>
      <c r="C80" s="573" t="s">
        <v>109</v>
      </c>
      <c r="D80" s="595">
        <f>VLOOKUP(A80,[4]CFR20152016_BenchMarkDataReport!$B$3:$BO$99,18,0)</f>
        <v>1124293.46</v>
      </c>
      <c r="E80" s="595">
        <f>VLOOKUP(A80,[4]CFR20152016_BenchMarkDataReport!$B$3:$BO$99,19,0)</f>
        <v>0</v>
      </c>
      <c r="F80" s="595">
        <f>VLOOKUP(A80,[4]CFR20152016_BenchMarkDataReport!$B$3:$BO$99,20,0)</f>
        <v>71741</v>
      </c>
      <c r="G80" s="595">
        <f>VLOOKUP(A80,[4]CFR20152016_BenchMarkDataReport!$B$3:$BO$99,21,0)</f>
        <v>0</v>
      </c>
      <c r="H80" s="595">
        <f>VLOOKUP(A80,[4]CFR20152016_BenchMarkDataReport!$B$3:$BO$99,22,0)</f>
        <v>125400</v>
      </c>
      <c r="I80" s="595">
        <f>VLOOKUP(A80,[4]CFR20152016_BenchMarkDataReport!$B$3:$BO$99,23,0)</f>
        <v>3116.68</v>
      </c>
      <c r="J80" s="595">
        <f>VLOOKUP(A80,[4]CFR20152016_BenchMarkDataReport!$B$3:$BO$99,24,0)</f>
        <v>8170</v>
      </c>
      <c r="K80" s="595">
        <f>VLOOKUP(A80,[4]CFR20152016_BenchMarkDataReport!$B$3:$BO$99,25,0)</f>
        <v>4450.95</v>
      </c>
      <c r="L80" s="595">
        <f>VLOOKUP(A80,[4]CFR20152016_BenchMarkDataReport!$B$3:$BO$99,26,0)</f>
        <v>21074.880000000001</v>
      </c>
      <c r="M80" s="595">
        <f>VLOOKUP(A80,[4]CFR20152016_BenchMarkDataReport!$B$3:$BO$99,27,0)</f>
        <v>0</v>
      </c>
      <c r="N80" s="595">
        <f>VLOOKUP(A80,[4]CFR20152016_BenchMarkDataReport!$B$3:$BO$99,28,0)</f>
        <v>10035.6</v>
      </c>
      <c r="O80" s="595">
        <f>VLOOKUP(A80,[4]CFR20152016_BenchMarkDataReport!$B$3:$BO$99,29,0)</f>
        <v>15460.94</v>
      </c>
      <c r="P80" s="595">
        <f>VLOOKUP(A80,[4]CFR20152016_BenchMarkDataReport!$B$3:$BO$99,30,0)</f>
        <v>3447.22</v>
      </c>
      <c r="Q80" s="595">
        <f>VLOOKUP(A80,[4]CFR20152016_BenchMarkDataReport!$B$3:$BO$99,31,0)</f>
        <v>0</v>
      </c>
      <c r="R80" s="595">
        <f>VLOOKUP(A80,[4]CFR20152016_BenchMarkDataReport!$B$3:$BO$99,32,0)</f>
        <v>0</v>
      </c>
      <c r="S80" s="595">
        <f>VLOOKUP(A80,[4]CFR20152016_BenchMarkDataReport!$B$3:$BO$99,33,0)</f>
        <v>0</v>
      </c>
      <c r="T80" s="595">
        <f>VLOOKUP(A80,[4]CFR20152016_BenchMarkDataReport!$B$3:$BO$99,34,0)</f>
        <v>23926.07</v>
      </c>
      <c r="U80" s="595">
        <f>VLOOKUP(A80,[4]CFR20152016_BenchMarkDataReport!$B$3:$BO$99,35,0)</f>
        <v>622522.06999999995</v>
      </c>
      <c r="V80" s="595">
        <f>VLOOKUP(A80,[4]CFR20152016_BenchMarkDataReport!$B$3:$BO$99,36,0)</f>
        <v>134.01</v>
      </c>
      <c r="W80" s="595">
        <f>VLOOKUP(A80,[4]CFR20152016_BenchMarkDataReport!$B$3:$BO$99,37,0)</f>
        <v>292941.69</v>
      </c>
      <c r="X80" s="595">
        <f>VLOOKUP(A80,[4]CFR20152016_BenchMarkDataReport!$B$3:$BO$99,38,0)</f>
        <v>47342.91</v>
      </c>
      <c r="Y80" s="595">
        <f>VLOOKUP(A80,[4]CFR20152016_BenchMarkDataReport!$B$3:$BO$99,39,0)</f>
        <v>59440.71</v>
      </c>
      <c r="Z80" s="595">
        <f>VLOOKUP(A80,[4]CFR20152016_BenchMarkDataReport!$B$3:$BO$99,40,0)</f>
        <v>0</v>
      </c>
      <c r="AA80" s="595">
        <f>VLOOKUP(A80,[4]CFR20152016_BenchMarkDataReport!$B$3:$BO$99,41,0)</f>
        <v>29321.78</v>
      </c>
      <c r="AB80" s="595">
        <f>VLOOKUP(A80,[4]CFR20152016_BenchMarkDataReport!$B$3:$BO$99,42,0)</f>
        <v>14993.45</v>
      </c>
      <c r="AC80" s="595">
        <f>VLOOKUP(A80,[4]CFR20152016_BenchMarkDataReport!$B$3:$BO$99,43,0)</f>
        <v>7317.44</v>
      </c>
      <c r="AD80" s="595">
        <f>VLOOKUP(A80,[4]CFR20152016_BenchMarkDataReport!$B$3:$BO$99,44,0)</f>
        <v>5450.95</v>
      </c>
      <c r="AE80" s="595">
        <f>VLOOKUP(A80,[4]CFR20152016_BenchMarkDataReport!$B$3:$BO$99,45,0)</f>
        <v>7844.94</v>
      </c>
      <c r="AF80" s="595">
        <f>VLOOKUP(A80,[4]CFR20152016_BenchMarkDataReport!$B$3:$BO$99,46,0)</f>
        <v>20775.05</v>
      </c>
      <c r="AG80" s="595">
        <f>VLOOKUP(A80,[4]CFR20152016_BenchMarkDataReport!$B$3:$BO$99,47,0)</f>
        <v>2592</v>
      </c>
      <c r="AH80" s="595">
        <f>VLOOKUP(A80,[4]CFR20152016_BenchMarkDataReport!$B$3:$BO$99,48,0)</f>
        <v>1560.98</v>
      </c>
      <c r="AI80" s="595">
        <f>VLOOKUP(A80,[4]CFR20152016_BenchMarkDataReport!$B$3:$BO$99,49,0)</f>
        <v>2691.74</v>
      </c>
      <c r="AJ80" s="595">
        <f>VLOOKUP(A80,[4]CFR20152016_BenchMarkDataReport!$B$3:$BO$99,50,0)</f>
        <v>11700.01</v>
      </c>
      <c r="AK80" s="595">
        <f>VLOOKUP(A80,[4]CFR20152016_BenchMarkDataReport!$B$3:$BO$99,51,0)</f>
        <v>7913</v>
      </c>
      <c r="AL80" s="595">
        <f>VLOOKUP(A80,[4]CFR20152016_BenchMarkDataReport!$B$3:$BO$99,52,0)</f>
        <v>9476.8799999999992</v>
      </c>
      <c r="AM80" s="595">
        <f>VLOOKUP(A80,[4]CFR20152016_BenchMarkDataReport!$B$3:$BO$99,53,0)</f>
        <v>45712.12</v>
      </c>
      <c r="AN80" s="595">
        <f>VLOOKUP(A80,[4]CFR20152016_BenchMarkDataReport!$B$3:$BO$99,54,0)</f>
        <v>23665.96</v>
      </c>
      <c r="AO80" s="595">
        <f>VLOOKUP(A80,[4]CFR20152016_BenchMarkDataReport!$B$3:$BO$99,55,0)</f>
        <v>0</v>
      </c>
      <c r="AP80" s="595">
        <f>VLOOKUP(A80,[4]CFR20152016_BenchMarkDataReport!$B$3:$BO$99,56,0)</f>
        <v>11556.09</v>
      </c>
      <c r="AQ80" s="595">
        <f>VLOOKUP(A80,[4]CFR20152016_BenchMarkDataReport!$B$3:$BO$99,57,0)</f>
        <v>5029.76</v>
      </c>
      <c r="AR80" s="595">
        <f>VLOOKUP(A80,[4]CFR20152016_BenchMarkDataReport!$B$3:$BO$99,58,0)</f>
        <v>12510.59</v>
      </c>
      <c r="AS80" s="595">
        <f>VLOOKUP(A80,[4]CFR20152016_BenchMarkDataReport!$B$3:$BO$99,59,0)</f>
        <v>67133.45</v>
      </c>
      <c r="AT80" s="595">
        <f>VLOOKUP(A80,[4]CFR20152016_BenchMarkDataReport!$B$3:$BO$99,60,0)</f>
        <v>20403.650000000001</v>
      </c>
      <c r="AU80" s="595">
        <f>VLOOKUP(A80,[4]CFR20152016_BenchMarkDataReport!$B$3:$BO$99,61,0)</f>
        <v>58074.63</v>
      </c>
      <c r="AV80" s="595">
        <f>VLOOKUP(A80,[4]CFR20152016_BenchMarkDataReport!$B$3:$BO$99,62,0)</f>
        <v>13658.94</v>
      </c>
      <c r="AW80" s="595">
        <f>VLOOKUP(A80,[4]CFR20152016_BenchMarkDataReport!$B$3:$BO$99,63,0)</f>
        <v>0</v>
      </c>
      <c r="AX80" s="595">
        <f>VLOOKUP(A80,[4]CFR20152016_BenchMarkDataReport!$B$3:$BO$99,64,0)</f>
        <v>6749</v>
      </c>
      <c r="AY80" s="595">
        <f>VLOOKUP(A80,[4]CFR20152016_BenchMarkDataReport!$B$3:$BO$99,65,0)</f>
        <v>0</v>
      </c>
      <c r="AZ80" s="595">
        <f>VLOOKUP(A80,[4]CFR20152016_BenchMarkDataReport!$B$3:$BO$99,66,0)</f>
        <v>0</v>
      </c>
      <c r="BA80" s="596">
        <f t="shared" si="134"/>
        <v>1411116.7999999998</v>
      </c>
      <c r="BB80" s="595">
        <f t="shared" si="139"/>
        <v>1408513.7999999996</v>
      </c>
      <c r="BC80" s="601">
        <f t="shared" si="100"/>
        <v>2603.0000000002328</v>
      </c>
      <c r="BD80" s="595">
        <f>VLOOKUP(A80,[4]CFR20152016_BenchMarkDataReport!$B$3:$BO$99,15,0)</f>
        <v>92741</v>
      </c>
      <c r="BE80" s="601">
        <f t="shared" si="101"/>
        <v>95344.000000000233</v>
      </c>
      <c r="BF80" s="76">
        <f>VLOOKUP(A80,'OCT 15 CENSUS'!$B$9:$U$132,20,0)</f>
        <v>235</v>
      </c>
      <c r="BG80" s="73">
        <f>VLOOKUP(A80,'[2]BUDGET SHARE inc ADJUSTMENTS'!$D$4:$M$139,10,0)</f>
        <v>1350306.668698563</v>
      </c>
      <c r="BH80" s="76">
        <f>VLOOKUP(A80,'12-13 Pupil Data'!A:CI,81,0)</f>
        <v>1132</v>
      </c>
      <c r="BI80" t="s">
        <v>210</v>
      </c>
      <c r="BJ80" s="44">
        <f t="shared" si="140"/>
        <v>0.79674018479547559</v>
      </c>
      <c r="BK80" s="45">
        <f t="shared" si="141"/>
        <v>4784.2274893617023</v>
      </c>
      <c r="BL80" s="44">
        <f t="shared" si="142"/>
        <v>0</v>
      </c>
      <c r="BM80" s="45">
        <f t="shared" si="143"/>
        <v>0</v>
      </c>
      <c r="BN80" s="44">
        <f t="shared" si="144"/>
        <v>5.0839873779406505E-2</v>
      </c>
      <c r="BO80" s="45">
        <f t="shared" si="145"/>
        <v>305.2808510638298</v>
      </c>
      <c r="BP80" s="44">
        <f t="shared" si="146"/>
        <v>0</v>
      </c>
      <c r="BQ80" s="45">
        <f t="shared" si="147"/>
        <v>0</v>
      </c>
      <c r="BR80" s="44">
        <f t="shared" si="148"/>
        <v>8.8865783470227278E-2</v>
      </c>
      <c r="BS80" s="45">
        <f t="shared" si="149"/>
        <v>533.61702127659578</v>
      </c>
      <c r="BT80" s="44">
        <f t="shared" si="150"/>
        <v>2.2086619619297284E-3</v>
      </c>
      <c r="BU80" s="45">
        <f t="shared" si="151"/>
        <v>13.262468085106383</v>
      </c>
      <c r="BV80" s="44">
        <f t="shared" si="152"/>
        <v>5.7897404382117774E-3</v>
      </c>
      <c r="BW80" s="45">
        <f t="shared" si="153"/>
        <v>34.765957446808514</v>
      </c>
      <c r="BX80" s="44">
        <f t="shared" si="154"/>
        <v>3.1542038192727919E-3</v>
      </c>
      <c r="BY80" s="45">
        <f t="shared" si="155"/>
        <v>18.940212765957448</v>
      </c>
      <c r="BZ80" s="46">
        <f t="shared" si="156"/>
        <v>1.09565274823459E-2</v>
      </c>
      <c r="CA80" s="47">
        <f t="shared" si="157"/>
        <v>65.791234042553199</v>
      </c>
      <c r="CB80" s="44">
        <f t="shared" si="158"/>
        <v>2.442901962473978E-3</v>
      </c>
      <c r="CC80" s="48">
        <f t="shared" si="159"/>
        <v>14.669021276595744</v>
      </c>
      <c r="CD80" s="46">
        <f t="shared" si="135"/>
        <v>0.47623235884614745</v>
      </c>
      <c r="CE80" s="49">
        <f t="shared" si="136"/>
        <v>0.45570978249284544</v>
      </c>
      <c r="CF80" s="49">
        <f t="shared" si="137"/>
        <v>0.45655195568548934</v>
      </c>
      <c r="CG80" s="47">
        <f t="shared" si="138"/>
        <v>2736.4243829787233</v>
      </c>
      <c r="CH80" s="44">
        <f t="shared" si="102"/>
        <v>0.21694456288388153</v>
      </c>
      <c r="CI80" s="50">
        <f t="shared" si="103"/>
        <v>0.20759563630735603</v>
      </c>
      <c r="CJ80" s="50">
        <f t="shared" si="104"/>
        <v>0.2079792828440872</v>
      </c>
      <c r="CK80" s="45">
        <f t="shared" si="105"/>
        <v>1246.5603829787235</v>
      </c>
      <c r="CL80" s="46">
        <f t="shared" si="105"/>
        <v>3.5060857727696404E-2</v>
      </c>
      <c r="CM80" s="49">
        <f t="shared" si="160"/>
        <v>3.3549958444262028E-2</v>
      </c>
      <c r="CN80" s="49">
        <f t="shared" si="161"/>
        <v>3.361196035140019E-2</v>
      </c>
      <c r="CO80" s="47">
        <f t="shared" si="162"/>
        <v>201.45919148936173</v>
      </c>
      <c r="CP80" s="44">
        <f t="shared" si="106"/>
        <v>4.402015584895945E-2</v>
      </c>
      <c r="CQ80" s="50">
        <f t="shared" si="107"/>
        <v>4.212316797588974E-2</v>
      </c>
      <c r="CR80" s="50">
        <f t="shared" si="163"/>
        <v>4.2201013578993703E-2</v>
      </c>
      <c r="CS80" s="45">
        <f t="shared" si="108"/>
        <v>252.93919148936169</v>
      </c>
      <c r="CT80" s="46">
        <f t="shared" si="109"/>
        <v>0.77886245723250436</v>
      </c>
      <c r="CU80" s="49">
        <f t="shared" si="110"/>
        <v>0.74529845438733355</v>
      </c>
      <c r="CV80" s="49">
        <f t="shared" si="111"/>
        <v>0.74667580111746168</v>
      </c>
      <c r="CW80" s="47">
        <f t="shared" si="112"/>
        <v>4475.3326382978721</v>
      </c>
      <c r="CX80" s="44">
        <f t="shared" si="113"/>
        <v>1.5385430940678955E-2</v>
      </c>
      <c r="CY80" s="50">
        <f t="shared" si="114"/>
        <v>1.4749624746310619E-2</v>
      </c>
      <c r="CZ80" s="48">
        <f t="shared" si="115"/>
        <v>18.352517667844523</v>
      </c>
      <c r="DA80" s="45">
        <f t="shared" si="116"/>
        <v>88.404468085106373</v>
      </c>
      <c r="DB80" s="51">
        <f t="shared" si="117"/>
        <v>1.9110497887915622E-3</v>
      </c>
      <c r="DC80" s="52">
        <f t="shared" si="118"/>
        <v>11.454212765957445</v>
      </c>
      <c r="DD80" s="44">
        <f t="shared" si="118"/>
        <v>8.6647057821884043E-3</v>
      </c>
      <c r="DE80" s="50">
        <f t="shared" si="119"/>
        <v>8.3066349793661978E-3</v>
      </c>
      <c r="DF80" s="48">
        <f t="shared" si="120"/>
        <v>10.335697879858657</v>
      </c>
      <c r="DG80" s="45">
        <f t="shared" si="121"/>
        <v>49.787276595744679</v>
      </c>
      <c r="DH80" s="46">
        <f t="shared" si="122"/>
        <v>7.018316816233972E-3</v>
      </c>
      <c r="DI80" s="49">
        <f t="shared" si="123"/>
        <v>6.7282833863608589E-3</v>
      </c>
      <c r="DJ80" s="47">
        <f t="shared" si="124"/>
        <v>8.3718021201413428</v>
      </c>
      <c r="DK80" s="44">
        <f t="shared" si="125"/>
        <v>3.3853139482794475E-2</v>
      </c>
      <c r="DL80" s="50">
        <f t="shared" si="126"/>
        <v>3.2394285150598452E-2</v>
      </c>
      <c r="DM80" s="50">
        <f t="shared" si="127"/>
        <v>3.2454151318929224E-2</v>
      </c>
      <c r="DN80" s="45">
        <f t="shared" si="128"/>
        <v>194.51965957446811</v>
      </c>
      <c r="DO80" s="46">
        <f t="shared" si="129"/>
        <v>8.5581225864327978E-3</v>
      </c>
      <c r="DP80" s="49">
        <f t="shared" si="130"/>
        <v>8.2044563567641327E-3</v>
      </c>
      <c r="DQ80" s="47">
        <f t="shared" si="131"/>
        <v>49.174851063829784</v>
      </c>
      <c r="DR80" s="53">
        <f t="shared" si="132"/>
        <v>4.7662614310204146E-2</v>
      </c>
      <c r="DS80" s="45">
        <f t="shared" si="133"/>
        <v>285.67425531914893</v>
      </c>
      <c r="DT80" s="46">
        <f t="shared" si="164"/>
        <v>7.0354388526838724E-5</v>
      </c>
      <c r="DU80" s="49">
        <f t="shared" si="165"/>
        <v>6.7322563235020665E-5</v>
      </c>
      <c r="DV80" s="49">
        <f t="shared" si="166"/>
        <v>6.7446978510256713E-5</v>
      </c>
      <c r="DW80" s="47">
        <f t="shared" si="167"/>
        <v>0.40425531914893614</v>
      </c>
      <c r="DY80" s="54">
        <f>VLOOKUP(A80,'[3]Barnet Schools'!$E$8:$V$130,17,0)</f>
        <v>95</v>
      </c>
    </row>
    <row r="81" spans="1:256">
      <c r="A81" s="79">
        <v>3316</v>
      </c>
      <c r="B81" s="80">
        <v>10100</v>
      </c>
      <c r="C81" s="573" t="s">
        <v>110</v>
      </c>
      <c r="D81" s="595">
        <f>VLOOKUP(A81,[4]CFR20152016_BenchMarkDataReport!$B$3:$BO$99,18,0)</f>
        <v>849552.75</v>
      </c>
      <c r="E81" s="595">
        <f>VLOOKUP(A81,[4]CFR20152016_BenchMarkDataReport!$B$3:$BO$99,19,0)</f>
        <v>0</v>
      </c>
      <c r="F81" s="595">
        <f>VLOOKUP(A81,[4]CFR20152016_BenchMarkDataReport!$B$3:$BO$99,20,0)</f>
        <v>0</v>
      </c>
      <c r="G81" s="595">
        <f>VLOOKUP(A81,[4]CFR20152016_BenchMarkDataReport!$B$3:$BO$99,21,0)</f>
        <v>0</v>
      </c>
      <c r="H81" s="595">
        <f>VLOOKUP(A81,[4]CFR20152016_BenchMarkDataReport!$B$3:$BO$99,22,0)</f>
        <v>23600</v>
      </c>
      <c r="I81" s="595">
        <f>VLOOKUP(A81,[4]CFR20152016_BenchMarkDataReport!$B$3:$BO$99,23,0)</f>
        <v>3168.8</v>
      </c>
      <c r="J81" s="595">
        <f>VLOOKUP(A81,[4]CFR20152016_BenchMarkDataReport!$B$3:$BO$99,24,0)</f>
        <v>0</v>
      </c>
      <c r="K81" s="595">
        <f>VLOOKUP(A81,[4]CFR20152016_BenchMarkDataReport!$B$3:$BO$99,25,0)</f>
        <v>28909.17</v>
      </c>
      <c r="L81" s="595">
        <f>VLOOKUP(A81,[4]CFR20152016_BenchMarkDataReport!$B$3:$BO$99,26,0)</f>
        <v>30164.37</v>
      </c>
      <c r="M81" s="595">
        <f>VLOOKUP(A81,[4]CFR20152016_BenchMarkDataReport!$B$3:$BO$99,27,0)</f>
        <v>26769.24</v>
      </c>
      <c r="N81" s="595">
        <f>VLOOKUP(A81,[4]CFR20152016_BenchMarkDataReport!$B$3:$BO$99,28,0)</f>
        <v>3969</v>
      </c>
      <c r="O81" s="595">
        <f>VLOOKUP(A81,[4]CFR20152016_BenchMarkDataReport!$B$3:$BO$99,29,0)</f>
        <v>30907.99</v>
      </c>
      <c r="P81" s="595">
        <f>VLOOKUP(A81,[4]CFR20152016_BenchMarkDataReport!$B$3:$BO$99,30,0)</f>
        <v>18048.490000000002</v>
      </c>
      <c r="Q81" s="595">
        <f>VLOOKUP(A81,[4]CFR20152016_BenchMarkDataReport!$B$3:$BO$99,31,0)</f>
        <v>0</v>
      </c>
      <c r="R81" s="595">
        <f>VLOOKUP(A81,[4]CFR20152016_BenchMarkDataReport!$B$3:$BO$99,32,0)</f>
        <v>0</v>
      </c>
      <c r="S81" s="595">
        <f>VLOOKUP(A81,[4]CFR20152016_BenchMarkDataReport!$B$3:$BO$99,33,0)</f>
        <v>0</v>
      </c>
      <c r="T81" s="595">
        <f>VLOOKUP(A81,[4]CFR20152016_BenchMarkDataReport!$B$3:$BO$99,34,0)</f>
        <v>41015.760000000002</v>
      </c>
      <c r="U81" s="595">
        <f>VLOOKUP(A81,[4]CFR20152016_BenchMarkDataReport!$B$3:$BO$99,35,0)</f>
        <v>489882.94</v>
      </c>
      <c r="V81" s="595">
        <f>VLOOKUP(A81,[4]CFR20152016_BenchMarkDataReport!$B$3:$BO$99,36,0)</f>
        <v>45.52</v>
      </c>
      <c r="W81" s="595">
        <f>VLOOKUP(A81,[4]CFR20152016_BenchMarkDataReport!$B$3:$BO$99,37,0)</f>
        <v>126677.91</v>
      </c>
      <c r="X81" s="595">
        <f>VLOOKUP(A81,[4]CFR20152016_BenchMarkDataReport!$B$3:$BO$99,38,0)</f>
        <v>26531.33</v>
      </c>
      <c r="Y81" s="595">
        <f>VLOOKUP(A81,[4]CFR20152016_BenchMarkDataReport!$B$3:$BO$99,39,0)</f>
        <v>42902.01</v>
      </c>
      <c r="Z81" s="595">
        <f>VLOOKUP(A81,[4]CFR20152016_BenchMarkDataReport!$B$3:$BO$99,40,0)</f>
        <v>0</v>
      </c>
      <c r="AA81" s="595">
        <f>VLOOKUP(A81,[4]CFR20152016_BenchMarkDataReport!$B$3:$BO$99,41,0)</f>
        <v>30475.57</v>
      </c>
      <c r="AB81" s="595">
        <f>VLOOKUP(A81,[4]CFR20152016_BenchMarkDataReport!$B$3:$BO$99,42,0)</f>
        <v>11629.64</v>
      </c>
      <c r="AC81" s="595">
        <f>VLOOKUP(A81,[4]CFR20152016_BenchMarkDataReport!$B$3:$BO$99,43,0)</f>
        <v>9695.2099999999991</v>
      </c>
      <c r="AD81" s="595">
        <f>VLOOKUP(A81,[4]CFR20152016_BenchMarkDataReport!$B$3:$BO$99,44,0)</f>
        <v>8062.13</v>
      </c>
      <c r="AE81" s="595">
        <f>VLOOKUP(A81,[4]CFR20152016_BenchMarkDataReport!$B$3:$BO$99,45,0)</f>
        <v>1726.2</v>
      </c>
      <c r="AF81" s="595">
        <f>VLOOKUP(A81,[4]CFR20152016_BenchMarkDataReport!$B$3:$BO$99,46,0)</f>
        <v>10744.62</v>
      </c>
      <c r="AG81" s="595">
        <f>VLOOKUP(A81,[4]CFR20152016_BenchMarkDataReport!$B$3:$BO$99,47,0)</f>
        <v>20.39</v>
      </c>
      <c r="AH81" s="595">
        <f>VLOOKUP(A81,[4]CFR20152016_BenchMarkDataReport!$B$3:$BO$99,48,0)</f>
        <v>12239.79</v>
      </c>
      <c r="AI81" s="595">
        <f>VLOOKUP(A81,[4]CFR20152016_BenchMarkDataReport!$B$3:$BO$99,49,0)</f>
        <v>942.52</v>
      </c>
      <c r="AJ81" s="595">
        <f>VLOOKUP(A81,[4]CFR20152016_BenchMarkDataReport!$B$3:$BO$99,50,0)</f>
        <v>10894.24</v>
      </c>
      <c r="AK81" s="595">
        <f>VLOOKUP(A81,[4]CFR20152016_BenchMarkDataReport!$B$3:$BO$99,51,0)</f>
        <v>0</v>
      </c>
      <c r="AL81" s="595">
        <f>VLOOKUP(A81,[4]CFR20152016_BenchMarkDataReport!$B$3:$BO$99,52,0)</f>
        <v>5858.82</v>
      </c>
      <c r="AM81" s="595">
        <f>VLOOKUP(A81,[4]CFR20152016_BenchMarkDataReport!$B$3:$BO$99,53,0)</f>
        <v>55694.34</v>
      </c>
      <c r="AN81" s="595">
        <f>VLOOKUP(A81,[4]CFR20152016_BenchMarkDataReport!$B$3:$BO$99,54,0)</f>
        <v>9792.93</v>
      </c>
      <c r="AO81" s="595">
        <f>VLOOKUP(A81,[4]CFR20152016_BenchMarkDataReport!$B$3:$BO$99,55,0)</f>
        <v>0</v>
      </c>
      <c r="AP81" s="595">
        <f>VLOOKUP(A81,[4]CFR20152016_BenchMarkDataReport!$B$3:$BO$99,56,0)</f>
        <v>3515.08</v>
      </c>
      <c r="AQ81" s="595">
        <f>VLOOKUP(A81,[4]CFR20152016_BenchMarkDataReport!$B$3:$BO$99,57,0)</f>
        <v>3563.97</v>
      </c>
      <c r="AR81" s="595">
        <f>VLOOKUP(A81,[4]CFR20152016_BenchMarkDataReport!$B$3:$BO$99,58,0)</f>
        <v>5741.29</v>
      </c>
      <c r="AS81" s="595">
        <f>VLOOKUP(A81,[4]CFR20152016_BenchMarkDataReport!$B$3:$BO$99,59,0)</f>
        <v>65208.84</v>
      </c>
      <c r="AT81" s="595">
        <f>VLOOKUP(A81,[4]CFR20152016_BenchMarkDataReport!$B$3:$BO$99,60,0)</f>
        <v>58183.839999999997</v>
      </c>
      <c r="AU81" s="595">
        <f>VLOOKUP(A81,[4]CFR20152016_BenchMarkDataReport!$B$3:$BO$99,61,0)</f>
        <v>62678.69</v>
      </c>
      <c r="AV81" s="595">
        <f>VLOOKUP(A81,[4]CFR20152016_BenchMarkDataReport!$B$3:$BO$99,62,0)</f>
        <v>7804.75</v>
      </c>
      <c r="AW81" s="595">
        <f>VLOOKUP(A81,[4]CFR20152016_BenchMarkDataReport!$B$3:$BO$99,63,0)</f>
        <v>0</v>
      </c>
      <c r="AX81" s="595">
        <f>VLOOKUP(A81,[4]CFR20152016_BenchMarkDataReport!$B$3:$BO$99,64,0)</f>
        <v>0</v>
      </c>
      <c r="AY81" s="595">
        <f>VLOOKUP(A81,[4]CFR20152016_BenchMarkDataReport!$B$3:$BO$99,65,0)</f>
        <v>0</v>
      </c>
      <c r="AZ81" s="595">
        <f>VLOOKUP(A81,[4]CFR20152016_BenchMarkDataReport!$B$3:$BO$99,66,0)</f>
        <v>0</v>
      </c>
      <c r="BA81" s="596">
        <f t="shared" si="134"/>
        <v>1056105.57</v>
      </c>
      <c r="BB81" s="595">
        <f t="shared" si="139"/>
        <v>1060512.5699999998</v>
      </c>
      <c r="BC81" s="601">
        <f t="shared" si="100"/>
        <v>-4406.9999999997672</v>
      </c>
      <c r="BD81" s="595">
        <f>VLOOKUP(A81,[4]CFR20152016_BenchMarkDataReport!$B$3:$BO$99,15,0)</f>
        <v>20665</v>
      </c>
      <c r="BE81" s="601">
        <f t="shared" si="101"/>
        <v>16258.000000000233</v>
      </c>
      <c r="BF81" s="76">
        <f>VLOOKUP(A81,'OCT 15 CENSUS'!$B$9:$U$132,20,0)</f>
        <v>209</v>
      </c>
      <c r="BG81" s="73">
        <f>VLOOKUP(A81,'[2]BUDGET SHARE inc ADJUSTMENTS'!$D$4:$M$139,10,0)</f>
        <v>915483.85959835979</v>
      </c>
      <c r="BH81" s="76">
        <f>VLOOKUP(A81,'12-13 Pupil Data'!A:CI,81,0)</f>
        <v>1166</v>
      </c>
      <c r="BI81" t="s">
        <v>210</v>
      </c>
      <c r="BJ81" s="44">
        <f t="shared" si="140"/>
        <v>0.80442029105101676</v>
      </c>
      <c r="BK81" s="45">
        <f t="shared" si="141"/>
        <v>4064.8456937799042</v>
      </c>
      <c r="BL81" s="44">
        <f t="shared" si="142"/>
        <v>0</v>
      </c>
      <c r="BM81" s="45">
        <f t="shared" si="143"/>
        <v>0</v>
      </c>
      <c r="BN81" s="44">
        <f t="shared" si="144"/>
        <v>0</v>
      </c>
      <c r="BO81" s="45">
        <f t="shared" si="145"/>
        <v>0</v>
      </c>
      <c r="BP81" s="44">
        <f t="shared" si="146"/>
        <v>0</v>
      </c>
      <c r="BQ81" s="45">
        <f t="shared" si="147"/>
        <v>0</v>
      </c>
      <c r="BR81" s="44">
        <f t="shared" si="148"/>
        <v>2.2346250858235696E-2</v>
      </c>
      <c r="BS81" s="45">
        <f t="shared" si="149"/>
        <v>112.91866028708134</v>
      </c>
      <c r="BT81" s="44">
        <f t="shared" si="150"/>
        <v>3.0004576152363252E-3</v>
      </c>
      <c r="BU81" s="45">
        <f t="shared" si="151"/>
        <v>15.161722488038279</v>
      </c>
      <c r="BV81" s="44">
        <f t="shared" si="152"/>
        <v>0</v>
      </c>
      <c r="BW81" s="45">
        <f t="shared" si="153"/>
        <v>0</v>
      </c>
      <c r="BX81" s="44">
        <f t="shared" si="154"/>
        <v>2.7373371395058542E-2</v>
      </c>
      <c r="BY81" s="45">
        <f t="shared" si="155"/>
        <v>138.32138755980861</v>
      </c>
      <c r="BZ81" s="46">
        <f t="shared" si="156"/>
        <v>2.9266004155247473E-2</v>
      </c>
      <c r="CA81" s="47">
        <f t="shared" si="157"/>
        <v>147.88511961722489</v>
      </c>
      <c r="CB81" s="44">
        <f t="shared" si="158"/>
        <v>1.7089664625099931E-2</v>
      </c>
      <c r="CC81" s="48">
        <f t="shared" si="159"/>
        <v>86.356411483253595</v>
      </c>
      <c r="CD81" s="46">
        <f t="shared" si="135"/>
        <v>0.59871323153689171</v>
      </c>
      <c r="CE81" s="49">
        <f t="shared" si="136"/>
        <v>0.51899385399510767</v>
      </c>
      <c r="CF81" s="49">
        <f t="shared" si="137"/>
        <v>0.51683715545210385</v>
      </c>
      <c r="CG81" s="47">
        <f t="shared" si="138"/>
        <v>2622.5468899521534</v>
      </c>
      <c r="CH81" s="44">
        <f t="shared" si="102"/>
        <v>0.13837263068250708</v>
      </c>
      <c r="CI81" s="50">
        <f t="shared" si="103"/>
        <v>0.11994815063800866</v>
      </c>
      <c r="CJ81" s="50">
        <f t="shared" si="104"/>
        <v>0.11944970157213697</v>
      </c>
      <c r="CK81" s="45">
        <f t="shared" si="105"/>
        <v>606.11440191387567</v>
      </c>
      <c r="CL81" s="46">
        <f t="shared" si="105"/>
        <v>2.8980663855329793E-2</v>
      </c>
      <c r="CM81" s="49">
        <f t="shared" si="160"/>
        <v>2.5121854058586208E-2</v>
      </c>
      <c r="CN81" s="49">
        <f t="shared" si="161"/>
        <v>2.5017459246145481E-2</v>
      </c>
      <c r="CO81" s="47">
        <f t="shared" si="162"/>
        <v>126.94416267942584</v>
      </c>
      <c r="CP81" s="44">
        <f t="shared" si="106"/>
        <v>4.6862661258519546E-2</v>
      </c>
      <c r="CQ81" s="50">
        <f t="shared" si="107"/>
        <v>4.0622842278921038E-2</v>
      </c>
      <c r="CR81" s="50">
        <f t="shared" si="163"/>
        <v>4.045403252504589E-2</v>
      </c>
      <c r="CS81" s="45">
        <f t="shared" si="108"/>
        <v>205.27277511961722</v>
      </c>
      <c r="CT81" s="46">
        <f t="shared" si="109"/>
        <v>0.78266293008633581</v>
      </c>
      <c r="CU81" s="49">
        <f t="shared" si="110"/>
        <v>0.67845043180673681</v>
      </c>
      <c r="CV81" s="49">
        <f t="shared" si="111"/>
        <v>0.67563110543800531</v>
      </c>
      <c r="CW81" s="47">
        <f t="shared" si="112"/>
        <v>3428.3027751196169</v>
      </c>
      <c r="CX81" s="44">
        <f t="shared" si="113"/>
        <v>1.1736547714466392E-2</v>
      </c>
      <c r="CY81" s="50">
        <f t="shared" si="114"/>
        <v>1.013153479170926E-2</v>
      </c>
      <c r="CZ81" s="48">
        <f t="shared" si="115"/>
        <v>9.2149399656946827</v>
      </c>
      <c r="DA81" s="45">
        <f t="shared" si="116"/>
        <v>51.409665071770341</v>
      </c>
      <c r="DB81" s="51">
        <f t="shared" si="117"/>
        <v>8.8874005519802579E-4</v>
      </c>
      <c r="DC81" s="52">
        <f t="shared" si="118"/>
        <v>4.5096650717703346</v>
      </c>
      <c r="DD81" s="44">
        <f t="shared" si="118"/>
        <v>1.189998041557992E-2</v>
      </c>
      <c r="DE81" s="50">
        <f t="shared" si="119"/>
        <v>1.0272617513623626E-2</v>
      </c>
      <c r="DF81" s="48">
        <f t="shared" si="120"/>
        <v>9.3432590051457982</v>
      </c>
      <c r="DG81" s="45">
        <f t="shared" si="121"/>
        <v>52.12555023923445</v>
      </c>
      <c r="DH81" s="46">
        <f t="shared" si="122"/>
        <v>6.3996977538963665E-3</v>
      </c>
      <c r="DI81" s="49">
        <f t="shared" si="123"/>
        <v>5.5245172624403694E-3</v>
      </c>
      <c r="DJ81" s="47">
        <f t="shared" si="124"/>
        <v>5.0247169811320749</v>
      </c>
      <c r="DK81" s="44">
        <f t="shared" si="125"/>
        <v>6.0835960586387801E-2</v>
      </c>
      <c r="DL81" s="50">
        <f t="shared" si="126"/>
        <v>5.2735580212875874E-2</v>
      </c>
      <c r="DM81" s="50">
        <f t="shared" si="127"/>
        <v>5.2516435519477156E-2</v>
      </c>
      <c r="DN81" s="45">
        <f t="shared" si="128"/>
        <v>266.4800956937799</v>
      </c>
      <c r="DO81" s="46">
        <f t="shared" si="129"/>
        <v>3.8395870808056983E-3</v>
      </c>
      <c r="DP81" s="49">
        <f t="shared" si="130"/>
        <v>3.3145104541287998E-3</v>
      </c>
      <c r="DQ81" s="47">
        <f t="shared" si="131"/>
        <v>16.818564593301435</v>
      </c>
      <c r="DR81" s="53">
        <f t="shared" si="132"/>
        <v>6.1488040636802639E-2</v>
      </c>
      <c r="DS81" s="45">
        <f t="shared" si="133"/>
        <v>312.00401913875595</v>
      </c>
      <c r="DT81" s="46">
        <f t="shared" si="164"/>
        <v>2.1846370954889779E-5</v>
      </c>
      <c r="DU81" s="49">
        <f t="shared" si="165"/>
        <v>1.8937500727318385E-5</v>
      </c>
      <c r="DV81" s="49">
        <f t="shared" si="166"/>
        <v>1.8858805228494371E-5</v>
      </c>
      <c r="DW81" s="47">
        <f t="shared" si="167"/>
        <v>9.569377990430622E-2</v>
      </c>
      <c r="DY81" s="54">
        <f>VLOOKUP(A81,'[3]Barnet Schools'!$E$8:$V$130,17,0)</f>
        <v>20</v>
      </c>
    </row>
    <row r="82" spans="1:256">
      <c r="A82" s="79">
        <v>2055</v>
      </c>
      <c r="B82" s="80">
        <v>10101</v>
      </c>
      <c r="C82" s="573" t="s">
        <v>111</v>
      </c>
      <c r="D82" s="595">
        <f>VLOOKUP(A82,[4]CFR20152016_BenchMarkDataReport!$B$3:$BO$99,18,0)</f>
        <v>1183982.9099999999</v>
      </c>
      <c r="E82" s="595">
        <f>VLOOKUP(A82,[4]CFR20152016_BenchMarkDataReport!$B$3:$BO$99,19,0)</f>
        <v>0</v>
      </c>
      <c r="F82" s="595">
        <f>VLOOKUP(A82,[4]CFR20152016_BenchMarkDataReport!$B$3:$BO$99,20,0)</f>
        <v>40769</v>
      </c>
      <c r="G82" s="595">
        <f>VLOOKUP(A82,[4]CFR20152016_BenchMarkDataReport!$B$3:$BO$99,21,0)</f>
        <v>0</v>
      </c>
      <c r="H82" s="595">
        <f>VLOOKUP(A82,[4]CFR20152016_BenchMarkDataReport!$B$3:$BO$99,22,0)</f>
        <v>98131</v>
      </c>
      <c r="I82" s="595">
        <f>VLOOKUP(A82,[4]CFR20152016_BenchMarkDataReport!$B$3:$BO$99,23,0)</f>
        <v>35496</v>
      </c>
      <c r="J82" s="595">
        <f>VLOOKUP(A82,[4]CFR20152016_BenchMarkDataReport!$B$3:$BO$99,24,0)</f>
        <v>370</v>
      </c>
      <c r="K82" s="595">
        <f>VLOOKUP(A82,[4]CFR20152016_BenchMarkDataReport!$B$3:$BO$99,25,0)</f>
        <v>18802.310000000001</v>
      </c>
      <c r="L82" s="595">
        <f>VLOOKUP(A82,[4]CFR20152016_BenchMarkDataReport!$B$3:$BO$99,26,0)</f>
        <v>21777.79</v>
      </c>
      <c r="M82" s="595">
        <f>VLOOKUP(A82,[4]CFR20152016_BenchMarkDataReport!$B$3:$BO$99,27,0)</f>
        <v>9349.9</v>
      </c>
      <c r="N82" s="595">
        <f>VLOOKUP(A82,[4]CFR20152016_BenchMarkDataReport!$B$3:$BO$99,28,0)</f>
        <v>0</v>
      </c>
      <c r="O82" s="595">
        <f>VLOOKUP(A82,[4]CFR20152016_BenchMarkDataReport!$B$3:$BO$99,29,0)</f>
        <v>10758</v>
      </c>
      <c r="P82" s="595">
        <f>VLOOKUP(A82,[4]CFR20152016_BenchMarkDataReport!$B$3:$BO$99,30,0)</f>
        <v>1055.77</v>
      </c>
      <c r="Q82" s="595">
        <f>VLOOKUP(A82,[4]CFR20152016_BenchMarkDataReport!$B$3:$BO$99,31,0)</f>
        <v>0</v>
      </c>
      <c r="R82" s="595">
        <f>VLOOKUP(A82,[4]CFR20152016_BenchMarkDataReport!$B$3:$BO$99,32,0)</f>
        <v>0</v>
      </c>
      <c r="S82" s="595">
        <f>VLOOKUP(A82,[4]CFR20152016_BenchMarkDataReport!$B$3:$BO$99,33,0)</f>
        <v>0</v>
      </c>
      <c r="T82" s="595">
        <f>VLOOKUP(A82,[4]CFR20152016_BenchMarkDataReport!$B$3:$BO$99,34,0)</f>
        <v>27218.98</v>
      </c>
      <c r="U82" s="595">
        <f>VLOOKUP(A82,[4]CFR20152016_BenchMarkDataReport!$B$3:$BO$99,35,0)</f>
        <v>578497.39</v>
      </c>
      <c r="V82" s="595">
        <f>VLOOKUP(A82,[4]CFR20152016_BenchMarkDataReport!$B$3:$BO$99,36,0)</f>
        <v>0</v>
      </c>
      <c r="W82" s="595">
        <f>VLOOKUP(A82,[4]CFR20152016_BenchMarkDataReport!$B$3:$BO$99,37,0)</f>
        <v>279297.89</v>
      </c>
      <c r="X82" s="595">
        <f>VLOOKUP(A82,[4]CFR20152016_BenchMarkDataReport!$B$3:$BO$99,38,0)</f>
        <v>43100.89</v>
      </c>
      <c r="Y82" s="595">
        <f>VLOOKUP(A82,[4]CFR20152016_BenchMarkDataReport!$B$3:$BO$99,39,0)</f>
        <v>42215.33</v>
      </c>
      <c r="Z82" s="595">
        <f>VLOOKUP(A82,[4]CFR20152016_BenchMarkDataReport!$B$3:$BO$99,40,0)</f>
        <v>0</v>
      </c>
      <c r="AA82" s="595">
        <f>VLOOKUP(A82,[4]CFR20152016_BenchMarkDataReport!$B$3:$BO$99,41,0)</f>
        <v>33062.769999999997</v>
      </c>
      <c r="AB82" s="595">
        <f>VLOOKUP(A82,[4]CFR20152016_BenchMarkDataReport!$B$3:$BO$99,42,0)</f>
        <v>10098.98</v>
      </c>
      <c r="AC82" s="595">
        <f>VLOOKUP(A82,[4]CFR20152016_BenchMarkDataReport!$B$3:$BO$99,43,0)</f>
        <v>10790.57</v>
      </c>
      <c r="AD82" s="595">
        <f>VLOOKUP(A82,[4]CFR20152016_BenchMarkDataReport!$B$3:$BO$99,44,0)</f>
        <v>11695.31</v>
      </c>
      <c r="AE82" s="595">
        <f>VLOOKUP(A82,[4]CFR20152016_BenchMarkDataReport!$B$3:$BO$99,45,0)</f>
        <v>949.2</v>
      </c>
      <c r="AF82" s="595">
        <f>VLOOKUP(A82,[4]CFR20152016_BenchMarkDataReport!$B$3:$BO$99,46,0)</f>
        <v>24243.08</v>
      </c>
      <c r="AG82" s="595">
        <f>VLOOKUP(A82,[4]CFR20152016_BenchMarkDataReport!$B$3:$BO$99,47,0)</f>
        <v>6712.03</v>
      </c>
      <c r="AH82" s="595">
        <f>VLOOKUP(A82,[4]CFR20152016_BenchMarkDataReport!$B$3:$BO$99,48,0)</f>
        <v>17808.98</v>
      </c>
      <c r="AI82" s="595">
        <f>VLOOKUP(A82,[4]CFR20152016_BenchMarkDataReport!$B$3:$BO$99,49,0)</f>
        <v>4013.06</v>
      </c>
      <c r="AJ82" s="595">
        <f>VLOOKUP(A82,[4]CFR20152016_BenchMarkDataReport!$B$3:$BO$99,50,0)</f>
        <v>20943.77</v>
      </c>
      <c r="AK82" s="595">
        <f>VLOOKUP(A82,[4]CFR20152016_BenchMarkDataReport!$B$3:$BO$99,51,0)</f>
        <v>16515</v>
      </c>
      <c r="AL82" s="595">
        <f>VLOOKUP(A82,[4]CFR20152016_BenchMarkDataReport!$B$3:$BO$99,52,0)</f>
        <v>9735.4699999999993</v>
      </c>
      <c r="AM82" s="595">
        <f>VLOOKUP(A82,[4]CFR20152016_BenchMarkDataReport!$B$3:$BO$99,53,0)</f>
        <v>52509.68</v>
      </c>
      <c r="AN82" s="595">
        <f>VLOOKUP(A82,[4]CFR20152016_BenchMarkDataReport!$B$3:$BO$99,54,0)</f>
        <v>14248.29</v>
      </c>
      <c r="AO82" s="595">
        <f>VLOOKUP(A82,[4]CFR20152016_BenchMarkDataReport!$B$3:$BO$99,55,0)</f>
        <v>0</v>
      </c>
      <c r="AP82" s="595">
        <f>VLOOKUP(A82,[4]CFR20152016_BenchMarkDataReport!$B$3:$BO$99,56,0)</f>
        <v>15342.64</v>
      </c>
      <c r="AQ82" s="595">
        <f>VLOOKUP(A82,[4]CFR20152016_BenchMarkDataReport!$B$3:$BO$99,57,0)</f>
        <v>6056.36</v>
      </c>
      <c r="AR82" s="595">
        <f>VLOOKUP(A82,[4]CFR20152016_BenchMarkDataReport!$B$3:$BO$99,58,0)</f>
        <v>3229.58</v>
      </c>
      <c r="AS82" s="595">
        <f>VLOOKUP(A82,[4]CFR20152016_BenchMarkDataReport!$B$3:$BO$99,59,0)</f>
        <v>64230.96</v>
      </c>
      <c r="AT82" s="595">
        <f>VLOOKUP(A82,[4]CFR20152016_BenchMarkDataReport!$B$3:$BO$99,60,0)</f>
        <v>135135.97</v>
      </c>
      <c r="AU82" s="595">
        <f>VLOOKUP(A82,[4]CFR20152016_BenchMarkDataReport!$B$3:$BO$99,61,0)</f>
        <v>59388.72</v>
      </c>
      <c r="AV82" s="595">
        <f>VLOOKUP(A82,[4]CFR20152016_BenchMarkDataReport!$B$3:$BO$99,62,0)</f>
        <v>50141.74</v>
      </c>
      <c r="AW82" s="595">
        <f>VLOOKUP(A82,[4]CFR20152016_BenchMarkDataReport!$B$3:$BO$99,63,0)</f>
        <v>0</v>
      </c>
      <c r="AX82" s="595">
        <f>VLOOKUP(A82,[4]CFR20152016_BenchMarkDataReport!$B$3:$BO$99,64,0)</f>
        <v>0</v>
      </c>
      <c r="AY82" s="595">
        <f>VLOOKUP(A82,[4]CFR20152016_BenchMarkDataReport!$B$3:$BO$99,65,0)</f>
        <v>0</v>
      </c>
      <c r="AZ82" s="595">
        <f>VLOOKUP(A82,[4]CFR20152016_BenchMarkDataReport!$B$3:$BO$99,66,0)</f>
        <v>0</v>
      </c>
      <c r="BA82" s="596">
        <f t="shared" si="134"/>
        <v>1447711.66</v>
      </c>
      <c r="BB82" s="595">
        <f t="shared" si="139"/>
        <v>1509963.66</v>
      </c>
      <c r="BC82" s="601">
        <f t="shared" si="100"/>
        <v>-62252</v>
      </c>
      <c r="BD82" s="595">
        <f>VLOOKUP(A82,[4]CFR20152016_BenchMarkDataReport!$B$3:$BO$99,15,0)</f>
        <v>82816</v>
      </c>
      <c r="BE82" s="601">
        <f t="shared" si="101"/>
        <v>20564</v>
      </c>
      <c r="BF82" s="76">
        <f>VLOOKUP(A82,'OCT 15 CENSUS'!$B$9:$U$132,20,0)</f>
        <v>231</v>
      </c>
      <c r="BG82" s="73">
        <f>VLOOKUP(A82,'[2]BUDGET SHARE inc ADJUSTMENTS'!$D$4:$M$139,10,0)</f>
        <v>1353132.8065556374</v>
      </c>
      <c r="BH82" s="76">
        <f>VLOOKUP(A82,'12-13 Pupil Data'!A:CI,81,0)</f>
        <v>2192</v>
      </c>
      <c r="BI82" t="s">
        <v>210</v>
      </c>
      <c r="BJ82" s="44">
        <f t="shared" si="140"/>
        <v>0.81783060999867885</v>
      </c>
      <c r="BK82" s="45">
        <f t="shared" si="141"/>
        <v>5125.4671428571428</v>
      </c>
      <c r="BL82" s="44">
        <f t="shared" si="142"/>
        <v>0</v>
      </c>
      <c r="BM82" s="45">
        <f t="shared" si="143"/>
        <v>0</v>
      </c>
      <c r="BN82" s="44">
        <f t="shared" si="144"/>
        <v>2.8160994434485664E-2</v>
      </c>
      <c r="BO82" s="45">
        <f t="shared" si="145"/>
        <v>176.48917748917748</v>
      </c>
      <c r="BP82" s="44">
        <f t="shared" si="146"/>
        <v>0</v>
      </c>
      <c r="BQ82" s="45">
        <f t="shared" si="147"/>
        <v>0</v>
      </c>
      <c r="BR82" s="44">
        <f t="shared" si="148"/>
        <v>6.7783525346476803E-2</v>
      </c>
      <c r="BS82" s="45">
        <f t="shared" si="149"/>
        <v>424.8095238095238</v>
      </c>
      <c r="BT82" s="44">
        <f t="shared" si="150"/>
        <v>2.4518694558279652E-2</v>
      </c>
      <c r="BU82" s="45">
        <f t="shared" si="151"/>
        <v>153.66233766233765</v>
      </c>
      <c r="BV82" s="44">
        <f t="shared" si="152"/>
        <v>2.5557575463611311E-4</v>
      </c>
      <c r="BW82" s="45">
        <f t="shared" si="153"/>
        <v>1.6017316017316017</v>
      </c>
      <c r="BX82" s="44">
        <f t="shared" si="154"/>
        <v>1.2987606938249017E-2</v>
      </c>
      <c r="BY82" s="45">
        <f t="shared" si="155"/>
        <v>81.395281385281393</v>
      </c>
      <c r="BZ82" s="46">
        <f t="shared" si="156"/>
        <v>7.4310377523656894E-3</v>
      </c>
      <c r="CA82" s="47">
        <f t="shared" si="157"/>
        <v>46.571428571428569</v>
      </c>
      <c r="CB82" s="44">
        <f t="shared" si="158"/>
        <v>7.2926814722207875E-4</v>
      </c>
      <c r="CC82" s="48">
        <f t="shared" si="159"/>
        <v>4.5704329004329001</v>
      </c>
      <c r="CD82" s="46">
        <f t="shared" si="135"/>
        <v>0.52739343584206955</v>
      </c>
      <c r="CE82" s="49">
        <f t="shared" si="136"/>
        <v>0.49293887706893236</v>
      </c>
      <c r="CF82" s="49">
        <f t="shared" si="137"/>
        <v>0.472616248261233</v>
      </c>
      <c r="CG82" s="47">
        <f t="shared" si="138"/>
        <v>3089.3219047619045</v>
      </c>
      <c r="CH82" s="44">
        <f t="shared" si="102"/>
        <v>0.20640833526972505</v>
      </c>
      <c r="CI82" s="50">
        <f t="shared" si="103"/>
        <v>0.1929237000135787</v>
      </c>
      <c r="CJ82" s="50">
        <f t="shared" si="104"/>
        <v>0.18496994159448846</v>
      </c>
      <c r="CK82" s="45">
        <f t="shared" si="105"/>
        <v>1209.081774891775</v>
      </c>
      <c r="CL82" s="46">
        <f t="shared" si="105"/>
        <v>3.1852667965173456E-2</v>
      </c>
      <c r="CM82" s="49">
        <f t="shared" si="160"/>
        <v>2.9771736451994869E-2</v>
      </c>
      <c r="CN82" s="49">
        <f t="shared" si="161"/>
        <v>2.8544322715687079E-2</v>
      </c>
      <c r="CO82" s="47">
        <f t="shared" si="162"/>
        <v>186.5839393939394</v>
      </c>
      <c r="CP82" s="44">
        <f t="shared" si="106"/>
        <v>3.1198216313635889E-2</v>
      </c>
      <c r="CQ82" s="50">
        <f t="shared" si="107"/>
        <v>2.9160040059358232E-2</v>
      </c>
      <c r="CR82" s="50">
        <f t="shared" si="163"/>
        <v>2.7957845025223988E-2</v>
      </c>
      <c r="CS82" s="45">
        <f t="shared" si="108"/>
        <v>182.75034632034632</v>
      </c>
      <c r="CT82" s="46">
        <f t="shared" si="109"/>
        <v>0.72141793124122455</v>
      </c>
      <c r="CU82" s="49">
        <f t="shared" si="110"/>
        <v>0.67428777219353198</v>
      </c>
      <c r="CV82" s="49">
        <f t="shared" si="111"/>
        <v>0.64648858502992057</v>
      </c>
      <c r="CW82" s="47">
        <f t="shared" si="112"/>
        <v>4225.8626406926405</v>
      </c>
      <c r="CX82" s="44">
        <f t="shared" si="113"/>
        <v>1.7916260608380415E-2</v>
      </c>
      <c r="CY82" s="50">
        <f t="shared" si="114"/>
        <v>1.6055406260571864E-2</v>
      </c>
      <c r="CZ82" s="48">
        <f t="shared" si="115"/>
        <v>11.059799270072993</v>
      </c>
      <c r="DA82" s="45">
        <f t="shared" si="116"/>
        <v>104.94839826839828</v>
      </c>
      <c r="DB82" s="51">
        <f t="shared" si="117"/>
        <v>2.6577195904171629E-3</v>
      </c>
      <c r="DC82" s="52">
        <f t="shared" si="118"/>
        <v>17.372554112554113</v>
      </c>
      <c r="DD82" s="44">
        <f t="shared" si="118"/>
        <v>1.5477985529973067E-2</v>
      </c>
      <c r="DE82" s="50">
        <f t="shared" si="119"/>
        <v>1.3870380165308085E-2</v>
      </c>
      <c r="DF82" s="48">
        <f t="shared" si="120"/>
        <v>9.5546395985401453</v>
      </c>
      <c r="DG82" s="45">
        <f t="shared" si="121"/>
        <v>90.665670995670993</v>
      </c>
      <c r="DH82" s="46">
        <f t="shared" si="122"/>
        <v>7.1947631103419715E-3</v>
      </c>
      <c r="DI82" s="49">
        <f t="shared" si="123"/>
        <v>6.4474862924846811E-3</v>
      </c>
      <c r="DJ82" s="47">
        <f t="shared" si="124"/>
        <v>4.4413640510948902</v>
      </c>
      <c r="DK82" s="44">
        <f t="shared" si="125"/>
        <v>3.880600614041866E-2</v>
      </c>
      <c r="DL82" s="50">
        <f t="shared" si="126"/>
        <v>3.6270813761353556E-2</v>
      </c>
      <c r="DM82" s="50">
        <f t="shared" si="127"/>
        <v>3.4775459430593188E-2</v>
      </c>
      <c r="DN82" s="45">
        <f t="shared" si="128"/>
        <v>227.31463203463204</v>
      </c>
      <c r="DO82" s="46">
        <f t="shared" si="129"/>
        <v>1.1338606177951054E-2</v>
      </c>
      <c r="DP82" s="49">
        <f t="shared" si="130"/>
        <v>1.0160933277029991E-2</v>
      </c>
      <c r="DQ82" s="47">
        <f t="shared" si="131"/>
        <v>66.418354978354969</v>
      </c>
      <c r="DR82" s="53">
        <f t="shared" si="132"/>
        <v>4.253808333374063E-2</v>
      </c>
      <c r="DS82" s="45">
        <f t="shared" si="133"/>
        <v>278.05610389610388</v>
      </c>
      <c r="DT82" s="46">
        <f t="shared" si="164"/>
        <v>5.3948880439769626E-5</v>
      </c>
      <c r="DU82" s="49">
        <f t="shared" si="165"/>
        <v>5.0424405644422319E-5</v>
      </c>
      <c r="DV82" s="49">
        <f t="shared" si="166"/>
        <v>4.8345534355442705E-5</v>
      </c>
      <c r="DW82" s="47">
        <f t="shared" si="167"/>
        <v>0.31601731601731603</v>
      </c>
      <c r="DY82" s="54">
        <f>VLOOKUP(A82,'[3]Barnet Schools'!$E$8:$V$130,17,0)</f>
        <v>73</v>
      </c>
    </row>
    <row r="83" spans="1:256">
      <c r="A83" s="79">
        <v>2057</v>
      </c>
      <c r="B83" s="80">
        <v>10103</v>
      </c>
      <c r="C83" s="573" t="s">
        <v>112</v>
      </c>
      <c r="D83" s="595">
        <f>VLOOKUP(A83,[4]CFR20152016_BenchMarkDataReport!$B$3:$BO$99,18,0)</f>
        <v>2495799.16</v>
      </c>
      <c r="E83" s="595">
        <f>VLOOKUP(A83,[4]CFR20152016_BenchMarkDataReport!$B$3:$BO$99,19,0)</f>
        <v>0</v>
      </c>
      <c r="F83" s="595">
        <f>VLOOKUP(A83,[4]CFR20152016_BenchMarkDataReport!$B$3:$BO$99,20,0)</f>
        <v>109968</v>
      </c>
      <c r="G83" s="595">
        <f>VLOOKUP(A83,[4]CFR20152016_BenchMarkDataReport!$B$3:$BO$99,21,0)</f>
        <v>0</v>
      </c>
      <c r="H83" s="595">
        <f>VLOOKUP(A83,[4]CFR20152016_BenchMarkDataReport!$B$3:$BO$99,22,0)</f>
        <v>295187.99</v>
      </c>
      <c r="I83" s="595">
        <f>VLOOKUP(A83,[4]CFR20152016_BenchMarkDataReport!$B$3:$BO$99,23,0)</f>
        <v>1985</v>
      </c>
      <c r="J83" s="595">
        <f>VLOOKUP(A83,[4]CFR20152016_BenchMarkDataReport!$B$3:$BO$99,24,0)</f>
        <v>4010</v>
      </c>
      <c r="K83" s="595">
        <f>VLOOKUP(A83,[4]CFR20152016_BenchMarkDataReport!$B$3:$BO$99,25,0)</f>
        <v>148299.46</v>
      </c>
      <c r="L83" s="595">
        <f>VLOOKUP(A83,[4]CFR20152016_BenchMarkDataReport!$B$3:$BO$99,26,0)</f>
        <v>36335.5</v>
      </c>
      <c r="M83" s="595">
        <f>VLOOKUP(A83,[4]CFR20152016_BenchMarkDataReport!$B$3:$BO$99,27,0)</f>
        <v>7387.2</v>
      </c>
      <c r="N83" s="595">
        <f>VLOOKUP(A83,[4]CFR20152016_BenchMarkDataReport!$B$3:$BO$99,28,0)</f>
        <v>18408.78</v>
      </c>
      <c r="O83" s="595">
        <f>VLOOKUP(A83,[4]CFR20152016_BenchMarkDataReport!$B$3:$BO$99,29,0)</f>
        <v>32873</v>
      </c>
      <c r="P83" s="595">
        <f>VLOOKUP(A83,[4]CFR20152016_BenchMarkDataReport!$B$3:$BO$99,30,0)</f>
        <v>9280.8799999999992</v>
      </c>
      <c r="Q83" s="595">
        <f>VLOOKUP(A83,[4]CFR20152016_BenchMarkDataReport!$B$3:$BO$99,31,0)</f>
        <v>0</v>
      </c>
      <c r="R83" s="595">
        <f>VLOOKUP(A83,[4]CFR20152016_BenchMarkDataReport!$B$3:$BO$99,32,0)</f>
        <v>368340.79</v>
      </c>
      <c r="S83" s="595">
        <f>VLOOKUP(A83,[4]CFR20152016_BenchMarkDataReport!$B$3:$BO$99,33,0)</f>
        <v>23875.9</v>
      </c>
      <c r="T83" s="595">
        <f>VLOOKUP(A83,[4]CFR20152016_BenchMarkDataReport!$B$3:$BO$99,34,0)</f>
        <v>68509.48</v>
      </c>
      <c r="U83" s="595">
        <f>VLOOKUP(A83,[4]CFR20152016_BenchMarkDataReport!$B$3:$BO$99,35,0)</f>
        <v>1245587.76</v>
      </c>
      <c r="V83" s="595">
        <f>VLOOKUP(A83,[4]CFR20152016_BenchMarkDataReport!$B$3:$BO$99,36,0)</f>
        <v>0</v>
      </c>
      <c r="W83" s="595">
        <f>VLOOKUP(A83,[4]CFR20152016_BenchMarkDataReport!$B$3:$BO$99,37,0)</f>
        <v>781086.79</v>
      </c>
      <c r="X83" s="595">
        <f>VLOOKUP(A83,[4]CFR20152016_BenchMarkDataReport!$B$3:$BO$99,38,0)</f>
        <v>105381.79</v>
      </c>
      <c r="Y83" s="595">
        <f>VLOOKUP(A83,[4]CFR20152016_BenchMarkDataReport!$B$3:$BO$99,39,0)</f>
        <v>115428.03</v>
      </c>
      <c r="Z83" s="595">
        <f>VLOOKUP(A83,[4]CFR20152016_BenchMarkDataReport!$B$3:$BO$99,40,0)</f>
        <v>0</v>
      </c>
      <c r="AA83" s="595">
        <f>VLOOKUP(A83,[4]CFR20152016_BenchMarkDataReport!$B$3:$BO$99,41,0)</f>
        <v>125688.2</v>
      </c>
      <c r="AB83" s="595">
        <f>VLOOKUP(A83,[4]CFR20152016_BenchMarkDataReport!$B$3:$BO$99,42,0)</f>
        <v>29231.31</v>
      </c>
      <c r="AC83" s="595">
        <f>VLOOKUP(A83,[4]CFR20152016_BenchMarkDataReport!$B$3:$BO$99,43,0)</f>
        <v>15490.15</v>
      </c>
      <c r="AD83" s="595">
        <f>VLOOKUP(A83,[4]CFR20152016_BenchMarkDataReport!$B$3:$BO$99,44,0)</f>
        <v>12024.07</v>
      </c>
      <c r="AE83" s="595">
        <f>VLOOKUP(A83,[4]CFR20152016_BenchMarkDataReport!$B$3:$BO$99,45,0)</f>
        <v>17669.77</v>
      </c>
      <c r="AF83" s="595">
        <f>VLOOKUP(A83,[4]CFR20152016_BenchMarkDataReport!$B$3:$BO$99,46,0)</f>
        <v>24587.75</v>
      </c>
      <c r="AG83" s="595">
        <f>VLOOKUP(A83,[4]CFR20152016_BenchMarkDataReport!$B$3:$BO$99,47,0)</f>
        <v>11472.23</v>
      </c>
      <c r="AH83" s="595">
        <f>VLOOKUP(A83,[4]CFR20152016_BenchMarkDataReport!$B$3:$BO$99,48,0)</f>
        <v>9530.74</v>
      </c>
      <c r="AI83" s="595">
        <f>VLOOKUP(A83,[4]CFR20152016_BenchMarkDataReport!$B$3:$BO$99,49,0)</f>
        <v>3752.3</v>
      </c>
      <c r="AJ83" s="595">
        <f>VLOOKUP(A83,[4]CFR20152016_BenchMarkDataReport!$B$3:$BO$99,50,0)</f>
        <v>46928.35</v>
      </c>
      <c r="AK83" s="595">
        <f>VLOOKUP(A83,[4]CFR20152016_BenchMarkDataReport!$B$3:$BO$99,51,0)</f>
        <v>46939.5</v>
      </c>
      <c r="AL83" s="595">
        <f>VLOOKUP(A83,[4]CFR20152016_BenchMarkDataReport!$B$3:$BO$99,52,0)</f>
        <v>10410.91</v>
      </c>
      <c r="AM83" s="595">
        <f>VLOOKUP(A83,[4]CFR20152016_BenchMarkDataReport!$B$3:$BO$99,53,0)</f>
        <v>59628.76</v>
      </c>
      <c r="AN83" s="595">
        <f>VLOOKUP(A83,[4]CFR20152016_BenchMarkDataReport!$B$3:$BO$99,54,0)</f>
        <v>14173.91</v>
      </c>
      <c r="AO83" s="595">
        <f>VLOOKUP(A83,[4]CFR20152016_BenchMarkDataReport!$B$3:$BO$99,55,0)</f>
        <v>0</v>
      </c>
      <c r="AP83" s="595">
        <f>VLOOKUP(A83,[4]CFR20152016_BenchMarkDataReport!$B$3:$BO$99,56,0)</f>
        <v>22120.38</v>
      </c>
      <c r="AQ83" s="595">
        <f>VLOOKUP(A83,[4]CFR20152016_BenchMarkDataReport!$B$3:$BO$99,57,0)</f>
        <v>6312.52</v>
      </c>
      <c r="AR83" s="595">
        <f>VLOOKUP(A83,[4]CFR20152016_BenchMarkDataReport!$B$3:$BO$99,58,0)</f>
        <v>18882.09</v>
      </c>
      <c r="AS83" s="595">
        <f>VLOOKUP(A83,[4]CFR20152016_BenchMarkDataReport!$B$3:$BO$99,59,0)</f>
        <v>124854.68</v>
      </c>
      <c r="AT83" s="595">
        <f>VLOOKUP(A83,[4]CFR20152016_BenchMarkDataReport!$B$3:$BO$99,60,0)</f>
        <v>169927.91</v>
      </c>
      <c r="AU83" s="595">
        <f>VLOOKUP(A83,[4]CFR20152016_BenchMarkDataReport!$B$3:$BO$99,61,0)</f>
        <v>140174.24</v>
      </c>
      <c r="AV83" s="595">
        <f>VLOOKUP(A83,[4]CFR20152016_BenchMarkDataReport!$B$3:$BO$99,62,0)</f>
        <v>26977.15</v>
      </c>
      <c r="AW83" s="595">
        <f>VLOOKUP(A83,[4]CFR20152016_BenchMarkDataReport!$B$3:$BO$99,63,0)</f>
        <v>0</v>
      </c>
      <c r="AX83" s="595">
        <f>VLOOKUP(A83,[4]CFR20152016_BenchMarkDataReport!$B$3:$BO$99,64,0)</f>
        <v>25852</v>
      </c>
      <c r="AY83" s="595">
        <f>VLOOKUP(A83,[4]CFR20152016_BenchMarkDataReport!$B$3:$BO$99,65,0)</f>
        <v>319910.34999999998</v>
      </c>
      <c r="AZ83" s="595">
        <f>VLOOKUP(A83,[4]CFR20152016_BenchMarkDataReport!$B$3:$BO$99,66,0)</f>
        <v>63513.5</v>
      </c>
      <c r="BA83" s="596">
        <f t="shared" si="134"/>
        <v>3228044.45</v>
      </c>
      <c r="BB83" s="595">
        <f t="shared" si="139"/>
        <v>3210113.2899999996</v>
      </c>
      <c r="BC83" s="601">
        <f t="shared" si="100"/>
        <v>17931.160000000615</v>
      </c>
      <c r="BD83" s="595">
        <f>VLOOKUP(A83,[4]CFR20152016_BenchMarkDataReport!$B$3:$BO$99,15,0)</f>
        <v>99848</v>
      </c>
      <c r="BE83" s="601">
        <f t="shared" si="101"/>
        <v>117779.16000000061</v>
      </c>
      <c r="BF83" s="76">
        <f>VLOOKUP(A83,'OCT 15 CENSUS'!$B$9:$U$132,20,0)</f>
        <v>546</v>
      </c>
      <c r="BG83" s="73">
        <f>VLOOKUP(A83,'[2]BUDGET SHARE inc ADJUSTMENTS'!$D$4:$M$139,10,0)</f>
        <v>2973778.5598042407</v>
      </c>
      <c r="BH83" s="76">
        <f>VLOOKUP(A83,'12-13 Pupil Data'!A:CI,81,0)</f>
        <v>1250.33</v>
      </c>
      <c r="BI83" t="s">
        <v>210</v>
      </c>
      <c r="BJ83" s="44">
        <f t="shared" si="140"/>
        <v>0.77316133611481097</v>
      </c>
      <c r="BK83" s="45">
        <f t="shared" si="141"/>
        <v>4571.060732600733</v>
      </c>
      <c r="BL83" s="44">
        <f t="shared" si="142"/>
        <v>0</v>
      </c>
      <c r="BM83" s="45">
        <f t="shared" si="143"/>
        <v>0</v>
      </c>
      <c r="BN83" s="44">
        <f t="shared" si="144"/>
        <v>3.4066445398544622E-2</v>
      </c>
      <c r="BO83" s="45">
        <f t="shared" si="145"/>
        <v>201.4065934065934</v>
      </c>
      <c r="BP83" s="44">
        <f t="shared" si="146"/>
        <v>0</v>
      </c>
      <c r="BQ83" s="45">
        <f t="shared" si="147"/>
        <v>0</v>
      </c>
      <c r="BR83" s="44">
        <f t="shared" si="148"/>
        <v>9.1444834348548068E-2</v>
      </c>
      <c r="BS83" s="45">
        <f t="shared" si="149"/>
        <v>540.63734432234435</v>
      </c>
      <c r="BT83" s="44">
        <f t="shared" si="150"/>
        <v>6.1492337876574161E-4</v>
      </c>
      <c r="BU83" s="45">
        <f t="shared" si="151"/>
        <v>3.6355311355311355</v>
      </c>
      <c r="BV83" s="44">
        <f t="shared" si="152"/>
        <v>1.2422381606300372E-3</v>
      </c>
      <c r="BW83" s="45">
        <f t="shared" si="153"/>
        <v>7.344322344322344</v>
      </c>
      <c r="BX83" s="44">
        <f t="shared" si="154"/>
        <v>4.5940959703947071E-2</v>
      </c>
      <c r="BY83" s="45">
        <f t="shared" si="155"/>
        <v>271.6107326007326</v>
      </c>
      <c r="BZ83" s="46">
        <f t="shared" si="156"/>
        <v>1.018356485146913E-2</v>
      </c>
      <c r="CA83" s="47">
        <f t="shared" si="157"/>
        <v>60.206959706959708</v>
      </c>
      <c r="CB83" s="44">
        <f t="shared" si="158"/>
        <v>2.8750781297326926E-3</v>
      </c>
      <c r="CC83" s="48">
        <f t="shared" si="159"/>
        <v>16.997948717948717</v>
      </c>
      <c r="CD83" s="46">
        <f t="shared" si="135"/>
        <v>0.4759990165821833</v>
      </c>
      <c r="CE83" s="49">
        <f t="shared" si="136"/>
        <v>0.43850563148224303</v>
      </c>
      <c r="CF83" s="49">
        <f t="shared" si="137"/>
        <v>0.44095505115335043</v>
      </c>
      <c r="CG83" s="47">
        <f t="shared" si="138"/>
        <v>2592.5195421245421</v>
      </c>
      <c r="CH83" s="44">
        <f t="shared" si="102"/>
        <v>0.26265802052571724</v>
      </c>
      <c r="CI83" s="50">
        <f t="shared" si="103"/>
        <v>0.24196903174613968</v>
      </c>
      <c r="CJ83" s="50">
        <f t="shared" si="104"/>
        <v>0.24332063059369477</v>
      </c>
      <c r="CK83" s="45">
        <f t="shared" si="105"/>
        <v>1430.5618864468865</v>
      </c>
      <c r="CL83" s="46">
        <f t="shared" si="105"/>
        <v>3.5436999722984454E-2</v>
      </c>
      <c r="CM83" s="49">
        <f t="shared" si="160"/>
        <v>3.2645705978429133E-2</v>
      </c>
      <c r="CN83" s="49">
        <f t="shared" si="161"/>
        <v>3.2828059473253048E-2</v>
      </c>
      <c r="CO83" s="47">
        <f t="shared" si="162"/>
        <v>193.00694139194138</v>
      </c>
      <c r="CP83" s="44">
        <f t="shared" si="106"/>
        <v>3.8815274129758486E-2</v>
      </c>
      <c r="CQ83" s="50">
        <f t="shared" si="107"/>
        <v>3.575788121504956E-2</v>
      </c>
      <c r="CR83" s="50">
        <f t="shared" si="163"/>
        <v>3.5957618804163767E-2</v>
      </c>
      <c r="CS83" s="45">
        <f t="shared" si="108"/>
        <v>211.40664835164836</v>
      </c>
      <c r="CT83" s="46">
        <f t="shared" si="109"/>
        <v>0.79803271234702233</v>
      </c>
      <c r="CU83" s="49">
        <f t="shared" si="110"/>
        <v>0.73517344843253307</v>
      </c>
      <c r="CV83" s="49">
        <f t="shared" si="111"/>
        <v>0.73928000528604398</v>
      </c>
      <c r="CW83" s="47">
        <f t="shared" si="112"/>
        <v>4346.4699084249078</v>
      </c>
      <c r="CX83" s="44">
        <f t="shared" si="113"/>
        <v>8.268184569068443E-3</v>
      </c>
      <c r="CY83" s="50">
        <f t="shared" si="114"/>
        <v>7.6594648782629116E-3</v>
      </c>
      <c r="CZ83" s="48">
        <f t="shared" si="115"/>
        <v>19.665008437772428</v>
      </c>
      <c r="DA83" s="45">
        <f t="shared" si="116"/>
        <v>45.032509157509161</v>
      </c>
      <c r="DB83" s="51">
        <f t="shared" si="117"/>
        <v>1.1688995561898068E-3</v>
      </c>
      <c r="DC83" s="52">
        <f t="shared" si="118"/>
        <v>6.8723443223443228</v>
      </c>
      <c r="DD83" s="44">
        <f t="shared" si="118"/>
        <v>1.5780714352547225E-2</v>
      </c>
      <c r="DE83" s="50">
        <f t="shared" si="119"/>
        <v>1.4618907733315544E-2</v>
      </c>
      <c r="DF83" s="48">
        <f t="shared" si="120"/>
        <v>37.53277134836403</v>
      </c>
      <c r="DG83" s="45">
        <f t="shared" si="121"/>
        <v>85.949358974358972</v>
      </c>
      <c r="DH83" s="46">
        <f t="shared" si="122"/>
        <v>3.5009029053882663E-3</v>
      </c>
      <c r="DI83" s="49">
        <f t="shared" si="123"/>
        <v>3.2431596830029639E-3</v>
      </c>
      <c r="DJ83" s="47">
        <f t="shared" si="124"/>
        <v>8.3265297961338209</v>
      </c>
      <c r="DK83" s="44">
        <f t="shared" si="125"/>
        <v>2.0051513184601504E-2</v>
      </c>
      <c r="DL83" s="50">
        <f t="shared" si="126"/>
        <v>1.8472100035673299E-2</v>
      </c>
      <c r="DM83" s="50">
        <f t="shared" si="127"/>
        <v>1.8575282120339126E-2</v>
      </c>
      <c r="DN83" s="45">
        <f t="shared" si="128"/>
        <v>109.21018315018316</v>
      </c>
      <c r="DO83" s="46">
        <f t="shared" si="129"/>
        <v>7.4384758498817587E-3</v>
      </c>
      <c r="DP83" s="49">
        <f t="shared" si="130"/>
        <v>6.8908409148388666E-3</v>
      </c>
      <c r="DQ83" s="47">
        <f t="shared" si="131"/>
        <v>40.513516483516483</v>
      </c>
      <c r="DR83" s="53">
        <f t="shared" si="132"/>
        <v>3.8894166255422094E-2</v>
      </c>
      <c r="DS83" s="45">
        <f t="shared" si="133"/>
        <v>228.67157509157508</v>
      </c>
      <c r="DT83" s="46">
        <f t="shared" si="164"/>
        <v>7.1962318544016698E-5</v>
      </c>
      <c r="DU83" s="49">
        <f t="shared" si="165"/>
        <v>6.6294006577263825E-5</v>
      </c>
      <c r="DV83" s="49">
        <f t="shared" si="166"/>
        <v>6.6664313894043296E-5</v>
      </c>
      <c r="DW83" s="47">
        <f t="shared" si="167"/>
        <v>0.39194139194139194</v>
      </c>
      <c r="DY83" s="54">
        <f>VLOOKUP(A83,'[3]Barnet Schools'!$E$8:$V$130,17,0)</f>
        <v>214</v>
      </c>
    </row>
    <row r="84" spans="1:256">
      <c r="A84" s="79">
        <v>2076</v>
      </c>
      <c r="B84" s="80">
        <v>10124</v>
      </c>
      <c r="C84" s="573" t="s">
        <v>114</v>
      </c>
      <c r="D84" s="595">
        <f>VLOOKUP(A84,[4]CFR20152016_BenchMarkDataReport!$B$3:$BO$99,18,0)</f>
        <v>2159414</v>
      </c>
      <c r="E84" s="595">
        <f>VLOOKUP(A84,[4]CFR20152016_BenchMarkDataReport!$B$3:$BO$99,19,0)</f>
        <v>0</v>
      </c>
      <c r="F84" s="595">
        <f>VLOOKUP(A84,[4]CFR20152016_BenchMarkDataReport!$B$3:$BO$99,20,0)</f>
        <v>43747</v>
      </c>
      <c r="G84" s="595">
        <f>VLOOKUP(A84,[4]CFR20152016_BenchMarkDataReport!$B$3:$BO$99,21,0)</f>
        <v>0</v>
      </c>
      <c r="H84" s="595">
        <f>VLOOKUP(A84,[4]CFR20152016_BenchMarkDataReport!$B$3:$BO$99,22,0)</f>
        <v>231090.01</v>
      </c>
      <c r="I84" s="595">
        <f>VLOOKUP(A84,[4]CFR20152016_BenchMarkDataReport!$B$3:$BO$99,23,0)</f>
        <v>1685</v>
      </c>
      <c r="J84" s="595">
        <f>VLOOKUP(A84,[4]CFR20152016_BenchMarkDataReport!$B$3:$BO$99,24,0)</f>
        <v>6850</v>
      </c>
      <c r="K84" s="595">
        <f>VLOOKUP(A84,[4]CFR20152016_BenchMarkDataReport!$B$3:$BO$99,25,0)</f>
        <v>87120.45</v>
      </c>
      <c r="L84" s="595">
        <f>VLOOKUP(A84,[4]CFR20152016_BenchMarkDataReport!$B$3:$BO$99,26,0)</f>
        <v>46273.62</v>
      </c>
      <c r="M84" s="595">
        <f>VLOOKUP(A84,[4]CFR20152016_BenchMarkDataReport!$B$3:$BO$99,27,0)</f>
        <v>12170</v>
      </c>
      <c r="N84" s="595">
        <f>VLOOKUP(A84,[4]CFR20152016_BenchMarkDataReport!$B$3:$BO$99,28,0)</f>
        <v>0</v>
      </c>
      <c r="O84" s="595">
        <f>VLOOKUP(A84,[4]CFR20152016_BenchMarkDataReport!$B$3:$BO$99,29,0)</f>
        <v>17766.330000000002</v>
      </c>
      <c r="P84" s="595">
        <f>VLOOKUP(A84,[4]CFR20152016_BenchMarkDataReport!$B$3:$BO$99,30,0)</f>
        <v>1912.39</v>
      </c>
      <c r="Q84" s="595">
        <f>VLOOKUP(A84,[4]CFR20152016_BenchMarkDataReport!$B$3:$BO$99,31,0)</f>
        <v>0</v>
      </c>
      <c r="R84" s="595">
        <f>VLOOKUP(A84,[4]CFR20152016_BenchMarkDataReport!$B$3:$BO$99,32,0)</f>
        <v>0</v>
      </c>
      <c r="S84" s="595">
        <f>VLOOKUP(A84,[4]CFR20152016_BenchMarkDataReport!$B$3:$BO$99,33,0)</f>
        <v>0</v>
      </c>
      <c r="T84" s="595">
        <f>VLOOKUP(A84,[4]CFR20152016_BenchMarkDataReport!$B$3:$BO$99,34,0)</f>
        <v>70141.98</v>
      </c>
      <c r="U84" s="595">
        <f>VLOOKUP(A84,[4]CFR20152016_BenchMarkDataReport!$B$3:$BO$99,35,0)</f>
        <v>1147106.27</v>
      </c>
      <c r="V84" s="595">
        <f>VLOOKUP(A84,[4]CFR20152016_BenchMarkDataReport!$B$3:$BO$99,36,0)</f>
        <v>14217.09</v>
      </c>
      <c r="W84" s="595">
        <f>VLOOKUP(A84,[4]CFR20152016_BenchMarkDataReport!$B$3:$BO$99,37,0)</f>
        <v>446703.02</v>
      </c>
      <c r="X84" s="595">
        <f>VLOOKUP(A84,[4]CFR20152016_BenchMarkDataReport!$B$3:$BO$99,38,0)</f>
        <v>45820.56</v>
      </c>
      <c r="Y84" s="595">
        <f>VLOOKUP(A84,[4]CFR20152016_BenchMarkDataReport!$B$3:$BO$99,39,0)</f>
        <v>159031.62</v>
      </c>
      <c r="Z84" s="595">
        <f>VLOOKUP(A84,[4]CFR20152016_BenchMarkDataReport!$B$3:$BO$99,40,0)</f>
        <v>0</v>
      </c>
      <c r="AA84" s="595">
        <f>VLOOKUP(A84,[4]CFR20152016_BenchMarkDataReport!$B$3:$BO$99,41,0)</f>
        <v>65140.27</v>
      </c>
      <c r="AB84" s="595">
        <f>VLOOKUP(A84,[4]CFR20152016_BenchMarkDataReport!$B$3:$BO$99,42,0)</f>
        <v>21742.48</v>
      </c>
      <c r="AC84" s="595">
        <f>VLOOKUP(A84,[4]CFR20152016_BenchMarkDataReport!$B$3:$BO$99,43,0)</f>
        <v>11821.25</v>
      </c>
      <c r="AD84" s="595">
        <f>VLOOKUP(A84,[4]CFR20152016_BenchMarkDataReport!$B$3:$BO$99,44,0)</f>
        <v>16691</v>
      </c>
      <c r="AE84" s="595">
        <f>VLOOKUP(A84,[4]CFR20152016_BenchMarkDataReport!$B$3:$BO$99,45,0)</f>
        <v>7648.62</v>
      </c>
      <c r="AF84" s="595">
        <f>VLOOKUP(A84,[4]CFR20152016_BenchMarkDataReport!$B$3:$BO$99,46,0)</f>
        <v>57490.22</v>
      </c>
      <c r="AG84" s="595">
        <f>VLOOKUP(A84,[4]CFR20152016_BenchMarkDataReport!$B$3:$BO$99,47,0)</f>
        <v>4620</v>
      </c>
      <c r="AH84" s="595">
        <f>VLOOKUP(A84,[4]CFR20152016_BenchMarkDataReport!$B$3:$BO$99,48,0)</f>
        <v>33867.25</v>
      </c>
      <c r="AI84" s="595">
        <f>VLOOKUP(A84,[4]CFR20152016_BenchMarkDataReport!$B$3:$BO$99,49,0)</f>
        <v>5889.09</v>
      </c>
      <c r="AJ84" s="595">
        <f>VLOOKUP(A84,[4]CFR20152016_BenchMarkDataReport!$B$3:$BO$99,50,0)</f>
        <v>34178.78</v>
      </c>
      <c r="AK84" s="595">
        <f>VLOOKUP(A84,[4]CFR20152016_BenchMarkDataReport!$B$3:$BO$99,51,0)</f>
        <v>20134</v>
      </c>
      <c r="AL84" s="595">
        <f>VLOOKUP(A84,[4]CFR20152016_BenchMarkDataReport!$B$3:$BO$99,52,0)</f>
        <v>11568.7</v>
      </c>
      <c r="AM84" s="595">
        <f>VLOOKUP(A84,[4]CFR20152016_BenchMarkDataReport!$B$3:$BO$99,53,0)</f>
        <v>106275.88</v>
      </c>
      <c r="AN84" s="595">
        <f>VLOOKUP(A84,[4]CFR20152016_BenchMarkDataReport!$B$3:$BO$99,54,0)</f>
        <v>19977.669999999998</v>
      </c>
      <c r="AO84" s="595">
        <f>VLOOKUP(A84,[4]CFR20152016_BenchMarkDataReport!$B$3:$BO$99,55,0)</f>
        <v>0</v>
      </c>
      <c r="AP84" s="595">
        <f>VLOOKUP(A84,[4]CFR20152016_BenchMarkDataReport!$B$3:$BO$99,56,0)</f>
        <v>20489.419999999998</v>
      </c>
      <c r="AQ84" s="595">
        <f>VLOOKUP(A84,[4]CFR20152016_BenchMarkDataReport!$B$3:$BO$99,57,0)</f>
        <v>9484.2199999999993</v>
      </c>
      <c r="AR84" s="595">
        <f>VLOOKUP(A84,[4]CFR20152016_BenchMarkDataReport!$B$3:$BO$99,58,0)</f>
        <v>21177.1</v>
      </c>
      <c r="AS84" s="595">
        <f>VLOOKUP(A84,[4]CFR20152016_BenchMarkDataReport!$B$3:$BO$99,59,0)</f>
        <v>126637.26</v>
      </c>
      <c r="AT84" s="595">
        <f>VLOOKUP(A84,[4]CFR20152016_BenchMarkDataReport!$B$3:$BO$99,60,0)</f>
        <v>46808</v>
      </c>
      <c r="AU84" s="595">
        <f>VLOOKUP(A84,[4]CFR20152016_BenchMarkDataReport!$B$3:$BO$99,61,0)</f>
        <v>199636.39</v>
      </c>
      <c r="AV84" s="595">
        <f>VLOOKUP(A84,[4]CFR20152016_BenchMarkDataReport!$B$3:$BO$99,62,0)</f>
        <v>24836.52</v>
      </c>
      <c r="AW84" s="595">
        <f>VLOOKUP(A84,[4]CFR20152016_BenchMarkDataReport!$B$3:$BO$99,63,0)</f>
        <v>0</v>
      </c>
      <c r="AX84" s="595">
        <f>VLOOKUP(A84,[4]CFR20152016_BenchMarkDataReport!$B$3:$BO$99,64,0)</f>
        <v>26271.1</v>
      </c>
      <c r="AY84" s="595">
        <f>VLOOKUP(A84,[4]CFR20152016_BenchMarkDataReport!$B$3:$BO$99,65,0)</f>
        <v>0</v>
      </c>
      <c r="AZ84" s="595">
        <f>VLOOKUP(A84,[4]CFR20152016_BenchMarkDataReport!$B$3:$BO$99,66,0)</f>
        <v>0</v>
      </c>
      <c r="BA84" s="596">
        <f t="shared" si="134"/>
        <v>2678170.7800000003</v>
      </c>
      <c r="BB84" s="595">
        <f t="shared" si="139"/>
        <v>2705263.7800000003</v>
      </c>
      <c r="BC84" s="601">
        <f t="shared" si="100"/>
        <v>-27093</v>
      </c>
      <c r="BD84" s="595">
        <f>VLOOKUP(A84,[4]CFR20152016_BenchMarkDataReport!$B$3:$BO$99,15,0)</f>
        <v>392935</v>
      </c>
      <c r="BE84" s="601">
        <f t="shared" si="101"/>
        <v>365842</v>
      </c>
      <c r="BF84" s="76">
        <f>VLOOKUP(A84,'OCT 15 CENSUS'!$B$9:$U$132,20,0)</f>
        <v>483</v>
      </c>
      <c r="BG84" s="73">
        <f>VLOOKUP(A84,'[2]BUDGET SHARE inc ADJUSTMENTS'!$D$4:$M$139,10,0)</f>
        <v>2505573.5081720548</v>
      </c>
      <c r="BH84" s="76">
        <f>VLOOKUP(A84,'12-13 Pupil Data'!A:CI,81,0)</f>
        <v>2311</v>
      </c>
      <c r="BI84" t="s">
        <v>210</v>
      </c>
      <c r="BJ84" s="44">
        <f t="shared" si="140"/>
        <v>0.80630182963910901</v>
      </c>
      <c r="BK84" s="45">
        <f t="shared" si="141"/>
        <v>4470.8364389233957</v>
      </c>
      <c r="BL84" s="44">
        <f t="shared" si="142"/>
        <v>0</v>
      </c>
      <c r="BM84" s="45">
        <f t="shared" si="143"/>
        <v>0</v>
      </c>
      <c r="BN84" s="44">
        <f t="shared" si="144"/>
        <v>1.6334656597216699E-2</v>
      </c>
      <c r="BO84" s="45">
        <f t="shared" si="145"/>
        <v>90.573498964803306</v>
      </c>
      <c r="BP84" s="44">
        <f t="shared" si="146"/>
        <v>0</v>
      </c>
      <c r="BQ84" s="45">
        <f t="shared" si="147"/>
        <v>0</v>
      </c>
      <c r="BR84" s="44">
        <f t="shared" si="148"/>
        <v>8.6286510078345341E-2</v>
      </c>
      <c r="BS84" s="45">
        <f t="shared" si="149"/>
        <v>478.44722567287789</v>
      </c>
      <c r="BT84" s="44">
        <f t="shared" si="150"/>
        <v>6.2916077368299855E-4</v>
      </c>
      <c r="BU84" s="45">
        <f t="shared" si="151"/>
        <v>3.4886128364389233</v>
      </c>
      <c r="BV84" s="44">
        <f t="shared" si="152"/>
        <v>2.5577159048834068E-3</v>
      </c>
      <c r="BW84" s="45">
        <f t="shared" si="153"/>
        <v>14.182194616977226</v>
      </c>
      <c r="BX84" s="44">
        <f t="shared" si="154"/>
        <v>3.2529833665051036E-2</v>
      </c>
      <c r="BY84" s="45">
        <f t="shared" si="155"/>
        <v>180.37360248447203</v>
      </c>
      <c r="BZ84" s="46">
        <f t="shared" si="156"/>
        <v>6.6337554470667472E-3</v>
      </c>
      <c r="CA84" s="47">
        <f t="shared" si="157"/>
        <v>36.783291925465839</v>
      </c>
      <c r="CB84" s="44">
        <f t="shared" si="158"/>
        <v>7.1406574004963187E-4</v>
      </c>
      <c r="CC84" s="48">
        <f t="shared" si="159"/>
        <v>3.9593995859213251</v>
      </c>
      <c r="CD84" s="46">
        <f t="shared" si="135"/>
        <v>0.48217757573650044</v>
      </c>
      <c r="CE84" s="49">
        <f t="shared" si="136"/>
        <v>0.45110318170225128</v>
      </c>
      <c r="CF84" s="49">
        <f t="shared" si="137"/>
        <v>0.4465854194817187</v>
      </c>
      <c r="CG84" s="47">
        <f t="shared" si="138"/>
        <v>2501.3071635610768</v>
      </c>
      <c r="CH84" s="44">
        <f t="shared" si="102"/>
        <v>0.17828374164360197</v>
      </c>
      <c r="CI84" s="50">
        <f t="shared" si="103"/>
        <v>0.16679407576838695</v>
      </c>
      <c r="CJ84" s="50">
        <f t="shared" si="104"/>
        <v>0.16512364646378402</v>
      </c>
      <c r="CK84" s="45">
        <f t="shared" si="105"/>
        <v>924.85097308488616</v>
      </c>
      <c r="CL84" s="46">
        <f t="shared" si="105"/>
        <v>1.8287453890518047E-2</v>
      </c>
      <c r="CM84" s="49">
        <f t="shared" si="160"/>
        <v>1.7108901471921813E-2</v>
      </c>
      <c r="CN84" s="49">
        <f t="shared" si="161"/>
        <v>1.6937557194515056E-2</v>
      </c>
      <c r="CO84" s="47">
        <f t="shared" si="162"/>
        <v>94.866583850931676</v>
      </c>
      <c r="CP84" s="44">
        <f t="shared" si="106"/>
        <v>6.3471145221367611E-2</v>
      </c>
      <c r="CQ84" s="50">
        <f t="shared" si="107"/>
        <v>5.9380686693923226E-2</v>
      </c>
      <c r="CR84" s="50">
        <f t="shared" si="163"/>
        <v>5.8785993874504901E-2</v>
      </c>
      <c r="CS84" s="45">
        <f t="shared" si="108"/>
        <v>329.25801242236025</v>
      </c>
      <c r="CT84" s="46">
        <f t="shared" si="109"/>
        <v>0.74953651284815492</v>
      </c>
      <c r="CU84" s="49">
        <f t="shared" si="110"/>
        <v>0.70123191695788711</v>
      </c>
      <c r="CV84" s="49">
        <f t="shared" si="111"/>
        <v>0.69420913549509755</v>
      </c>
      <c r="CW84" s="47">
        <f t="shared" si="112"/>
        <v>3888.2377432712215</v>
      </c>
      <c r="CX84" s="44">
        <f t="shared" si="113"/>
        <v>2.2944934488049438E-2</v>
      </c>
      <c r="CY84" s="50">
        <f t="shared" si="114"/>
        <v>2.1251243751173127E-2</v>
      </c>
      <c r="CZ84" s="48">
        <f t="shared" si="115"/>
        <v>24.876771960190393</v>
      </c>
      <c r="DA84" s="45">
        <f t="shared" si="116"/>
        <v>119.02737060041409</v>
      </c>
      <c r="DB84" s="51">
        <f t="shared" si="117"/>
        <v>2.1769004721602413E-3</v>
      </c>
      <c r="DC84" s="52">
        <f t="shared" si="118"/>
        <v>12.192732919254659</v>
      </c>
      <c r="DD84" s="44">
        <f t="shared" si="118"/>
        <v>1.3641100485986215E-2</v>
      </c>
      <c r="DE84" s="50">
        <f t="shared" si="119"/>
        <v>1.2634176472062919E-2</v>
      </c>
      <c r="DF84" s="48">
        <f t="shared" si="120"/>
        <v>14.789606231068801</v>
      </c>
      <c r="DG84" s="45">
        <f t="shared" si="121"/>
        <v>70.763519668737061</v>
      </c>
      <c r="DH84" s="46">
        <f t="shared" si="122"/>
        <v>4.6171864294813547E-3</v>
      </c>
      <c r="DI84" s="49">
        <f t="shared" si="123"/>
        <v>4.2763667208822057E-3</v>
      </c>
      <c r="DJ84" s="47">
        <f t="shared" si="124"/>
        <v>5.00592816962354</v>
      </c>
      <c r="DK84" s="44">
        <f t="shared" si="125"/>
        <v>4.2415790098903838E-2</v>
      </c>
      <c r="DL84" s="50">
        <f t="shared" si="126"/>
        <v>3.9682264026493483E-2</v>
      </c>
      <c r="DM84" s="50">
        <f t="shared" si="127"/>
        <v>3.9284849331772002E-2</v>
      </c>
      <c r="DN84" s="45">
        <f t="shared" si="128"/>
        <v>220.03287784679091</v>
      </c>
      <c r="DO84" s="46">
        <f t="shared" si="129"/>
        <v>8.1775369723429466E-3</v>
      </c>
      <c r="DP84" s="49">
        <f t="shared" si="130"/>
        <v>7.5739083750272947E-3</v>
      </c>
      <c r="DQ84" s="47">
        <f t="shared" si="131"/>
        <v>42.421159420289854</v>
      </c>
      <c r="DR84" s="53">
        <f t="shared" si="132"/>
        <v>4.6811427756593846E-2</v>
      </c>
      <c r="DS84" s="45">
        <f t="shared" si="133"/>
        <v>262.18894409937889</v>
      </c>
      <c r="DT84" s="46">
        <f t="shared" si="164"/>
        <v>6.784873780215843E-5</v>
      </c>
      <c r="DU84" s="49">
        <f t="shared" si="165"/>
        <v>6.3476161143091844E-5</v>
      </c>
      <c r="DV84" s="49">
        <f t="shared" si="166"/>
        <v>6.2840452475211123E-5</v>
      </c>
      <c r="DW84" s="47">
        <f t="shared" si="167"/>
        <v>0.35196687370600416</v>
      </c>
      <c r="DY84" s="54">
        <f>VLOOKUP(A84,'[3]Barnet Schools'!$E$8:$V$130,17,0)</f>
        <v>170</v>
      </c>
    </row>
    <row r="85" spans="1:256" s="14" customFormat="1">
      <c r="A85" s="573">
        <v>2060</v>
      </c>
      <c r="B85" s="574">
        <v>10105</v>
      </c>
      <c r="C85" s="573" t="s">
        <v>115</v>
      </c>
      <c r="D85" s="595">
        <f>VLOOKUP(A85,[4]CFR20152016_BenchMarkDataReport!$B$3:$BO$99,18,0)</f>
        <v>2306176.41</v>
      </c>
      <c r="E85" s="595">
        <f>VLOOKUP(A85,[4]CFR20152016_BenchMarkDataReport!$B$3:$BO$99,19,0)</f>
        <v>0</v>
      </c>
      <c r="F85" s="595">
        <f>VLOOKUP(A85,[4]CFR20152016_BenchMarkDataReport!$B$3:$BO$99,20,0)</f>
        <v>30498</v>
      </c>
      <c r="G85" s="595">
        <f>VLOOKUP(A85,[4]CFR20152016_BenchMarkDataReport!$B$3:$BO$99,21,0)</f>
        <v>0</v>
      </c>
      <c r="H85" s="595">
        <f>VLOOKUP(A85,[4]CFR20152016_BenchMarkDataReport!$B$3:$BO$99,22,0)</f>
        <v>231967</v>
      </c>
      <c r="I85" s="595">
        <f>VLOOKUP(A85,[4]CFR20152016_BenchMarkDataReport!$B$3:$BO$99,23,0)</f>
        <v>0</v>
      </c>
      <c r="J85" s="595">
        <f>VLOOKUP(A85,[4]CFR20152016_BenchMarkDataReport!$B$3:$BO$99,24,0)</f>
        <v>2275</v>
      </c>
      <c r="K85" s="595">
        <f>VLOOKUP(A85,[4]CFR20152016_BenchMarkDataReport!$B$3:$BO$99,25,0)</f>
        <v>97007.63</v>
      </c>
      <c r="L85" s="595">
        <f>VLOOKUP(A85,[4]CFR20152016_BenchMarkDataReport!$B$3:$BO$99,26,0)</f>
        <v>41261.620000000003</v>
      </c>
      <c r="M85" s="595">
        <f>VLOOKUP(A85,[4]CFR20152016_BenchMarkDataReport!$B$3:$BO$99,27,0)</f>
        <v>18391.96</v>
      </c>
      <c r="N85" s="595">
        <f>VLOOKUP(A85,[4]CFR20152016_BenchMarkDataReport!$B$3:$BO$99,28,0)</f>
        <v>4912.49</v>
      </c>
      <c r="O85" s="595">
        <f>VLOOKUP(A85,[4]CFR20152016_BenchMarkDataReport!$B$3:$BO$99,29,0)</f>
        <v>22915.87</v>
      </c>
      <c r="P85" s="595">
        <f>VLOOKUP(A85,[4]CFR20152016_BenchMarkDataReport!$B$3:$BO$99,30,0)</f>
        <v>9532.73</v>
      </c>
      <c r="Q85" s="595">
        <f>VLOOKUP(A85,[4]CFR20152016_BenchMarkDataReport!$B$3:$BO$99,31,0)</f>
        <v>0</v>
      </c>
      <c r="R85" s="595">
        <f>VLOOKUP(A85,[4]CFR20152016_BenchMarkDataReport!$B$3:$BO$99,32,0)</f>
        <v>0</v>
      </c>
      <c r="S85" s="595">
        <f>VLOOKUP(A85,[4]CFR20152016_BenchMarkDataReport!$B$3:$BO$99,33,0)</f>
        <v>0.18</v>
      </c>
      <c r="T85" s="595">
        <f>VLOOKUP(A85,[4]CFR20152016_BenchMarkDataReport!$B$3:$BO$99,34,0)</f>
        <v>56066.400000000001</v>
      </c>
      <c r="U85" s="595">
        <f>VLOOKUP(A85,[4]CFR20152016_BenchMarkDataReport!$B$3:$BO$99,35,0)</f>
        <v>1181511.1399999999</v>
      </c>
      <c r="V85" s="595">
        <f>VLOOKUP(A85,[4]CFR20152016_BenchMarkDataReport!$B$3:$BO$99,36,0)</f>
        <v>0</v>
      </c>
      <c r="W85" s="595">
        <f>VLOOKUP(A85,[4]CFR20152016_BenchMarkDataReport!$B$3:$BO$99,37,0)</f>
        <v>633119.42000000004</v>
      </c>
      <c r="X85" s="595">
        <f>VLOOKUP(A85,[4]CFR20152016_BenchMarkDataReport!$B$3:$BO$99,38,0)</f>
        <v>54188.31</v>
      </c>
      <c r="Y85" s="595">
        <f>VLOOKUP(A85,[4]CFR20152016_BenchMarkDataReport!$B$3:$BO$99,39,0)</f>
        <v>83756.81</v>
      </c>
      <c r="Z85" s="595">
        <f>VLOOKUP(A85,[4]CFR20152016_BenchMarkDataReport!$B$3:$BO$99,40,0)</f>
        <v>0</v>
      </c>
      <c r="AA85" s="595">
        <f>VLOOKUP(A85,[4]CFR20152016_BenchMarkDataReport!$B$3:$BO$99,41,0)</f>
        <v>55656.18</v>
      </c>
      <c r="AB85" s="595">
        <f>VLOOKUP(A85,[4]CFR20152016_BenchMarkDataReport!$B$3:$BO$99,42,0)</f>
        <v>12200.64</v>
      </c>
      <c r="AC85" s="595">
        <f>VLOOKUP(A85,[4]CFR20152016_BenchMarkDataReport!$B$3:$BO$99,43,0)</f>
        <v>22598.61</v>
      </c>
      <c r="AD85" s="595">
        <f>VLOOKUP(A85,[4]CFR20152016_BenchMarkDataReport!$B$3:$BO$99,44,0)</f>
        <v>19999.12</v>
      </c>
      <c r="AE85" s="595">
        <f>VLOOKUP(A85,[4]CFR20152016_BenchMarkDataReport!$B$3:$BO$99,45,0)</f>
        <v>3873.24</v>
      </c>
      <c r="AF85" s="595">
        <f>VLOOKUP(A85,[4]CFR20152016_BenchMarkDataReport!$B$3:$BO$99,46,0)</f>
        <v>101607.03</v>
      </c>
      <c r="AG85" s="595">
        <f>VLOOKUP(A85,[4]CFR20152016_BenchMarkDataReport!$B$3:$BO$99,47,0)</f>
        <v>7677</v>
      </c>
      <c r="AH85" s="595">
        <f>VLOOKUP(A85,[4]CFR20152016_BenchMarkDataReport!$B$3:$BO$99,48,0)</f>
        <v>38953.230000000003</v>
      </c>
      <c r="AI85" s="595">
        <f>VLOOKUP(A85,[4]CFR20152016_BenchMarkDataReport!$B$3:$BO$99,49,0)</f>
        <v>10342.48</v>
      </c>
      <c r="AJ85" s="595">
        <f>VLOOKUP(A85,[4]CFR20152016_BenchMarkDataReport!$B$3:$BO$99,50,0)</f>
        <v>65488.19</v>
      </c>
      <c r="AK85" s="595">
        <f>VLOOKUP(A85,[4]CFR20152016_BenchMarkDataReport!$B$3:$BO$99,51,0)</f>
        <v>7059.65</v>
      </c>
      <c r="AL85" s="595">
        <f>VLOOKUP(A85,[4]CFR20152016_BenchMarkDataReport!$B$3:$BO$99,52,0)</f>
        <v>10778.19</v>
      </c>
      <c r="AM85" s="595">
        <f>VLOOKUP(A85,[4]CFR20152016_BenchMarkDataReport!$B$3:$BO$99,53,0)</f>
        <v>138359.45000000001</v>
      </c>
      <c r="AN85" s="595">
        <f>VLOOKUP(A85,[4]CFR20152016_BenchMarkDataReport!$B$3:$BO$99,54,0)</f>
        <v>60318.73</v>
      </c>
      <c r="AO85" s="595">
        <f>VLOOKUP(A85,[4]CFR20152016_BenchMarkDataReport!$B$3:$BO$99,55,0)</f>
        <v>0</v>
      </c>
      <c r="AP85" s="595">
        <f>VLOOKUP(A85,[4]CFR20152016_BenchMarkDataReport!$B$3:$BO$99,56,0)</f>
        <v>11464.2</v>
      </c>
      <c r="AQ85" s="595">
        <f>VLOOKUP(A85,[4]CFR20152016_BenchMarkDataReport!$B$3:$BO$99,57,0)</f>
        <v>11288.8</v>
      </c>
      <c r="AR85" s="595">
        <f>VLOOKUP(A85,[4]CFR20152016_BenchMarkDataReport!$B$3:$BO$99,58,0)</f>
        <v>32265.64</v>
      </c>
      <c r="AS85" s="595">
        <f>VLOOKUP(A85,[4]CFR20152016_BenchMarkDataReport!$B$3:$BO$99,59,0)</f>
        <v>112374.69</v>
      </c>
      <c r="AT85" s="595">
        <f>VLOOKUP(A85,[4]CFR20152016_BenchMarkDataReport!$B$3:$BO$99,60,0)</f>
        <v>67714.3</v>
      </c>
      <c r="AU85" s="595">
        <f>VLOOKUP(A85,[4]CFR20152016_BenchMarkDataReport!$B$3:$BO$99,61,0)</f>
        <v>50154.05</v>
      </c>
      <c r="AV85" s="595">
        <f>VLOOKUP(A85,[4]CFR20152016_BenchMarkDataReport!$B$3:$BO$99,62,0)</f>
        <v>52655.72</v>
      </c>
      <c r="AW85" s="595">
        <f>VLOOKUP(A85,[4]CFR20152016_BenchMarkDataReport!$B$3:$BO$99,63,0)</f>
        <v>0</v>
      </c>
      <c r="AX85" s="595">
        <f>VLOOKUP(A85,[4]CFR20152016_BenchMarkDataReport!$B$3:$BO$99,64,0)</f>
        <v>65852.47</v>
      </c>
      <c r="AY85" s="595">
        <f>VLOOKUP(A85,[4]CFR20152016_BenchMarkDataReport!$B$3:$BO$99,65,0)</f>
        <v>0</v>
      </c>
      <c r="AZ85" s="595">
        <f>VLOOKUP(A85,[4]CFR20152016_BenchMarkDataReport!$B$3:$BO$99,66,0)</f>
        <v>0</v>
      </c>
      <c r="BA85" s="598">
        <f t="shared" si="134"/>
        <v>2821005.1100000003</v>
      </c>
      <c r="BB85" s="597">
        <f t="shared" si="139"/>
        <v>2911257.29</v>
      </c>
      <c r="BC85" s="602">
        <f t="shared" si="100"/>
        <v>-90252.179999999702</v>
      </c>
      <c r="BD85" s="595">
        <f>VLOOKUP(A85,[4]CFR20152016_BenchMarkDataReport!$B$3:$BO$99,15,0)</f>
        <v>323335</v>
      </c>
      <c r="BE85" s="602">
        <f t="shared" si="101"/>
        <v>233082.8200000003</v>
      </c>
      <c r="BF85" s="76">
        <f>VLOOKUP(A85,'OCT 15 CENSUS'!$B$9:$U$132,20,0)</f>
        <v>453</v>
      </c>
      <c r="BG85" s="579">
        <f>VLOOKUP(A85,'[2]BUDGET SHARE inc ADJUSTMENTS'!$D$4:$M$139,10,0)</f>
        <v>2625733.4827907281</v>
      </c>
      <c r="BH85" s="580">
        <f>VLOOKUP(A85,'12-13 Pupil Data'!A:CI,81,0)</f>
        <v>3050</v>
      </c>
      <c r="BI85" s="14" t="s">
        <v>210</v>
      </c>
      <c r="BJ85" s="53">
        <f t="shared" si="140"/>
        <v>0.81750167762014436</v>
      </c>
      <c r="BK85" s="581">
        <f t="shared" si="141"/>
        <v>5090.8971523178807</v>
      </c>
      <c r="BL85" s="53">
        <f t="shared" si="142"/>
        <v>0</v>
      </c>
      <c r="BM85" s="581">
        <f t="shared" si="143"/>
        <v>0</v>
      </c>
      <c r="BN85" s="53">
        <f t="shared" si="144"/>
        <v>1.0811040324560064E-2</v>
      </c>
      <c r="BO85" s="581">
        <f t="shared" si="145"/>
        <v>67.324503311258283</v>
      </c>
      <c r="BP85" s="53">
        <f t="shared" si="146"/>
        <v>0</v>
      </c>
      <c r="BQ85" s="581">
        <f t="shared" si="147"/>
        <v>0</v>
      </c>
      <c r="BR85" s="53">
        <f t="shared" si="148"/>
        <v>8.2228493375540168E-2</v>
      </c>
      <c r="BS85" s="581">
        <f t="shared" si="149"/>
        <v>512.06843267108172</v>
      </c>
      <c r="BT85" s="53">
        <f t="shared" si="150"/>
        <v>0</v>
      </c>
      <c r="BU85" s="581">
        <f t="shared" si="151"/>
        <v>0</v>
      </c>
      <c r="BV85" s="53">
        <f t="shared" si="152"/>
        <v>8.064501520878137E-4</v>
      </c>
      <c r="BW85" s="581">
        <f t="shared" si="153"/>
        <v>5.0220750551876376</v>
      </c>
      <c r="BX85" s="53">
        <f t="shared" si="154"/>
        <v>3.4387612293265216E-2</v>
      </c>
      <c r="BY85" s="581">
        <f t="shared" si="155"/>
        <v>214.14487858719647</v>
      </c>
      <c r="BZ85" s="582">
        <f t="shared" si="156"/>
        <v>8.1232997128459633E-3</v>
      </c>
      <c r="CA85" s="583">
        <f t="shared" si="157"/>
        <v>50.586909492273726</v>
      </c>
      <c r="CB85" s="53">
        <f t="shared" si="158"/>
        <v>3.3791962893679403E-3</v>
      </c>
      <c r="CC85" s="584">
        <f t="shared" si="159"/>
        <v>21.043554083885208</v>
      </c>
      <c r="CD85" s="582">
        <f t="shared" si="135"/>
        <v>0.47576246720679216</v>
      </c>
      <c r="CE85" s="585">
        <f t="shared" si="136"/>
        <v>0.44282991036482022</v>
      </c>
      <c r="CF85" s="585">
        <f t="shared" si="137"/>
        <v>0.42910169578313018</v>
      </c>
      <c r="CG85" s="583">
        <f t="shared" si="138"/>
        <v>2757.6720529801323</v>
      </c>
      <c r="CH85" s="53">
        <f t="shared" si="102"/>
        <v>0.24112097596710272</v>
      </c>
      <c r="CI85" s="65">
        <f t="shared" si="103"/>
        <v>0.22443044068076856</v>
      </c>
      <c r="CJ85" s="65">
        <f t="shared" si="104"/>
        <v>0.21747285002075514</v>
      </c>
      <c r="CK85" s="581">
        <f t="shared" si="105"/>
        <v>1397.6146136865343</v>
      </c>
      <c r="CL85" s="582">
        <f t="shared" si="105"/>
        <v>2.0637399170614464E-2</v>
      </c>
      <c r="CM85" s="585">
        <f t="shared" si="160"/>
        <v>1.9208866303684218E-2</v>
      </c>
      <c r="CN85" s="585">
        <f t="shared" si="161"/>
        <v>1.8613370307782037E-2</v>
      </c>
      <c r="CO85" s="583">
        <f t="shared" si="162"/>
        <v>119.62099337748344</v>
      </c>
      <c r="CP85" s="53">
        <f t="shared" si="106"/>
        <v>3.1898443063223661E-2</v>
      </c>
      <c r="CQ85" s="65">
        <f t="shared" si="107"/>
        <v>2.9690414137534118E-2</v>
      </c>
      <c r="CR85" s="65">
        <f t="shared" si="163"/>
        <v>2.8769978623222271E-2</v>
      </c>
      <c r="CS85" s="581">
        <f t="shared" si="108"/>
        <v>184.89362030905076</v>
      </c>
      <c r="CT85" s="582">
        <f t="shared" si="109"/>
        <v>0.76482699906982787</v>
      </c>
      <c r="CU85" s="585">
        <f t="shared" si="110"/>
        <v>0.71188522590092007</v>
      </c>
      <c r="CV85" s="585">
        <f t="shared" si="111"/>
        <v>0.68981600042640001</v>
      </c>
      <c r="CW85" s="583">
        <f t="shared" si="112"/>
        <v>4433.1829139072852</v>
      </c>
      <c r="CX85" s="53">
        <f t="shared" si="113"/>
        <v>3.8696627310403277E-2</v>
      </c>
      <c r="CY85" s="65">
        <f t="shared" si="114"/>
        <v>3.490142569982195E-2</v>
      </c>
      <c r="CZ85" s="584">
        <f t="shared" si="115"/>
        <v>33.313780327868855</v>
      </c>
      <c r="DA85" s="581">
        <f t="shared" si="116"/>
        <v>224.29807947019867</v>
      </c>
      <c r="DB85" s="586">
        <f t="shared" si="117"/>
        <v>3.5525819155612999E-3</v>
      </c>
      <c r="DC85" s="587">
        <f t="shared" si="118"/>
        <v>22.831081677704194</v>
      </c>
      <c r="DD85" s="53">
        <f t="shared" si="118"/>
        <v>2.4940912864620478E-2</v>
      </c>
      <c r="DE85" s="65">
        <f t="shared" si="119"/>
        <v>2.2494813572454808E-2</v>
      </c>
      <c r="DF85" s="584">
        <f t="shared" si="120"/>
        <v>21.471537704918035</v>
      </c>
      <c r="DG85" s="581">
        <f t="shared" si="121"/>
        <v>144.56554083885212</v>
      </c>
      <c r="DH85" s="582">
        <f t="shared" si="122"/>
        <v>4.1048301629396655E-3</v>
      </c>
      <c r="DI85" s="585">
        <f t="shared" si="123"/>
        <v>3.7022457743678162E-3</v>
      </c>
      <c r="DJ85" s="583">
        <f t="shared" si="124"/>
        <v>3.5338327868852462</v>
      </c>
      <c r="DK85" s="53">
        <f t="shared" si="125"/>
        <v>5.2693638142187374E-2</v>
      </c>
      <c r="DL85" s="65">
        <f t="shared" si="126"/>
        <v>4.9046153624301654E-2</v>
      </c>
      <c r="DM85" s="65">
        <f t="shared" si="127"/>
        <v>4.752566888376946E-2</v>
      </c>
      <c r="DN85" s="581">
        <f t="shared" si="128"/>
        <v>305.42924944812364</v>
      </c>
      <c r="DO85" s="582">
        <f t="shared" si="129"/>
        <v>4.3660943028442549E-3</v>
      </c>
      <c r="DP85" s="585">
        <f t="shared" si="130"/>
        <v>3.9378862319654337E-3</v>
      </c>
      <c r="DQ85" s="583">
        <f t="shared" si="131"/>
        <v>25.307284768211922</v>
      </c>
      <c r="DR85" s="53">
        <f t="shared" si="132"/>
        <v>3.8600054480241425E-2</v>
      </c>
      <c r="DS85" s="581">
        <f t="shared" si="133"/>
        <v>248.06774834437087</v>
      </c>
      <c r="DT85" s="582">
        <f t="shared" si="164"/>
        <v>6.5124659879133956E-5</v>
      </c>
      <c r="DU85" s="585">
        <f t="shared" si="165"/>
        <v>6.0616692750336767E-5</v>
      </c>
      <c r="DV85" s="585">
        <f t="shared" si="166"/>
        <v>5.8737508562838153E-5</v>
      </c>
      <c r="DW85" s="583">
        <f t="shared" si="167"/>
        <v>0.37748344370860926</v>
      </c>
      <c r="DY85" s="588">
        <f>VLOOKUP(A85,'[3]Barnet Schools'!$E$8:$V$130,17,0)</f>
        <v>171</v>
      </c>
    </row>
    <row r="86" spans="1:256">
      <c r="A86" s="79">
        <v>3518</v>
      </c>
      <c r="B86" s="80">
        <v>10123</v>
      </c>
      <c r="C86" s="573" t="s">
        <v>116</v>
      </c>
      <c r="D86" s="595">
        <f>VLOOKUP(A86,[4]CFR20152016_BenchMarkDataReport!$B$3:$BO$99,18,0)</f>
        <v>2284964</v>
      </c>
      <c r="E86" s="595">
        <f>VLOOKUP(A86,[4]CFR20152016_BenchMarkDataReport!$B$3:$BO$99,19,0)</f>
        <v>0</v>
      </c>
      <c r="F86" s="595">
        <f>VLOOKUP(A86,[4]CFR20152016_BenchMarkDataReport!$B$3:$BO$99,20,0)</f>
        <v>115919</v>
      </c>
      <c r="G86" s="595">
        <f>VLOOKUP(A86,[4]CFR20152016_BenchMarkDataReport!$B$3:$BO$99,21,0)</f>
        <v>0</v>
      </c>
      <c r="H86" s="595">
        <f>VLOOKUP(A86,[4]CFR20152016_BenchMarkDataReport!$B$3:$BO$99,22,0)</f>
        <v>293912.75</v>
      </c>
      <c r="I86" s="595">
        <f>VLOOKUP(A86,[4]CFR20152016_BenchMarkDataReport!$B$3:$BO$99,23,0)</f>
        <v>8517.7999999999993</v>
      </c>
      <c r="J86" s="595">
        <f>VLOOKUP(A86,[4]CFR20152016_BenchMarkDataReport!$B$3:$BO$99,24,0)</f>
        <v>825</v>
      </c>
      <c r="K86" s="595">
        <f>VLOOKUP(A86,[4]CFR20152016_BenchMarkDataReport!$B$3:$BO$99,25,0)</f>
        <v>29449.8</v>
      </c>
      <c r="L86" s="595">
        <f>VLOOKUP(A86,[4]CFR20152016_BenchMarkDataReport!$B$3:$BO$99,26,0)</f>
        <v>25419.13</v>
      </c>
      <c r="M86" s="595">
        <f>VLOOKUP(A86,[4]CFR20152016_BenchMarkDataReport!$B$3:$BO$99,27,0)</f>
        <v>9576</v>
      </c>
      <c r="N86" s="595">
        <f>VLOOKUP(A86,[4]CFR20152016_BenchMarkDataReport!$B$3:$BO$99,28,0)</f>
        <v>21693.73</v>
      </c>
      <c r="O86" s="595">
        <f>VLOOKUP(A86,[4]CFR20152016_BenchMarkDataReport!$B$3:$BO$99,29,0)</f>
        <v>16685.88</v>
      </c>
      <c r="P86" s="595">
        <f>VLOOKUP(A86,[4]CFR20152016_BenchMarkDataReport!$B$3:$BO$99,30,0)</f>
        <v>2755.8</v>
      </c>
      <c r="Q86" s="595">
        <f>VLOOKUP(A86,[4]CFR20152016_BenchMarkDataReport!$B$3:$BO$99,31,0)</f>
        <v>0</v>
      </c>
      <c r="R86" s="595">
        <f>VLOOKUP(A86,[4]CFR20152016_BenchMarkDataReport!$B$3:$BO$99,32,0)</f>
        <v>0</v>
      </c>
      <c r="S86" s="595">
        <f>VLOOKUP(A86,[4]CFR20152016_BenchMarkDataReport!$B$3:$BO$99,33,0)</f>
        <v>0</v>
      </c>
      <c r="T86" s="595">
        <f>VLOOKUP(A86,[4]CFR20152016_BenchMarkDataReport!$B$3:$BO$99,34,0)</f>
        <v>39323.79</v>
      </c>
      <c r="U86" s="595">
        <f>VLOOKUP(A86,[4]CFR20152016_BenchMarkDataReport!$B$3:$BO$99,35,0)</f>
        <v>1052409.28</v>
      </c>
      <c r="V86" s="595">
        <f>VLOOKUP(A86,[4]CFR20152016_BenchMarkDataReport!$B$3:$BO$99,36,0)</f>
        <v>8178.71</v>
      </c>
      <c r="W86" s="595">
        <f>VLOOKUP(A86,[4]CFR20152016_BenchMarkDataReport!$B$3:$BO$99,37,0)</f>
        <v>735192.43</v>
      </c>
      <c r="X86" s="595">
        <f>VLOOKUP(A86,[4]CFR20152016_BenchMarkDataReport!$B$3:$BO$99,38,0)</f>
        <v>29467.68</v>
      </c>
      <c r="Y86" s="595">
        <f>VLOOKUP(A86,[4]CFR20152016_BenchMarkDataReport!$B$3:$BO$99,39,0)</f>
        <v>57904.24</v>
      </c>
      <c r="Z86" s="595">
        <f>VLOOKUP(A86,[4]CFR20152016_BenchMarkDataReport!$B$3:$BO$99,40,0)</f>
        <v>0</v>
      </c>
      <c r="AA86" s="595">
        <f>VLOOKUP(A86,[4]CFR20152016_BenchMarkDataReport!$B$3:$BO$99,41,0)</f>
        <v>96518.3</v>
      </c>
      <c r="AB86" s="595">
        <f>VLOOKUP(A86,[4]CFR20152016_BenchMarkDataReport!$B$3:$BO$99,42,0)</f>
        <v>13155.1</v>
      </c>
      <c r="AC86" s="595">
        <f>VLOOKUP(A86,[4]CFR20152016_BenchMarkDataReport!$B$3:$BO$99,43,0)</f>
        <v>13772.17</v>
      </c>
      <c r="AD86" s="595">
        <f>VLOOKUP(A86,[4]CFR20152016_BenchMarkDataReport!$B$3:$BO$99,44,0)</f>
        <v>24214.65</v>
      </c>
      <c r="AE86" s="595">
        <f>VLOOKUP(A86,[4]CFR20152016_BenchMarkDataReport!$B$3:$BO$99,45,0)</f>
        <v>1940.4</v>
      </c>
      <c r="AF86" s="595">
        <f>VLOOKUP(A86,[4]CFR20152016_BenchMarkDataReport!$B$3:$BO$99,46,0)</f>
        <v>57438.45</v>
      </c>
      <c r="AG86" s="595">
        <f>VLOOKUP(A86,[4]CFR20152016_BenchMarkDataReport!$B$3:$BO$99,47,0)</f>
        <v>1977.86</v>
      </c>
      <c r="AH86" s="595">
        <f>VLOOKUP(A86,[4]CFR20152016_BenchMarkDataReport!$B$3:$BO$99,48,0)</f>
        <v>68732.800000000003</v>
      </c>
      <c r="AI86" s="595">
        <f>VLOOKUP(A86,[4]CFR20152016_BenchMarkDataReport!$B$3:$BO$99,49,0)</f>
        <v>4089.19</v>
      </c>
      <c r="AJ86" s="595">
        <f>VLOOKUP(A86,[4]CFR20152016_BenchMarkDataReport!$B$3:$BO$99,50,0)</f>
        <v>33663.46</v>
      </c>
      <c r="AK86" s="595">
        <f>VLOOKUP(A86,[4]CFR20152016_BenchMarkDataReport!$B$3:$BO$99,51,0)</f>
        <v>16165.04</v>
      </c>
      <c r="AL86" s="595">
        <f>VLOOKUP(A86,[4]CFR20152016_BenchMarkDataReport!$B$3:$BO$99,52,0)</f>
        <v>9896.52</v>
      </c>
      <c r="AM86" s="595">
        <f>VLOOKUP(A86,[4]CFR20152016_BenchMarkDataReport!$B$3:$BO$99,53,0)</f>
        <v>87643.520000000004</v>
      </c>
      <c r="AN86" s="595">
        <f>VLOOKUP(A86,[4]CFR20152016_BenchMarkDataReport!$B$3:$BO$99,54,0)</f>
        <v>20038.740000000002</v>
      </c>
      <c r="AO86" s="595">
        <f>VLOOKUP(A86,[4]CFR20152016_BenchMarkDataReport!$B$3:$BO$99,55,0)</f>
        <v>0</v>
      </c>
      <c r="AP86" s="595">
        <f>VLOOKUP(A86,[4]CFR20152016_BenchMarkDataReport!$B$3:$BO$99,56,0)</f>
        <v>19844.669999999998</v>
      </c>
      <c r="AQ86" s="595">
        <f>VLOOKUP(A86,[4]CFR20152016_BenchMarkDataReport!$B$3:$BO$99,57,0)</f>
        <v>11047.99</v>
      </c>
      <c r="AR86" s="595">
        <f>VLOOKUP(A86,[4]CFR20152016_BenchMarkDataReport!$B$3:$BO$99,58,0)</f>
        <v>34302.629999999997</v>
      </c>
      <c r="AS86" s="595">
        <f>VLOOKUP(A86,[4]CFR20152016_BenchMarkDataReport!$B$3:$BO$99,59,0)</f>
        <v>125745.3</v>
      </c>
      <c r="AT86" s="595">
        <f>VLOOKUP(A86,[4]CFR20152016_BenchMarkDataReport!$B$3:$BO$99,60,0)</f>
        <v>173887.05</v>
      </c>
      <c r="AU86" s="595">
        <f>VLOOKUP(A86,[4]CFR20152016_BenchMarkDataReport!$B$3:$BO$99,61,0)</f>
        <v>157118.1</v>
      </c>
      <c r="AV86" s="595">
        <f>VLOOKUP(A86,[4]CFR20152016_BenchMarkDataReport!$B$3:$BO$99,62,0)</f>
        <v>52538.400000000001</v>
      </c>
      <c r="AW86" s="595">
        <f>VLOOKUP(A86,[4]CFR20152016_BenchMarkDataReport!$B$3:$BO$99,63,0)</f>
        <v>0</v>
      </c>
      <c r="AX86" s="595">
        <f>VLOOKUP(A86,[4]CFR20152016_BenchMarkDataReport!$B$3:$BO$99,64,0)</f>
        <v>0</v>
      </c>
      <c r="AY86" s="595">
        <f>VLOOKUP(A86,[4]CFR20152016_BenchMarkDataReport!$B$3:$BO$99,65,0)</f>
        <v>0</v>
      </c>
      <c r="AZ86" s="595">
        <f>VLOOKUP(A86,[4]CFR20152016_BenchMarkDataReport!$B$3:$BO$99,66,0)</f>
        <v>0</v>
      </c>
      <c r="BA86" s="596">
        <f t="shared" si="134"/>
        <v>2849042.6799999992</v>
      </c>
      <c r="BB86" s="595">
        <f t="shared" si="139"/>
        <v>2906882.6799999997</v>
      </c>
      <c r="BC86" s="601">
        <f t="shared" si="100"/>
        <v>-57840.000000000466</v>
      </c>
      <c r="BD86" s="595">
        <f>VLOOKUP(A86,[4]CFR20152016_BenchMarkDataReport!$B$3:$BO$99,15,0)</f>
        <v>187819</v>
      </c>
      <c r="BE86" s="601">
        <f t="shared" si="101"/>
        <v>129978.99999999953</v>
      </c>
      <c r="BF86" s="76">
        <f>VLOOKUP(A86,'OCT 15 CENSUS'!$B$9:$U$132,20,0)</f>
        <v>489</v>
      </c>
      <c r="BG86" s="73">
        <f>VLOOKUP(A86,'[2]BUDGET SHARE inc ADJUSTMENTS'!$D$4:$M$139,10,0)</f>
        <v>2732631.3086152128</v>
      </c>
      <c r="BH86" s="76">
        <f>VLOOKUP(A86,'12-13 Pupil Data'!A:CI,81,0)</f>
        <v>3473</v>
      </c>
      <c r="BI86" t="s">
        <v>210</v>
      </c>
      <c r="BJ86" s="44">
        <f t="shared" si="140"/>
        <v>0.80201115133873691</v>
      </c>
      <c r="BK86" s="45">
        <f t="shared" si="141"/>
        <v>4672.728016359918</v>
      </c>
      <c r="BL86" s="44">
        <f t="shared" si="142"/>
        <v>0</v>
      </c>
      <c r="BM86" s="45">
        <f t="shared" si="143"/>
        <v>0</v>
      </c>
      <c r="BN86" s="44">
        <f t="shared" si="144"/>
        <v>4.0687000168070503E-2</v>
      </c>
      <c r="BO86" s="45">
        <f t="shared" si="145"/>
        <v>237.05316973415134</v>
      </c>
      <c r="BP86" s="44">
        <f t="shared" si="146"/>
        <v>0</v>
      </c>
      <c r="BQ86" s="45">
        <f t="shared" si="147"/>
        <v>0</v>
      </c>
      <c r="BR86" s="44">
        <f t="shared" si="148"/>
        <v>0.10316193297602691</v>
      </c>
      <c r="BS86" s="45">
        <f t="shared" si="149"/>
        <v>601.04856850715748</v>
      </c>
      <c r="BT86" s="44">
        <f t="shared" si="150"/>
        <v>2.9897060018770944E-3</v>
      </c>
      <c r="BU86" s="45">
        <f t="shared" si="151"/>
        <v>17.41881390593047</v>
      </c>
      <c r="BV86" s="44">
        <f t="shared" si="152"/>
        <v>2.8957095160118843E-4</v>
      </c>
      <c r="BW86" s="45">
        <f t="shared" si="153"/>
        <v>1.6871165644171779</v>
      </c>
      <c r="BX86" s="44">
        <f t="shared" si="154"/>
        <v>1.0336735285411732E-2</v>
      </c>
      <c r="BY86" s="45">
        <f t="shared" si="155"/>
        <v>60.224539877300614</v>
      </c>
      <c r="BZ86" s="46">
        <f t="shared" si="156"/>
        <v>5.8566619998827131E-3</v>
      </c>
      <c r="CA86" s="47">
        <f t="shared" si="157"/>
        <v>34.122453987730061</v>
      </c>
      <c r="CB86" s="44">
        <f t="shared" si="158"/>
        <v>9.6727227687582449E-4</v>
      </c>
      <c r="CC86" s="48">
        <f t="shared" si="159"/>
        <v>5.6355828220858903</v>
      </c>
      <c r="CD86" s="46">
        <f t="shared" si="135"/>
        <v>0.45175323729478239</v>
      </c>
      <c r="CE86" s="49">
        <f t="shared" si="136"/>
        <v>0.43329468128571536</v>
      </c>
      <c r="CF86" s="49">
        <f t="shared" si="137"/>
        <v>0.42467315536793532</v>
      </c>
      <c r="CG86" s="47">
        <f t="shared" si="138"/>
        <v>2524.4888343558282</v>
      </c>
      <c r="CH86" s="44">
        <f t="shared" si="102"/>
        <v>0.26904194052163072</v>
      </c>
      <c r="CI86" s="50">
        <f t="shared" si="103"/>
        <v>0.25804893523041228</v>
      </c>
      <c r="CJ86" s="50">
        <f t="shared" si="104"/>
        <v>0.25291437974373293</v>
      </c>
      <c r="CK86" s="45">
        <f t="shared" si="105"/>
        <v>1503.46100204499</v>
      </c>
      <c r="CL86" s="46">
        <f t="shared" si="105"/>
        <v>1.0783628185440439E-2</v>
      </c>
      <c r="CM86" s="49">
        <f t="shared" si="160"/>
        <v>1.0343011077671889E-2</v>
      </c>
      <c r="CN86" s="49">
        <f t="shared" si="161"/>
        <v>1.0137209940650238E-2</v>
      </c>
      <c r="CO86" s="47">
        <f t="shared" si="162"/>
        <v>60.261104294478528</v>
      </c>
      <c r="CP86" s="44">
        <f t="shared" si="106"/>
        <v>2.1189920432165263E-2</v>
      </c>
      <c r="CQ86" s="50">
        <f t="shared" si="107"/>
        <v>2.0324104095204364E-2</v>
      </c>
      <c r="CR86" s="50">
        <f t="shared" si="163"/>
        <v>1.9919703123347243E-2</v>
      </c>
      <c r="CS86" s="45">
        <f t="shared" si="108"/>
        <v>118.41357873210633</v>
      </c>
      <c r="CT86" s="46">
        <f t="shared" si="109"/>
        <v>0.72445581434958273</v>
      </c>
      <c r="CU86" s="49">
        <f t="shared" si="110"/>
        <v>0.69485468009907114</v>
      </c>
      <c r="CV86" s="49">
        <f t="shared" si="111"/>
        <v>0.68102873694235233</v>
      </c>
      <c r="CW86" s="47">
        <f t="shared" si="112"/>
        <v>4048.4062167689158</v>
      </c>
      <c r="CX86" s="44">
        <f t="shared" si="113"/>
        <v>2.1019465677244064E-2</v>
      </c>
      <c r="CY86" s="50">
        <f t="shared" si="114"/>
        <v>1.975946617838736E-2</v>
      </c>
      <c r="CZ86" s="48">
        <f t="shared" si="115"/>
        <v>16.538568960552837</v>
      </c>
      <c r="DA86" s="45">
        <f t="shared" si="116"/>
        <v>117.46104294478528</v>
      </c>
      <c r="DB86" s="51">
        <f t="shared" si="117"/>
        <v>1.4067268789808884E-3</v>
      </c>
      <c r="DC86" s="52">
        <f t="shared" si="118"/>
        <v>8.3623517382413084</v>
      </c>
      <c r="DD86" s="44">
        <f t="shared" si="118"/>
        <v>1.2319064007599065E-2</v>
      </c>
      <c r="DE86" s="50">
        <f t="shared" si="119"/>
        <v>1.1580604966141944E-2</v>
      </c>
      <c r="DF86" s="48">
        <f t="shared" si="120"/>
        <v>9.6929052692196951</v>
      </c>
      <c r="DG86" s="45">
        <f t="shared" si="121"/>
        <v>68.841431492842531</v>
      </c>
      <c r="DH86" s="46">
        <f t="shared" si="122"/>
        <v>3.6216082165197606E-3</v>
      </c>
      <c r="DI86" s="49">
        <f t="shared" si="123"/>
        <v>3.4045130435054233E-3</v>
      </c>
      <c r="DJ86" s="47">
        <f t="shared" si="124"/>
        <v>2.8495594586812554</v>
      </c>
      <c r="DK86" s="44">
        <f t="shared" si="125"/>
        <v>3.2072939998778763E-2</v>
      </c>
      <c r="DL86" s="50">
        <f t="shared" si="126"/>
        <v>3.0762445440094294E-2</v>
      </c>
      <c r="DM86" s="50">
        <f t="shared" si="127"/>
        <v>3.0150346487323669E-2</v>
      </c>
      <c r="DN86" s="45">
        <f t="shared" si="128"/>
        <v>179.23010224948877</v>
      </c>
      <c r="DO86" s="46">
        <f t="shared" si="129"/>
        <v>7.2621103101012463E-3</v>
      </c>
      <c r="DP86" s="49">
        <f t="shared" si="130"/>
        <v>6.8267873817322413E-3</v>
      </c>
      <c r="DQ86" s="47">
        <f t="shared" si="131"/>
        <v>40.582147239263797</v>
      </c>
      <c r="DR86" s="53">
        <f t="shared" si="132"/>
        <v>4.3257782938800962E-2</v>
      </c>
      <c r="DS86" s="45">
        <f t="shared" si="133"/>
        <v>257.14785276073621</v>
      </c>
      <c r="DT86" s="46">
        <f t="shared" si="164"/>
        <v>7.8678744301203713E-5</v>
      </c>
      <c r="DU86" s="49">
        <f t="shared" si="165"/>
        <v>7.5463944962733963E-5</v>
      </c>
      <c r="DV86" s="49">
        <f t="shared" si="166"/>
        <v>7.3962393281038792E-5</v>
      </c>
      <c r="DW86" s="47">
        <f t="shared" si="167"/>
        <v>0.43967280163599182</v>
      </c>
      <c r="DY86" s="54">
        <f>VLOOKUP(A86,'[3]Barnet Schools'!$E$8:$V$130,17,0)</f>
        <v>215</v>
      </c>
    </row>
    <row r="87" spans="1:256">
      <c r="A87" s="79">
        <v>2054</v>
      </c>
      <c r="B87" s="80">
        <v>10109</v>
      </c>
      <c r="C87" s="573" t="s">
        <v>117</v>
      </c>
      <c r="D87" s="595">
        <f>VLOOKUP(A87,[4]CFR20152016_BenchMarkDataReport!$B$3:$BO$99,18,0)</f>
        <v>989721.05</v>
      </c>
      <c r="E87" s="595">
        <f>VLOOKUP(A87,[4]CFR20152016_BenchMarkDataReport!$B$3:$BO$99,19,0)</f>
        <v>0</v>
      </c>
      <c r="F87" s="595">
        <f>VLOOKUP(A87,[4]CFR20152016_BenchMarkDataReport!$B$3:$BO$99,20,0)</f>
        <v>43529</v>
      </c>
      <c r="G87" s="595">
        <f>VLOOKUP(A87,[4]CFR20152016_BenchMarkDataReport!$B$3:$BO$99,21,0)</f>
        <v>0</v>
      </c>
      <c r="H87" s="595">
        <f>VLOOKUP(A87,[4]CFR20152016_BenchMarkDataReport!$B$3:$BO$99,22,0)</f>
        <v>30751</v>
      </c>
      <c r="I87" s="595">
        <f>VLOOKUP(A87,[4]CFR20152016_BenchMarkDataReport!$B$3:$BO$99,23,0)</f>
        <v>4400</v>
      </c>
      <c r="J87" s="595">
        <f>VLOOKUP(A87,[4]CFR20152016_BenchMarkDataReport!$B$3:$BO$99,24,0)</f>
        <v>5876.29</v>
      </c>
      <c r="K87" s="595">
        <f>VLOOKUP(A87,[4]CFR20152016_BenchMarkDataReport!$B$3:$BO$99,25,0)</f>
        <v>45279.14</v>
      </c>
      <c r="L87" s="595">
        <f>VLOOKUP(A87,[4]CFR20152016_BenchMarkDataReport!$B$3:$BO$99,26,0)</f>
        <v>37093.97</v>
      </c>
      <c r="M87" s="595">
        <f>VLOOKUP(A87,[4]CFR20152016_BenchMarkDataReport!$B$3:$BO$99,27,0)</f>
        <v>10624.4</v>
      </c>
      <c r="N87" s="595">
        <f>VLOOKUP(A87,[4]CFR20152016_BenchMarkDataReport!$B$3:$BO$99,28,0)</f>
        <v>0</v>
      </c>
      <c r="O87" s="595">
        <f>VLOOKUP(A87,[4]CFR20152016_BenchMarkDataReport!$B$3:$BO$99,29,0)</f>
        <v>40770.07</v>
      </c>
      <c r="P87" s="595">
        <f>VLOOKUP(A87,[4]CFR20152016_BenchMarkDataReport!$B$3:$BO$99,30,0)</f>
        <v>10559.84</v>
      </c>
      <c r="Q87" s="595">
        <f>VLOOKUP(A87,[4]CFR20152016_BenchMarkDataReport!$B$3:$BO$99,31,0)</f>
        <v>0</v>
      </c>
      <c r="R87" s="595">
        <f>VLOOKUP(A87,[4]CFR20152016_BenchMarkDataReport!$B$3:$BO$99,32,0)</f>
        <v>0</v>
      </c>
      <c r="S87" s="595">
        <f>VLOOKUP(A87,[4]CFR20152016_BenchMarkDataReport!$B$3:$BO$99,33,0)</f>
        <v>0</v>
      </c>
      <c r="T87" s="595">
        <f>VLOOKUP(A87,[4]CFR20152016_BenchMarkDataReport!$B$3:$BO$99,34,0)</f>
        <v>37814.07</v>
      </c>
      <c r="U87" s="595">
        <f>VLOOKUP(A87,[4]CFR20152016_BenchMarkDataReport!$B$3:$BO$99,35,0)</f>
        <v>550010.57999999996</v>
      </c>
      <c r="V87" s="595">
        <f>VLOOKUP(A87,[4]CFR20152016_BenchMarkDataReport!$B$3:$BO$99,36,0)</f>
        <v>13229.53</v>
      </c>
      <c r="W87" s="595">
        <f>VLOOKUP(A87,[4]CFR20152016_BenchMarkDataReport!$B$3:$BO$99,37,0)</f>
        <v>257398.82</v>
      </c>
      <c r="X87" s="595">
        <f>VLOOKUP(A87,[4]CFR20152016_BenchMarkDataReport!$B$3:$BO$99,38,0)</f>
        <v>26835.93</v>
      </c>
      <c r="Y87" s="595">
        <f>VLOOKUP(A87,[4]CFR20152016_BenchMarkDataReport!$B$3:$BO$99,39,0)</f>
        <v>67931.88</v>
      </c>
      <c r="Z87" s="595">
        <f>VLOOKUP(A87,[4]CFR20152016_BenchMarkDataReport!$B$3:$BO$99,40,0)</f>
        <v>0</v>
      </c>
      <c r="AA87" s="595">
        <f>VLOOKUP(A87,[4]CFR20152016_BenchMarkDataReport!$B$3:$BO$99,41,0)</f>
        <v>28963.21</v>
      </c>
      <c r="AB87" s="595">
        <f>VLOOKUP(A87,[4]CFR20152016_BenchMarkDataReport!$B$3:$BO$99,42,0)</f>
        <v>5294.45</v>
      </c>
      <c r="AC87" s="595">
        <f>VLOOKUP(A87,[4]CFR20152016_BenchMarkDataReport!$B$3:$BO$99,43,0)</f>
        <v>4334.7700000000004</v>
      </c>
      <c r="AD87" s="595">
        <f>VLOOKUP(A87,[4]CFR20152016_BenchMarkDataReport!$B$3:$BO$99,44,0)</f>
        <v>12792.25</v>
      </c>
      <c r="AE87" s="595">
        <f>VLOOKUP(A87,[4]CFR20152016_BenchMarkDataReport!$B$3:$BO$99,45,0)</f>
        <v>0.2</v>
      </c>
      <c r="AF87" s="595">
        <f>VLOOKUP(A87,[4]CFR20152016_BenchMarkDataReport!$B$3:$BO$99,46,0)</f>
        <v>25694.69</v>
      </c>
      <c r="AG87" s="595">
        <f>VLOOKUP(A87,[4]CFR20152016_BenchMarkDataReport!$B$3:$BO$99,47,0)</f>
        <v>9872.0499999999993</v>
      </c>
      <c r="AH87" s="595">
        <f>VLOOKUP(A87,[4]CFR20152016_BenchMarkDataReport!$B$3:$BO$99,48,0)</f>
        <v>11481.48</v>
      </c>
      <c r="AI87" s="595">
        <f>VLOOKUP(A87,[4]CFR20152016_BenchMarkDataReport!$B$3:$BO$99,49,0)</f>
        <v>2481.5300000000002</v>
      </c>
      <c r="AJ87" s="595">
        <f>VLOOKUP(A87,[4]CFR20152016_BenchMarkDataReport!$B$3:$BO$99,50,0)</f>
        <v>11823.63</v>
      </c>
      <c r="AK87" s="595">
        <f>VLOOKUP(A87,[4]CFR20152016_BenchMarkDataReport!$B$3:$BO$99,51,0)</f>
        <v>8178.75</v>
      </c>
      <c r="AL87" s="595">
        <f>VLOOKUP(A87,[4]CFR20152016_BenchMarkDataReport!$B$3:$BO$99,52,0)</f>
        <v>6364.72</v>
      </c>
      <c r="AM87" s="595">
        <f>VLOOKUP(A87,[4]CFR20152016_BenchMarkDataReport!$B$3:$BO$99,53,0)</f>
        <v>58979.54</v>
      </c>
      <c r="AN87" s="595">
        <f>VLOOKUP(A87,[4]CFR20152016_BenchMarkDataReport!$B$3:$BO$99,54,0)</f>
        <v>15829.69</v>
      </c>
      <c r="AO87" s="595">
        <f>VLOOKUP(A87,[4]CFR20152016_BenchMarkDataReport!$B$3:$BO$99,55,0)</f>
        <v>0</v>
      </c>
      <c r="AP87" s="595">
        <f>VLOOKUP(A87,[4]CFR20152016_BenchMarkDataReport!$B$3:$BO$99,56,0)</f>
        <v>11484.96</v>
      </c>
      <c r="AQ87" s="595">
        <f>VLOOKUP(A87,[4]CFR20152016_BenchMarkDataReport!$B$3:$BO$99,57,0)</f>
        <v>5245.46</v>
      </c>
      <c r="AR87" s="595">
        <f>VLOOKUP(A87,[4]CFR20152016_BenchMarkDataReport!$B$3:$BO$99,58,0)</f>
        <v>3946.1</v>
      </c>
      <c r="AS87" s="595">
        <f>VLOOKUP(A87,[4]CFR20152016_BenchMarkDataReport!$B$3:$BO$99,59,0)</f>
        <v>65025.59</v>
      </c>
      <c r="AT87" s="595">
        <f>VLOOKUP(A87,[4]CFR20152016_BenchMarkDataReport!$B$3:$BO$99,60,0)</f>
        <v>8700.9500000000007</v>
      </c>
      <c r="AU87" s="595">
        <f>VLOOKUP(A87,[4]CFR20152016_BenchMarkDataReport!$B$3:$BO$99,61,0)</f>
        <v>49634.720000000001</v>
      </c>
      <c r="AV87" s="595">
        <f>VLOOKUP(A87,[4]CFR20152016_BenchMarkDataReport!$B$3:$BO$99,62,0)</f>
        <v>24084.35</v>
      </c>
      <c r="AW87" s="595">
        <f>VLOOKUP(A87,[4]CFR20152016_BenchMarkDataReport!$B$3:$BO$99,63,0)</f>
        <v>0</v>
      </c>
      <c r="AX87" s="595">
        <f>VLOOKUP(A87,[4]CFR20152016_BenchMarkDataReport!$B$3:$BO$99,64,0)</f>
        <v>0</v>
      </c>
      <c r="AY87" s="595">
        <f>VLOOKUP(A87,[4]CFR20152016_BenchMarkDataReport!$B$3:$BO$99,65,0)</f>
        <v>0</v>
      </c>
      <c r="AZ87" s="595">
        <f>VLOOKUP(A87,[4]CFR20152016_BenchMarkDataReport!$B$3:$BO$99,66,0)</f>
        <v>0</v>
      </c>
      <c r="BA87" s="596">
        <f t="shared" si="134"/>
        <v>1256418.83</v>
      </c>
      <c r="BB87" s="595">
        <f t="shared" si="139"/>
        <v>1285619.8299999998</v>
      </c>
      <c r="BC87" s="601">
        <f t="shared" si="100"/>
        <v>-29200.999999999767</v>
      </c>
      <c r="BD87" s="595">
        <f>VLOOKUP(A87,[4]CFR20152016_BenchMarkDataReport!$B$3:$BO$99,15,0)</f>
        <v>149100</v>
      </c>
      <c r="BE87" s="601">
        <f t="shared" si="101"/>
        <v>119899.00000000023</v>
      </c>
      <c r="BF87" s="76">
        <f>VLOOKUP(A87,'OCT 15 CENSUS'!$B$9:$U$132,20,0)</f>
        <v>239</v>
      </c>
      <c r="BG87" s="73">
        <f>VLOOKUP(A87,'[2]BUDGET SHARE inc ADJUSTMENTS'!$D$4:$M$139,10,0)</f>
        <v>1106843.8766056432</v>
      </c>
      <c r="BH87" s="76">
        <f>VLOOKUP(A87,'12-13 Pupil Data'!A:CI,81,0)</f>
        <v>1484</v>
      </c>
      <c r="BI87" t="s">
        <v>210</v>
      </c>
      <c r="BJ87" s="44">
        <f t="shared" si="140"/>
        <v>0.7877317868596414</v>
      </c>
      <c r="BK87" s="45">
        <f t="shared" si="141"/>
        <v>4141.0922594142257</v>
      </c>
      <c r="BL87" s="44">
        <f t="shared" si="142"/>
        <v>0</v>
      </c>
      <c r="BM87" s="45">
        <f t="shared" si="143"/>
        <v>0</v>
      </c>
      <c r="BN87" s="44">
        <f t="shared" si="144"/>
        <v>3.4645294196999576E-2</v>
      </c>
      <c r="BO87" s="45">
        <f t="shared" si="145"/>
        <v>182.12970711297072</v>
      </c>
      <c r="BP87" s="44">
        <f t="shared" si="146"/>
        <v>0</v>
      </c>
      <c r="BQ87" s="45">
        <f t="shared" si="147"/>
        <v>0</v>
      </c>
      <c r="BR87" s="44">
        <f t="shared" si="148"/>
        <v>2.4475118699072665E-2</v>
      </c>
      <c r="BS87" s="45">
        <f t="shared" si="149"/>
        <v>128.6652719665272</v>
      </c>
      <c r="BT87" s="44">
        <f t="shared" si="150"/>
        <v>3.5020169189918936E-3</v>
      </c>
      <c r="BU87" s="45">
        <f t="shared" si="151"/>
        <v>18.410041841004183</v>
      </c>
      <c r="BV87" s="44">
        <f t="shared" si="152"/>
        <v>4.6770152274779259E-3</v>
      </c>
      <c r="BW87" s="45">
        <f t="shared" si="153"/>
        <v>24.586987447698746</v>
      </c>
      <c r="BX87" s="44">
        <f t="shared" si="154"/>
        <v>3.6038253263046049E-2</v>
      </c>
      <c r="BY87" s="45">
        <f t="shared" si="155"/>
        <v>189.45246861924687</v>
      </c>
      <c r="BZ87" s="46">
        <f t="shared" si="156"/>
        <v>3.244942612010996E-2</v>
      </c>
      <c r="CA87" s="47">
        <f t="shared" si="157"/>
        <v>170.58606694560669</v>
      </c>
      <c r="CB87" s="44">
        <f t="shared" si="158"/>
        <v>8.404713259510763E-3</v>
      </c>
      <c r="CC87" s="48">
        <f t="shared" si="159"/>
        <v>44.183430962343095</v>
      </c>
      <c r="CD87" s="46">
        <f t="shared" si="135"/>
        <v>0.51673146691109761</v>
      </c>
      <c r="CE87" s="49">
        <f t="shared" si="136"/>
        <v>0.45521528836049036</v>
      </c>
      <c r="CF87" s="49">
        <f t="shared" si="137"/>
        <v>0.44487572970930295</v>
      </c>
      <c r="CG87" s="47">
        <f t="shared" si="138"/>
        <v>2393.0588284518826</v>
      </c>
      <c r="CH87" s="44">
        <f t="shared" si="102"/>
        <v>0.23255205674477294</v>
      </c>
      <c r="CI87" s="50">
        <f t="shared" si="103"/>
        <v>0.20486705058376115</v>
      </c>
      <c r="CJ87" s="50">
        <f t="shared" si="104"/>
        <v>0.20021379103961087</v>
      </c>
      <c r="CK87" s="45">
        <f t="shared" si="105"/>
        <v>1076.982510460251</v>
      </c>
      <c r="CL87" s="46">
        <f t="shared" si="105"/>
        <v>2.4245451926153953E-2</v>
      </c>
      <c r="CM87" s="49">
        <f t="shared" si="160"/>
        <v>2.1359063840200483E-2</v>
      </c>
      <c r="CN87" s="49">
        <f t="shared" si="161"/>
        <v>2.0873923514387611E-2</v>
      </c>
      <c r="CO87" s="47">
        <f t="shared" si="162"/>
        <v>112.28422594142259</v>
      </c>
      <c r="CP87" s="44">
        <f t="shared" si="106"/>
        <v>6.1374401065782305E-2</v>
      </c>
      <c r="CQ87" s="50">
        <f t="shared" si="107"/>
        <v>5.4067862067937969E-2</v>
      </c>
      <c r="CR87" s="50">
        <f t="shared" si="163"/>
        <v>5.2839788571089487E-2</v>
      </c>
      <c r="CS87" s="45">
        <f t="shared" si="108"/>
        <v>284.23380753138076</v>
      </c>
      <c r="CT87" s="46">
        <f t="shared" si="109"/>
        <v>0.85320971634779985</v>
      </c>
      <c r="CU87" s="49">
        <f t="shared" si="110"/>
        <v>0.751636259701711</v>
      </c>
      <c r="CV87" s="49">
        <f t="shared" si="111"/>
        <v>0.73456392625804479</v>
      </c>
      <c r="CW87" s="47">
        <f t="shared" si="112"/>
        <v>3951.3387029288701</v>
      </c>
      <c r="CX87" s="44">
        <f t="shared" si="113"/>
        <v>2.3214376067921951E-2</v>
      </c>
      <c r="CY87" s="50">
        <f t="shared" si="114"/>
        <v>1.998622718817273E-2</v>
      </c>
      <c r="CZ87" s="48">
        <f t="shared" si="115"/>
        <v>17.314481132075471</v>
      </c>
      <c r="DA87" s="45">
        <f t="shared" si="116"/>
        <v>107.50916317991631</v>
      </c>
      <c r="DB87" s="51">
        <f t="shared" si="117"/>
        <v>1.9302206936244912E-3</v>
      </c>
      <c r="DC87" s="52">
        <f t="shared" si="118"/>
        <v>10.382970711297071</v>
      </c>
      <c r="DD87" s="44">
        <f t="shared" si="118"/>
        <v>1.0682292462293337E-2</v>
      </c>
      <c r="DE87" s="50">
        <f t="shared" si="119"/>
        <v>9.196832317062191E-3</v>
      </c>
      <c r="DF87" s="48">
        <f t="shared" si="120"/>
        <v>7.9674056603773575</v>
      </c>
      <c r="DG87" s="45">
        <f t="shared" si="121"/>
        <v>49.471255230125522</v>
      </c>
      <c r="DH87" s="46">
        <f t="shared" si="122"/>
        <v>5.7503322144390225E-3</v>
      </c>
      <c r="DI87" s="49">
        <f t="shared" si="123"/>
        <v>4.9507014838126766E-3</v>
      </c>
      <c r="DJ87" s="47">
        <f t="shared" si="124"/>
        <v>4.2888948787061993</v>
      </c>
      <c r="DK87" s="44">
        <f t="shared" si="125"/>
        <v>5.3286232364470845E-2</v>
      </c>
      <c r="DL87" s="50">
        <f t="shared" si="126"/>
        <v>4.6942578853263445E-2</v>
      </c>
      <c r="DM87" s="50">
        <f t="shared" si="127"/>
        <v>4.5876345886792992E-2</v>
      </c>
      <c r="DN87" s="45">
        <f t="shared" si="128"/>
        <v>246.7763179916318</v>
      </c>
      <c r="DO87" s="46">
        <f t="shared" si="129"/>
        <v>1.0376314349970397E-2</v>
      </c>
      <c r="DP87" s="49">
        <f t="shared" si="130"/>
        <v>8.9334029640784247E-3</v>
      </c>
      <c r="DQ87" s="47">
        <f t="shared" si="131"/>
        <v>48.054225941422594</v>
      </c>
      <c r="DR87" s="53">
        <f t="shared" si="132"/>
        <v>5.0579174716058946E-2</v>
      </c>
      <c r="DS87" s="45">
        <f t="shared" si="133"/>
        <v>272.07359832635984</v>
      </c>
      <c r="DT87" s="46">
        <f t="shared" si="164"/>
        <v>2.0779805071094644E-5</v>
      </c>
      <c r="DU87" s="49">
        <f t="shared" si="165"/>
        <v>1.830599753109399E-5</v>
      </c>
      <c r="DV87" s="49">
        <f t="shared" si="166"/>
        <v>1.7890203202606173E-5</v>
      </c>
      <c r="DW87" s="47">
        <f t="shared" si="167"/>
        <v>9.6234309623430964E-2</v>
      </c>
      <c r="DY87" s="54">
        <f>VLOOKUP(A87,'[3]Barnet Schools'!$E$8:$V$130,17,0)</f>
        <v>23</v>
      </c>
    </row>
    <row r="88" spans="1:256" s="244" customFormat="1" ht="16.5" thickBot="1">
      <c r="A88" s="239">
        <v>5999</v>
      </c>
      <c r="B88" s="240"/>
      <c r="C88" s="241" t="s">
        <v>211</v>
      </c>
      <c r="D88" s="599">
        <f t="shared" ref="D88:AZ88" si="168">AVERAGE(D9:D87)</f>
        <v>1532507.3937974679</v>
      </c>
      <c r="E88" s="599">
        <f t="shared" si="168"/>
        <v>0</v>
      </c>
      <c r="F88" s="599">
        <f t="shared" si="168"/>
        <v>85068.041012658228</v>
      </c>
      <c r="G88" s="599">
        <f t="shared" si="168"/>
        <v>0</v>
      </c>
      <c r="H88" s="599">
        <f t="shared" si="168"/>
        <v>114765.3582278481</v>
      </c>
      <c r="I88" s="599">
        <f t="shared" si="168"/>
        <v>5658.4506329113929</v>
      </c>
      <c r="J88" s="599">
        <f t="shared" si="168"/>
        <v>6981.235569620253</v>
      </c>
      <c r="K88" s="599">
        <f t="shared" si="168"/>
        <v>40314.461139240506</v>
      </c>
      <c r="L88" s="599">
        <f t="shared" si="168"/>
        <v>34486.549746835437</v>
      </c>
      <c r="M88" s="599">
        <f t="shared" si="168"/>
        <v>9552.6377215189859</v>
      </c>
      <c r="N88" s="599">
        <f t="shared" si="168"/>
        <v>3634.940126582278</v>
      </c>
      <c r="O88" s="599">
        <f t="shared" si="168"/>
        <v>29629.30797468355</v>
      </c>
      <c r="P88" s="599">
        <f t="shared" si="168"/>
        <v>32205.727848101284</v>
      </c>
      <c r="Q88" s="599">
        <f t="shared" si="168"/>
        <v>177.27443037974683</v>
      </c>
      <c r="R88" s="599">
        <f t="shared" si="168"/>
        <v>23604.090632911393</v>
      </c>
      <c r="S88" s="599">
        <f t="shared" si="168"/>
        <v>3440.8301265822788</v>
      </c>
      <c r="T88" s="599">
        <f t="shared" si="168"/>
        <v>55531.654177215183</v>
      </c>
      <c r="U88" s="599">
        <f t="shared" si="168"/>
        <v>832531.9362025318</v>
      </c>
      <c r="V88" s="599">
        <f t="shared" si="168"/>
        <v>5289.3437974683566</v>
      </c>
      <c r="W88" s="599">
        <f t="shared" si="168"/>
        <v>384196.4777215189</v>
      </c>
      <c r="X88" s="599">
        <f t="shared" si="168"/>
        <v>43801.968354430392</v>
      </c>
      <c r="Y88" s="599">
        <f t="shared" si="168"/>
        <v>75831.757215189864</v>
      </c>
      <c r="Z88" s="599">
        <f t="shared" si="168"/>
        <v>3915.5521518987343</v>
      </c>
      <c r="AA88" s="599">
        <f t="shared" si="168"/>
        <v>42082.236582278478</v>
      </c>
      <c r="AB88" s="599">
        <f t="shared" si="168"/>
        <v>13086.161012658225</v>
      </c>
      <c r="AC88" s="599">
        <f t="shared" si="168"/>
        <v>9440.1345569620207</v>
      </c>
      <c r="AD88" s="599">
        <f t="shared" si="168"/>
        <v>12553.563164556963</v>
      </c>
      <c r="AE88" s="599">
        <f t="shared" si="168"/>
        <v>3102.3656962025316</v>
      </c>
      <c r="AF88" s="599">
        <f t="shared" si="168"/>
        <v>32453.478734177224</v>
      </c>
      <c r="AG88" s="599">
        <f t="shared" si="168"/>
        <v>5117.7596202531649</v>
      </c>
      <c r="AH88" s="599">
        <f t="shared" si="168"/>
        <v>22730.843417721524</v>
      </c>
      <c r="AI88" s="599">
        <f t="shared" si="168"/>
        <v>4113.9437974683551</v>
      </c>
      <c r="AJ88" s="599">
        <f t="shared" si="168"/>
        <v>22852.418101265826</v>
      </c>
      <c r="AK88" s="599">
        <f t="shared" si="168"/>
        <v>9119.7159493670879</v>
      </c>
      <c r="AL88" s="599">
        <f t="shared" si="168"/>
        <v>12945.962658227845</v>
      </c>
      <c r="AM88" s="599">
        <f t="shared" si="168"/>
        <v>81842.847974683551</v>
      </c>
      <c r="AN88" s="599">
        <f t="shared" si="168"/>
        <v>19373.97012658227</v>
      </c>
      <c r="AO88" s="599">
        <f t="shared" si="168"/>
        <v>0</v>
      </c>
      <c r="AP88" s="599">
        <f t="shared" si="168"/>
        <v>15211.299620253161</v>
      </c>
      <c r="AQ88" s="599">
        <f t="shared" si="168"/>
        <v>8059.8335443037959</v>
      </c>
      <c r="AR88" s="599">
        <f t="shared" si="168"/>
        <v>11542.137848101265</v>
      </c>
      <c r="AS88" s="599">
        <f t="shared" si="168"/>
        <v>93230.824177215181</v>
      </c>
      <c r="AT88" s="599">
        <f t="shared" si="168"/>
        <v>61123.233291139251</v>
      </c>
      <c r="AU88" s="599">
        <f t="shared" si="168"/>
        <v>89867.590253164555</v>
      </c>
      <c r="AV88" s="599">
        <f t="shared" si="168"/>
        <v>36657.288734177215</v>
      </c>
      <c r="AW88" s="599">
        <f t="shared" si="168"/>
        <v>0</v>
      </c>
      <c r="AX88" s="599">
        <f t="shared" si="168"/>
        <v>10484.173037974684</v>
      </c>
      <c r="AY88" s="599">
        <f t="shared" si="168"/>
        <v>21403.580379746836</v>
      </c>
      <c r="AZ88" s="599">
        <f t="shared" si="168"/>
        <v>3795.5313924050629</v>
      </c>
      <c r="BA88" s="599">
        <f t="shared" ref="BA88:BH88" si="169">AVERAGE(BA9:BA87)</f>
        <v>1950513.0324050633</v>
      </c>
      <c r="BB88" s="599">
        <f t="shared" si="169"/>
        <v>1962558.8173417721</v>
      </c>
      <c r="BC88" s="599">
        <f t="shared" si="169"/>
        <v>-12045.784936708893</v>
      </c>
      <c r="BD88" s="599">
        <f t="shared" si="169"/>
        <v>122207.56962025317</v>
      </c>
      <c r="BE88" s="599">
        <f t="shared" si="169"/>
        <v>110161.78468354423</v>
      </c>
      <c r="BF88" s="243">
        <f t="shared" si="169"/>
        <v>363.84810126582278</v>
      </c>
      <c r="BG88" s="243">
        <f t="shared" si="169"/>
        <v>1784836.9635174361</v>
      </c>
      <c r="BH88" s="243">
        <f t="shared" si="169"/>
        <v>1953.5126582278485</v>
      </c>
      <c r="BI88" s="244" t="s">
        <v>210</v>
      </c>
      <c r="BJ88" s="245">
        <f t="shared" ref="BJ88:CO88" si="170">AVERAGE(BJ9:BJ87)</f>
        <v>0.78595470938385747</v>
      </c>
      <c r="BK88" s="246">
        <f t="shared" si="170"/>
        <v>4229.1507746862753</v>
      </c>
      <c r="BL88" s="245">
        <f t="shared" si="170"/>
        <v>0</v>
      </c>
      <c r="BM88" s="246">
        <f t="shared" si="170"/>
        <v>0</v>
      </c>
      <c r="BN88" s="245">
        <f t="shared" si="170"/>
        <v>4.0789270530019621E-2</v>
      </c>
      <c r="BO88" s="246">
        <f t="shared" si="170"/>
        <v>229.27327974081265</v>
      </c>
      <c r="BP88" s="245">
        <f t="shared" si="170"/>
        <v>0</v>
      </c>
      <c r="BQ88" s="246">
        <f t="shared" si="170"/>
        <v>0</v>
      </c>
      <c r="BR88" s="245">
        <f t="shared" si="170"/>
        <v>5.2707699730701212E-2</v>
      </c>
      <c r="BS88" s="246">
        <f t="shared" si="170"/>
        <v>293.66680316691287</v>
      </c>
      <c r="BT88" s="245">
        <f t="shared" si="170"/>
        <v>3.228423437149153E-3</v>
      </c>
      <c r="BU88" s="246">
        <f t="shared" si="170"/>
        <v>18.161250345060242</v>
      </c>
      <c r="BV88" s="245">
        <f t="shared" si="170"/>
        <v>4.0231184974941292E-3</v>
      </c>
      <c r="BW88" s="246">
        <f t="shared" si="170"/>
        <v>22.339121878273257</v>
      </c>
      <c r="BX88" s="245">
        <f t="shared" si="170"/>
        <v>2.0595346441591205E-2</v>
      </c>
      <c r="BY88" s="246">
        <f t="shared" si="170"/>
        <v>111.37675916377165</v>
      </c>
      <c r="BZ88" s="247">
        <f t="shared" si="170"/>
        <v>1.6447487468895284E-2</v>
      </c>
      <c r="CA88" s="248">
        <f t="shared" si="170"/>
        <v>86.749103812524567</v>
      </c>
      <c r="CB88" s="249">
        <f t="shared" si="170"/>
        <v>1.9826669359033797E-2</v>
      </c>
      <c r="CC88" s="250">
        <f t="shared" si="170"/>
        <v>107.03416705985134</v>
      </c>
      <c r="CD88" s="247">
        <f t="shared" si="170"/>
        <v>0.51579329198957347</v>
      </c>
      <c r="CE88" s="251">
        <f t="shared" si="170"/>
        <v>0.46700656859306872</v>
      </c>
      <c r="CF88" s="251">
        <f t="shared" si="170"/>
        <v>0.46429060623010765</v>
      </c>
      <c r="CG88" s="248">
        <f t="shared" si="170"/>
        <v>2507.1053880875706</v>
      </c>
      <c r="CH88" s="249">
        <f t="shared" si="170"/>
        <v>0.21136484376283995</v>
      </c>
      <c r="CI88" s="249">
        <f t="shared" si="170"/>
        <v>0.19171591544411376</v>
      </c>
      <c r="CJ88" s="249">
        <f t="shared" si="170"/>
        <v>0.1907564564814308</v>
      </c>
      <c r="CK88" s="252">
        <f t="shared" si="170"/>
        <v>1050.2888168968625</v>
      </c>
      <c r="CL88" s="247">
        <f t="shared" si="170"/>
        <v>2.5019535187101403E-2</v>
      </c>
      <c r="CM88" s="251">
        <f t="shared" si="170"/>
        <v>2.2661358357920342E-2</v>
      </c>
      <c r="CN88" s="251">
        <f t="shared" si="170"/>
        <v>2.2493684702538156E-2</v>
      </c>
      <c r="CO88" s="248">
        <f t="shared" si="170"/>
        <v>122.51714761669676</v>
      </c>
      <c r="CP88" s="249">
        <f t="shared" ref="CP88:DU88" si="171">AVERAGE(CP9:CP87)</f>
        <v>4.2881747739083105E-2</v>
      </c>
      <c r="CQ88" s="249">
        <f t="shared" si="171"/>
        <v>3.8617884869801264E-2</v>
      </c>
      <c r="CR88" s="249">
        <f t="shared" si="171"/>
        <v>3.8421118063075847E-2</v>
      </c>
      <c r="CS88" s="252">
        <f t="shared" si="171"/>
        <v>206.84616772152282</v>
      </c>
      <c r="CT88" s="247">
        <f t="shared" si="171"/>
        <v>0.78549919285101333</v>
      </c>
      <c r="CU88" s="251">
        <f t="shared" si="171"/>
        <v>0.71125389516488702</v>
      </c>
      <c r="CV88" s="251">
        <f t="shared" si="171"/>
        <v>0.70733319526421867</v>
      </c>
      <c r="CW88" s="248">
        <f t="shared" si="171"/>
        <v>3835.8568581271184</v>
      </c>
      <c r="CX88" s="249">
        <f t="shared" si="171"/>
        <v>1.8293819552963751E-2</v>
      </c>
      <c r="CY88" s="249">
        <f t="shared" si="171"/>
        <v>1.6483267673050653E-2</v>
      </c>
      <c r="CZ88" s="250">
        <f t="shared" si="171"/>
        <v>16.50206460700505</v>
      </c>
      <c r="DA88" s="252">
        <f t="shared" si="171"/>
        <v>90.237804233146903</v>
      </c>
      <c r="DB88" s="247">
        <f t="shared" si="171"/>
        <v>2.1333785455868877E-3</v>
      </c>
      <c r="DC88" s="248">
        <f t="shared" si="171"/>
        <v>11.549310841096805</v>
      </c>
      <c r="DD88" s="249">
        <f t="shared" si="171"/>
        <v>1.262720184678323E-2</v>
      </c>
      <c r="DE88" s="249">
        <f t="shared" si="171"/>
        <v>1.1375136162930621E-2</v>
      </c>
      <c r="DF88" s="250">
        <f t="shared" si="171"/>
        <v>11.658396458053126</v>
      </c>
      <c r="DG88" s="252">
        <f t="shared" si="171"/>
        <v>61.690628872840684</v>
      </c>
      <c r="DH88" s="247">
        <f t="shared" si="171"/>
        <v>7.9761913579932953E-3</v>
      </c>
      <c r="DI88" s="251">
        <f t="shared" si="171"/>
        <v>6.8041693358312826E-3</v>
      </c>
      <c r="DJ88" s="248">
        <f t="shared" si="171"/>
        <v>6.7428854199265418</v>
      </c>
      <c r="DK88" s="249">
        <f t="shared" si="171"/>
        <v>4.7953477901073557E-2</v>
      </c>
      <c r="DL88" s="253">
        <f t="shared" si="171"/>
        <v>4.3083195796938999E-2</v>
      </c>
      <c r="DM88" s="253">
        <f t="shared" si="171"/>
        <v>4.2877992421180733E-2</v>
      </c>
      <c r="DN88" s="252">
        <f t="shared" si="171"/>
        <v>231.01066426996567</v>
      </c>
      <c r="DO88" s="247">
        <f t="shared" si="171"/>
        <v>8.3921802673015862E-3</v>
      </c>
      <c r="DP88" s="251">
        <f t="shared" si="171"/>
        <v>7.6000816459437142E-3</v>
      </c>
      <c r="DQ88" s="248">
        <f t="shared" si="171"/>
        <v>41.230751577018765</v>
      </c>
      <c r="DR88" s="254">
        <f t="shared" si="171"/>
        <v>4.9309007374992969E-2</v>
      </c>
      <c r="DS88" s="255">
        <f t="shared" si="171"/>
        <v>263.87756976180827</v>
      </c>
      <c r="DT88" s="55" t="e">
        <f t="shared" si="171"/>
        <v>#VALUE!</v>
      </c>
      <c r="DU88" s="55" t="e">
        <f t="shared" si="171"/>
        <v>#VALUE!</v>
      </c>
      <c r="DV88" s="55" t="e">
        <f>AVERAGE(DV9:DV87)</f>
        <v>#VALUE!</v>
      </c>
      <c r="DW88" s="56" t="e">
        <f>AVERAGE(DW9:DW87)</f>
        <v>#VALUE!</v>
      </c>
      <c r="DX88" s="56"/>
      <c r="DY88" s="56">
        <f>AVERAGE(DY9:DY87)</f>
        <v>85.58552631578948</v>
      </c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.75" thickTop="1">
      <c r="A89" s="77">
        <v>5408</v>
      </c>
      <c r="B89" s="78">
        <v>10137</v>
      </c>
      <c r="C89" s="589" t="s">
        <v>118</v>
      </c>
      <c r="D89" s="595">
        <f>VLOOKUP(A89,[4]CFR20152016_BenchMarkDataReport!$B$3:$BO$99,18,0)</f>
        <v>3519328</v>
      </c>
      <c r="E89" s="595">
        <f>VLOOKUP(A89,[4]CFR20152016_BenchMarkDataReport!$B$3:$BO$99,19,0)</f>
        <v>1222794</v>
      </c>
      <c r="F89" s="595">
        <f>VLOOKUP(A89,[4]CFR20152016_BenchMarkDataReport!$B$3:$BO$99,20,0)</f>
        <v>108413.84</v>
      </c>
      <c r="G89" s="595">
        <f>VLOOKUP(A89,[4]CFR20152016_BenchMarkDataReport!$B$3:$BO$99,21,0)</f>
        <v>0</v>
      </c>
      <c r="H89" s="595">
        <f>VLOOKUP(A89,[4]CFR20152016_BenchMarkDataReport!$B$3:$BO$99,22,0)</f>
        <v>221390</v>
      </c>
      <c r="I89" s="595">
        <f>VLOOKUP(A89,[4]CFR20152016_BenchMarkDataReport!$B$3:$BO$99,23,0)</f>
        <v>259361.63</v>
      </c>
      <c r="J89" s="595">
        <f>VLOOKUP(A89,[4]CFR20152016_BenchMarkDataReport!$B$3:$BO$99,24,0)</f>
        <v>17406.3</v>
      </c>
      <c r="K89" s="595">
        <f>VLOOKUP(A89,[4]CFR20152016_BenchMarkDataReport!$B$3:$BO$99,25,0)</f>
        <v>33167.449999999997</v>
      </c>
      <c r="L89" s="595">
        <f>VLOOKUP(A89,[4]CFR20152016_BenchMarkDataReport!$B$3:$BO$99,26,0)</f>
        <v>43086.51</v>
      </c>
      <c r="M89" s="595">
        <f>VLOOKUP(A89,[4]CFR20152016_BenchMarkDataReport!$B$3:$BO$99,27,0)</f>
        <v>0</v>
      </c>
      <c r="N89" s="595">
        <f>VLOOKUP(A89,[4]CFR20152016_BenchMarkDataReport!$B$3:$BO$99,28,0)</f>
        <v>0</v>
      </c>
      <c r="O89" s="595">
        <f>VLOOKUP(A89,[4]CFR20152016_BenchMarkDataReport!$B$3:$BO$99,29,0)</f>
        <v>35244.44</v>
      </c>
      <c r="P89" s="595">
        <f>VLOOKUP(A89,[4]CFR20152016_BenchMarkDataReport!$B$3:$BO$99,30,0)</f>
        <v>101.83</v>
      </c>
      <c r="Q89" s="595">
        <f>VLOOKUP(A89,[4]CFR20152016_BenchMarkDataReport!$B$3:$BO$99,31,0)</f>
        <v>0</v>
      </c>
      <c r="R89" s="595">
        <f>VLOOKUP(A89,[4]CFR20152016_BenchMarkDataReport!$B$3:$BO$99,32,0)</f>
        <v>0</v>
      </c>
      <c r="S89" s="595">
        <f>VLOOKUP(A89,[4]CFR20152016_BenchMarkDataReport!$B$3:$BO$99,33,0)</f>
        <v>0</v>
      </c>
      <c r="T89" s="595">
        <f>VLOOKUP(A89,[4]CFR20152016_BenchMarkDataReport!$B$3:$BO$99,34,0)</f>
        <v>29500</v>
      </c>
      <c r="U89" s="595">
        <f>VLOOKUP(A89,[4]CFR20152016_BenchMarkDataReport!$B$3:$BO$99,35,0)</f>
        <v>2832572.31</v>
      </c>
      <c r="V89" s="595">
        <f>VLOOKUP(A89,[4]CFR20152016_BenchMarkDataReport!$B$3:$BO$99,36,0)</f>
        <v>7501.05</v>
      </c>
      <c r="W89" s="595">
        <f>VLOOKUP(A89,[4]CFR20152016_BenchMarkDataReport!$B$3:$BO$99,37,0)</f>
        <v>683322.22</v>
      </c>
      <c r="X89" s="595">
        <f>VLOOKUP(A89,[4]CFR20152016_BenchMarkDataReport!$B$3:$BO$99,38,0)</f>
        <v>145642.35</v>
      </c>
      <c r="Y89" s="595">
        <f>VLOOKUP(A89,[4]CFR20152016_BenchMarkDataReport!$B$3:$BO$99,39,0)</f>
        <v>336554.85</v>
      </c>
      <c r="Z89" s="595">
        <f>VLOOKUP(A89,[4]CFR20152016_BenchMarkDataReport!$B$3:$BO$99,40,0)</f>
        <v>0</v>
      </c>
      <c r="AA89" s="595">
        <f>VLOOKUP(A89,[4]CFR20152016_BenchMarkDataReport!$B$3:$BO$99,41,0)</f>
        <v>14466.86</v>
      </c>
      <c r="AB89" s="595">
        <f>VLOOKUP(A89,[4]CFR20152016_BenchMarkDataReport!$B$3:$BO$99,42,0)</f>
        <v>69094.679999999993</v>
      </c>
      <c r="AC89" s="595">
        <f>VLOOKUP(A89,[4]CFR20152016_BenchMarkDataReport!$B$3:$BO$99,43,0)</f>
        <v>75287.87</v>
      </c>
      <c r="AD89" s="595">
        <f>VLOOKUP(A89,[4]CFR20152016_BenchMarkDataReport!$B$3:$BO$99,44,0)</f>
        <v>540</v>
      </c>
      <c r="AE89" s="595">
        <f>VLOOKUP(A89,[4]CFR20152016_BenchMarkDataReport!$B$3:$BO$99,45,0)</f>
        <v>11209</v>
      </c>
      <c r="AF89" s="595">
        <f>VLOOKUP(A89,[4]CFR20152016_BenchMarkDataReport!$B$3:$BO$99,46,0)</f>
        <v>134643.64000000001</v>
      </c>
      <c r="AG89" s="595">
        <f>VLOOKUP(A89,[4]CFR20152016_BenchMarkDataReport!$B$3:$BO$99,47,0)</f>
        <v>4960.32</v>
      </c>
      <c r="AH89" s="595">
        <f>VLOOKUP(A89,[4]CFR20152016_BenchMarkDataReport!$B$3:$BO$99,48,0)</f>
        <v>106374.32</v>
      </c>
      <c r="AI89" s="595">
        <f>VLOOKUP(A89,[4]CFR20152016_BenchMarkDataReport!$B$3:$BO$99,49,0)</f>
        <v>10115.92</v>
      </c>
      <c r="AJ89" s="595">
        <f>VLOOKUP(A89,[4]CFR20152016_BenchMarkDataReport!$B$3:$BO$99,50,0)</f>
        <v>89015.49</v>
      </c>
      <c r="AK89" s="595">
        <f>VLOOKUP(A89,[4]CFR20152016_BenchMarkDataReport!$B$3:$BO$99,51,0)</f>
        <v>0</v>
      </c>
      <c r="AL89" s="595">
        <f>VLOOKUP(A89,[4]CFR20152016_BenchMarkDataReport!$B$3:$BO$99,52,0)</f>
        <v>51275.53</v>
      </c>
      <c r="AM89" s="595">
        <f>VLOOKUP(A89,[4]CFR20152016_BenchMarkDataReport!$B$3:$BO$99,53,0)</f>
        <v>187985.88</v>
      </c>
      <c r="AN89" s="595">
        <f>VLOOKUP(A89,[4]CFR20152016_BenchMarkDataReport!$B$3:$BO$99,54,0)</f>
        <v>96655.16</v>
      </c>
      <c r="AO89" s="595">
        <f>VLOOKUP(A89,[4]CFR20152016_BenchMarkDataReport!$B$3:$BO$99,55,0)</f>
        <v>133172.70000000001</v>
      </c>
      <c r="AP89" s="595">
        <f>VLOOKUP(A89,[4]CFR20152016_BenchMarkDataReport!$B$3:$BO$99,56,0)</f>
        <v>94473.35</v>
      </c>
      <c r="AQ89" s="595">
        <f>VLOOKUP(A89,[4]CFR20152016_BenchMarkDataReport!$B$3:$BO$99,57,0)</f>
        <v>48619.62</v>
      </c>
      <c r="AR89" s="595">
        <f>VLOOKUP(A89,[4]CFR20152016_BenchMarkDataReport!$B$3:$BO$99,58,0)</f>
        <v>0</v>
      </c>
      <c r="AS89" s="595">
        <f>VLOOKUP(A89,[4]CFR20152016_BenchMarkDataReport!$B$3:$BO$99,59,0)</f>
        <v>96164.68</v>
      </c>
      <c r="AT89" s="595">
        <f>VLOOKUP(A89,[4]CFR20152016_BenchMarkDataReport!$B$3:$BO$99,60,0)</f>
        <v>64480.53</v>
      </c>
      <c r="AU89" s="595">
        <f>VLOOKUP(A89,[4]CFR20152016_BenchMarkDataReport!$B$3:$BO$99,61,0)</f>
        <v>76688.17</v>
      </c>
      <c r="AV89" s="595">
        <f>VLOOKUP(A89,[4]CFR20152016_BenchMarkDataReport!$B$3:$BO$99,62,0)</f>
        <v>47081.5</v>
      </c>
      <c r="AW89" s="595">
        <f>VLOOKUP(A89,[4]CFR20152016_BenchMarkDataReport!$B$3:$BO$99,63,0)</f>
        <v>0</v>
      </c>
      <c r="AX89" s="595">
        <f>VLOOKUP(A89,[4]CFR20152016_BenchMarkDataReport!$B$3:$BO$99,64,0)</f>
        <v>38215</v>
      </c>
      <c r="AY89" s="595">
        <f>VLOOKUP(A89,[4]CFR20152016_BenchMarkDataReport!$B$3:$BO$99,65,0)</f>
        <v>0</v>
      </c>
      <c r="AZ89" s="595">
        <f>VLOOKUP(A89,[4]CFR20152016_BenchMarkDataReport!$B$3:$BO$99,66,0)</f>
        <v>0</v>
      </c>
      <c r="BA89" s="596">
        <f t="shared" ref="BA89:BA95" si="172">SUM(D89:Q89)+T89</f>
        <v>5489794</v>
      </c>
      <c r="BB89" s="595">
        <f t="shared" ref="BB89:BB95" si="173">SUM(U89:AX89)</f>
        <v>5456113.0000000009</v>
      </c>
      <c r="BC89" s="600">
        <f t="shared" ref="BC89:BC95" si="174">BA89-BB89</f>
        <v>33680.999999999069</v>
      </c>
      <c r="BD89" s="595">
        <f>VLOOKUP(A89,[4]CFR20152016_BenchMarkDataReport!$B$3:$BO$99,15,0)</f>
        <v>49806</v>
      </c>
      <c r="BE89" s="600">
        <f t="shared" ref="BE89:BE95" si="175">SUM(BC89:BD89)</f>
        <v>83486.999999999069</v>
      </c>
      <c r="BF89" s="76">
        <f>VLOOKUP(A89,'OCT 15 CENSUS'!$B$9:$U$132,20,0)</f>
        <v>694</v>
      </c>
      <c r="BG89" s="73">
        <f>VLOOKUP(A89,'[2]BUDGET SHARE inc ADJUSTMENTS'!$D$4:$M$139,10,0)</f>
        <v>5069307.5609461581</v>
      </c>
      <c r="BH89" s="76">
        <f>VLOOKUP(A89,'12-13 Pupil Data'!A:CI,81,0)</f>
        <v>9158</v>
      </c>
      <c r="BI89" t="s">
        <v>212</v>
      </c>
      <c r="BJ89" s="44">
        <f t="shared" ref="BJ89:BJ95" si="176">D89/BA89</f>
        <v>0.64106740617225344</v>
      </c>
      <c r="BK89" s="45">
        <f t="shared" ref="BK89:BK95" si="177">D89/BF89</f>
        <v>5071.0778097982711</v>
      </c>
      <c r="BL89" s="44">
        <f t="shared" ref="BL89:BL95" si="178">E89/BA89</f>
        <v>0.22273950534391637</v>
      </c>
      <c r="BM89" s="45">
        <f t="shared" ref="BM89:BM95" si="179">E89/BF89</f>
        <v>1761.9510086455332</v>
      </c>
      <c r="BN89" s="44">
        <f t="shared" ref="BN89:BN95" si="180">F89/BA89</f>
        <v>1.9748252848831849E-2</v>
      </c>
      <c r="BO89" s="45">
        <f t="shared" ref="BO89:BO95" si="181">F89/BF89</f>
        <v>156.21590778097982</v>
      </c>
      <c r="BP89" s="44">
        <f t="shared" ref="BP89:BP95" si="182">G89/BA89</f>
        <v>0</v>
      </c>
      <c r="BQ89" s="45">
        <f t="shared" ref="BQ89:BQ95" si="183">G89/BF89</f>
        <v>0</v>
      </c>
      <c r="BR89" s="44">
        <f t="shared" ref="BR89:BR95" si="184">H89/BA89</f>
        <v>4.0327560560560194E-2</v>
      </c>
      <c r="BS89" s="45">
        <f t="shared" ref="BS89:BS95" si="185">H89/BF89</f>
        <v>319.00576368876079</v>
      </c>
      <c r="BT89" s="44">
        <f t="shared" ref="BT89:BT95" si="186">I89/BA89</f>
        <v>4.7244328293557097E-2</v>
      </c>
      <c r="BU89" s="45">
        <f t="shared" ref="BU89:BU95" si="187">I89/BF89</f>
        <v>373.71992795389048</v>
      </c>
      <c r="BV89" s="44">
        <f t="shared" ref="BV89:BV95" si="188">J89/BA89</f>
        <v>3.1706654202325259E-3</v>
      </c>
      <c r="BW89" s="45">
        <f t="shared" ref="BW89:BW95" si="189">J89/BF89</f>
        <v>25.081123919308357</v>
      </c>
      <c r="BX89" s="44">
        <f t="shared" ref="BX89:BX95" si="190">K89/BA89</f>
        <v>6.0416565721773891E-3</v>
      </c>
      <c r="BY89" s="45">
        <f t="shared" ref="BY89:BY95" si="191">K89/BF89</f>
        <v>47.791714697406334</v>
      </c>
      <c r="BZ89" s="46">
        <f t="shared" ref="BZ89:BZ95" si="192">O89/BA89</f>
        <v>6.4199931727857186E-3</v>
      </c>
      <c r="CA89" s="47">
        <f t="shared" ref="CA89:CA95" si="193">O89/BF89</f>
        <v>50.78449567723343</v>
      </c>
      <c r="CB89" s="44">
        <f t="shared" ref="CB89:CB95" si="194">P89/BA89</f>
        <v>1.8548965589601358E-5</v>
      </c>
      <c r="CC89" s="48">
        <f t="shared" ref="CC89:CC95" si="195">P89/BF89</f>
        <v>0.14672910662824207</v>
      </c>
      <c r="CD89" s="46">
        <f t="shared" ref="CD89:CD95" si="196">(U89+V89+AT89)/BG89</f>
        <v>0.57296856722141376</v>
      </c>
      <c r="CE89" s="49">
        <f t="shared" ref="CE89:CE95" si="197">(U89+V89+AT89)/BA89</f>
        <v>0.52908249198421642</v>
      </c>
      <c r="CF89" s="49">
        <f t="shared" ref="CF89:CF95" si="198">(U89+V89+AT89)/BB89</f>
        <v>0.53234855839679263</v>
      </c>
      <c r="CG89" s="47">
        <f t="shared" ref="CG89:CG95" si="199">(U89+V89+AT89)/BF89</f>
        <v>4185.2361527377516</v>
      </c>
      <c r="CH89" s="44">
        <f t="shared" ref="CH89:CH95" si="200">W89/BG89</f>
        <v>0.13479596804587285</v>
      </c>
      <c r="CI89" s="50">
        <f t="shared" ref="CI89:CI95" si="201">W89/BA89</f>
        <v>0.12447137725022105</v>
      </c>
      <c r="CJ89" s="50">
        <f t="shared" ref="CJ89:CJ95" si="202">W89/BB89</f>
        <v>0.12523974851693867</v>
      </c>
      <c r="CK89" s="45">
        <f t="shared" ref="CK89:CK95" si="203">W89/BF89</f>
        <v>984.61414985590773</v>
      </c>
      <c r="CL89" s="46">
        <f t="shared" ref="CL89:CL95" si="204">X89/BG89</f>
        <v>2.8730225627268246E-2</v>
      </c>
      <c r="CM89" s="49">
        <f t="shared" ref="CM89:CM95" si="205">X89/BA89</f>
        <v>2.6529656668355862E-2</v>
      </c>
      <c r="CN89" s="49">
        <f t="shared" ref="CN89:CN95" si="206">X89/BB89</f>
        <v>2.6693426254184981E-2</v>
      </c>
      <c r="CO89" s="47">
        <f t="shared" ref="CO89:CO95" si="207">X89/BF89</f>
        <v>209.8592939481268</v>
      </c>
      <c r="CP89" s="44">
        <f t="shared" ref="CP89:CP95" si="208">Y89/BG89</f>
        <v>6.639069457785747E-2</v>
      </c>
      <c r="CQ89" s="50">
        <f t="shared" ref="CQ89:CQ95" si="209">Y89/BA89</f>
        <v>6.1305551720155615E-2</v>
      </c>
      <c r="CR89" s="50">
        <f t="shared" ref="CR89:CR95" si="210">Y89/BB89</f>
        <v>6.1683995547746152E-2</v>
      </c>
      <c r="CS89" s="45">
        <f t="shared" ref="CS89:CS95" si="211">Y89/BF89</f>
        <v>484.94935158501437</v>
      </c>
      <c r="CT89" s="46">
        <f t="shared" ref="CT89:CT95" si="212">(U89+V89+W89+X89+Y89+Z89+AA89)/BG89</f>
        <v>0.79301947882792856</v>
      </c>
      <c r="CU89" s="49">
        <f t="shared" ref="CU89:CU95" si="213">(U89+V89+W89+X89+Y89+Z89+AA89)/BA89</f>
        <v>0.73227877767362493</v>
      </c>
      <c r="CV89" s="49">
        <f t="shared" ref="CV89:CV95" si="214">(U89+V89+W89+X89+Y89+Z89+AA89)/BB89</f>
        <v>0.736799190192725</v>
      </c>
      <c r="CW89" s="47">
        <f t="shared" ref="CW89:CW95" si="215">(U89+V89+W89+X89+Y89+Z89+AA89)/BF89</f>
        <v>5792.5931412103746</v>
      </c>
      <c r="CX89" s="44">
        <f t="shared" ref="CX89:CX95" si="216">AF89/BG89</f>
        <v>2.656055849467329E-2</v>
      </c>
      <c r="CY89" s="50">
        <f t="shared" ref="CY89:CY95" si="217">AF89/BB89</f>
        <v>2.4677575409453579E-2</v>
      </c>
      <c r="CZ89" s="48">
        <f t="shared" ref="CZ89:CZ95" si="218">AF89/BH89</f>
        <v>14.702297444856956</v>
      </c>
      <c r="DA89" s="45">
        <f t="shared" ref="DA89:DA95" si="219">AF89/BF89</f>
        <v>194.01100864553317</v>
      </c>
      <c r="DB89" s="51">
        <f t="shared" ref="DB89:DB95" si="220">AI89/BB89</f>
        <v>1.8540525095429655E-3</v>
      </c>
      <c r="DC89" s="52">
        <f t="shared" ref="DC89:DC95" si="221">AI89/BF89</f>
        <v>14.576253602305476</v>
      </c>
      <c r="DD89" s="44">
        <f t="shared" ref="DD89:DD95" si="222">AJ89/BG89</f>
        <v>1.7559694086382433E-2</v>
      </c>
      <c r="DE89" s="50">
        <f t="shared" ref="DE89:DE95" si="223">AJ89/BB89</f>
        <v>1.6314817893251111E-2</v>
      </c>
      <c r="DF89" s="48">
        <f t="shared" ref="DF89:DF95" si="224">AJ89/BH89</f>
        <v>9.7199705175802578</v>
      </c>
      <c r="DG89" s="45">
        <f t="shared" ref="DG89:DG95" si="225">AJ89/BF89</f>
        <v>128.26439481268011</v>
      </c>
      <c r="DH89" s="46">
        <f t="shared" ref="DH89:DH95" si="226">AL89/BG89</f>
        <v>1.0114898215098573E-2</v>
      </c>
      <c r="DI89" s="49">
        <f t="shared" ref="DI89:DI95" si="227">AL89/BB89</f>
        <v>9.3978130584905385E-3</v>
      </c>
      <c r="DJ89" s="47">
        <f t="shared" ref="DJ89:DJ95" si="228">AL89/BH89</f>
        <v>5.5989877702555138</v>
      </c>
      <c r="DK89" s="44">
        <f t="shared" ref="DK89:DK95" si="229">AM89/BG89</f>
        <v>3.7083147498928527E-2</v>
      </c>
      <c r="DL89" s="50">
        <f t="shared" ref="DL89:DL95" si="230">AM89/BA89</f>
        <v>3.4242793081124719E-2</v>
      </c>
      <c r="DM89" s="50">
        <f t="shared" ref="DM89:DM95" si="231">AM89/BB89</f>
        <v>3.4454176443926288E-2</v>
      </c>
      <c r="DN89" s="45">
        <f t="shared" ref="DN89:DN95" si="232">AM89/BF89</f>
        <v>270.87302593659945</v>
      </c>
      <c r="DO89" s="46">
        <f t="shared" ref="DO89:DO95" si="233">AP89/BG89</f>
        <v>1.8636342116588222E-2</v>
      </c>
      <c r="DP89" s="49">
        <f t="shared" ref="DP89:DP95" si="234">AP89/BB89</f>
        <v>1.7315138084566795E-2</v>
      </c>
      <c r="DQ89" s="47">
        <f t="shared" ref="DQ89:DQ95" si="235">AP89/BF89</f>
        <v>136.12874639769453</v>
      </c>
      <c r="DR89" s="53">
        <f t="shared" ref="DR89:DR95" si="236">AS89/BB89</f>
        <v>1.7625126165825372E-2</v>
      </c>
      <c r="DS89" s="45">
        <f t="shared" ref="DS89:DS95" si="237">AS89/BF89</f>
        <v>138.56582132564841</v>
      </c>
      <c r="DT89" s="46">
        <f t="shared" ref="DT89:DT95" si="238">DY89/BG89</f>
        <v>4.4976556908187491E-5</v>
      </c>
      <c r="DU89" s="49">
        <f t="shared" ref="DU89:DU95" si="239">DY89/BA89</f>
        <v>4.1531613025916819E-5</v>
      </c>
      <c r="DV89" s="49">
        <f t="shared" ref="DV89:DV95" si="240">DY89/BB89</f>
        <v>4.1787990827902566E-5</v>
      </c>
      <c r="DW89" s="47">
        <f t="shared" ref="DW89:DW95" si="241">DY89/BF89</f>
        <v>0.32853025936599423</v>
      </c>
      <c r="DY89" s="54">
        <f>VLOOKUP(A89,'[3]Barnet Schools'!$E$8:$V$130,17,0)</f>
        <v>228</v>
      </c>
    </row>
    <row r="90" spans="1:256">
      <c r="A90" s="77">
        <v>5405</v>
      </c>
      <c r="B90" s="78">
        <v>10145</v>
      </c>
      <c r="C90" s="589" t="s">
        <v>119</v>
      </c>
      <c r="D90" s="595">
        <f>VLOOKUP(A90,[4]CFR20152016_BenchMarkDataReport!$B$3:$BO$99,18,0)</f>
        <v>4453130</v>
      </c>
      <c r="E90" s="595">
        <f>VLOOKUP(A90,[4]CFR20152016_BenchMarkDataReport!$B$3:$BO$99,19,0)</f>
        <v>1449949</v>
      </c>
      <c r="F90" s="595">
        <f>VLOOKUP(A90,[4]CFR20152016_BenchMarkDataReport!$B$3:$BO$99,20,0)</f>
        <v>311904.32</v>
      </c>
      <c r="G90" s="595">
        <f>VLOOKUP(A90,[4]CFR20152016_BenchMarkDataReport!$B$3:$BO$99,21,0)</f>
        <v>0</v>
      </c>
      <c r="H90" s="595">
        <f>VLOOKUP(A90,[4]CFR20152016_BenchMarkDataReport!$B$3:$BO$99,22,0)</f>
        <v>121633.25</v>
      </c>
      <c r="I90" s="595">
        <f>VLOOKUP(A90,[4]CFR20152016_BenchMarkDataReport!$B$3:$BO$99,23,0)</f>
        <v>109968.38</v>
      </c>
      <c r="J90" s="595">
        <f>VLOOKUP(A90,[4]CFR20152016_BenchMarkDataReport!$B$3:$BO$99,24,0)</f>
        <v>11397.24</v>
      </c>
      <c r="K90" s="595">
        <f>VLOOKUP(A90,[4]CFR20152016_BenchMarkDataReport!$B$3:$BO$99,25,0)</f>
        <v>123023.25</v>
      </c>
      <c r="L90" s="595">
        <f>VLOOKUP(A90,[4]CFR20152016_BenchMarkDataReport!$B$3:$BO$99,26,0)</f>
        <v>307827.78000000003</v>
      </c>
      <c r="M90" s="595">
        <f>VLOOKUP(A90,[4]CFR20152016_BenchMarkDataReport!$B$3:$BO$99,27,0)</f>
        <v>0</v>
      </c>
      <c r="N90" s="595">
        <f>VLOOKUP(A90,[4]CFR20152016_BenchMarkDataReport!$B$3:$BO$99,28,0)</f>
        <v>4077.64</v>
      </c>
      <c r="O90" s="595">
        <f>VLOOKUP(A90,[4]CFR20152016_BenchMarkDataReport!$B$3:$BO$99,29,0)</f>
        <v>112496.39</v>
      </c>
      <c r="P90" s="595">
        <f>VLOOKUP(A90,[4]CFR20152016_BenchMarkDataReport!$B$3:$BO$99,30,0)</f>
        <v>0</v>
      </c>
      <c r="Q90" s="595">
        <f>VLOOKUP(A90,[4]CFR20152016_BenchMarkDataReport!$B$3:$BO$99,31,0)</f>
        <v>0</v>
      </c>
      <c r="R90" s="595">
        <f>VLOOKUP(A90,[4]CFR20152016_BenchMarkDataReport!$B$3:$BO$99,32,0)</f>
        <v>0</v>
      </c>
      <c r="S90" s="595">
        <f>VLOOKUP(A90,[4]CFR20152016_BenchMarkDataReport!$B$3:$BO$99,33,0)</f>
        <v>0</v>
      </c>
      <c r="T90" s="595">
        <f>VLOOKUP(A90,[4]CFR20152016_BenchMarkDataReport!$B$3:$BO$99,34,0)</f>
        <v>10250</v>
      </c>
      <c r="U90" s="595">
        <f>VLOOKUP(A90,[4]CFR20152016_BenchMarkDataReport!$B$3:$BO$99,35,0)</f>
        <v>4078597.79</v>
      </c>
      <c r="V90" s="595">
        <f>VLOOKUP(A90,[4]CFR20152016_BenchMarkDataReport!$B$3:$BO$99,36,0)</f>
        <v>49256.78</v>
      </c>
      <c r="W90" s="595">
        <f>VLOOKUP(A90,[4]CFR20152016_BenchMarkDataReport!$B$3:$BO$99,37,0)</f>
        <v>516252.04</v>
      </c>
      <c r="X90" s="595">
        <f>VLOOKUP(A90,[4]CFR20152016_BenchMarkDataReport!$B$3:$BO$99,38,0)</f>
        <v>99011.49</v>
      </c>
      <c r="Y90" s="595">
        <f>VLOOKUP(A90,[4]CFR20152016_BenchMarkDataReport!$B$3:$BO$99,39,0)</f>
        <v>519280.41</v>
      </c>
      <c r="Z90" s="595">
        <f>VLOOKUP(A90,[4]CFR20152016_BenchMarkDataReport!$B$3:$BO$99,40,0)</f>
        <v>0</v>
      </c>
      <c r="AA90" s="595">
        <f>VLOOKUP(A90,[4]CFR20152016_BenchMarkDataReport!$B$3:$BO$99,41,0)</f>
        <v>6635.03</v>
      </c>
      <c r="AB90" s="595">
        <f>VLOOKUP(A90,[4]CFR20152016_BenchMarkDataReport!$B$3:$BO$99,42,0)</f>
        <v>59055.32</v>
      </c>
      <c r="AC90" s="595">
        <f>VLOOKUP(A90,[4]CFR20152016_BenchMarkDataReport!$B$3:$BO$99,43,0)</f>
        <v>36240.51</v>
      </c>
      <c r="AD90" s="595">
        <f>VLOOKUP(A90,[4]CFR20152016_BenchMarkDataReport!$B$3:$BO$99,44,0)</f>
        <v>0</v>
      </c>
      <c r="AE90" s="595">
        <f>VLOOKUP(A90,[4]CFR20152016_BenchMarkDataReport!$B$3:$BO$99,45,0)</f>
        <v>7210.4</v>
      </c>
      <c r="AF90" s="595">
        <f>VLOOKUP(A90,[4]CFR20152016_BenchMarkDataReport!$B$3:$BO$99,46,0)</f>
        <v>167020.57999999999</v>
      </c>
      <c r="AG90" s="595">
        <f>VLOOKUP(A90,[4]CFR20152016_BenchMarkDataReport!$B$3:$BO$99,47,0)</f>
        <v>43411.18</v>
      </c>
      <c r="AH90" s="595">
        <f>VLOOKUP(A90,[4]CFR20152016_BenchMarkDataReport!$B$3:$BO$99,48,0)</f>
        <v>90780.9</v>
      </c>
      <c r="AI90" s="595">
        <f>VLOOKUP(A90,[4]CFR20152016_BenchMarkDataReport!$B$3:$BO$99,49,0)</f>
        <v>7428.6</v>
      </c>
      <c r="AJ90" s="595">
        <f>VLOOKUP(A90,[4]CFR20152016_BenchMarkDataReport!$B$3:$BO$99,50,0)</f>
        <v>138717.03</v>
      </c>
      <c r="AK90" s="595">
        <f>VLOOKUP(A90,[4]CFR20152016_BenchMarkDataReport!$B$3:$BO$99,51,0)</f>
        <v>0</v>
      </c>
      <c r="AL90" s="595">
        <f>VLOOKUP(A90,[4]CFR20152016_BenchMarkDataReport!$B$3:$BO$99,52,0)</f>
        <v>35187.879999999997</v>
      </c>
      <c r="AM90" s="595">
        <f>VLOOKUP(A90,[4]CFR20152016_BenchMarkDataReport!$B$3:$BO$99,53,0)</f>
        <v>300314.27</v>
      </c>
      <c r="AN90" s="595">
        <f>VLOOKUP(A90,[4]CFR20152016_BenchMarkDataReport!$B$3:$BO$99,54,0)</f>
        <v>77575.72</v>
      </c>
      <c r="AO90" s="595">
        <f>VLOOKUP(A90,[4]CFR20152016_BenchMarkDataReport!$B$3:$BO$99,55,0)</f>
        <v>125937.56</v>
      </c>
      <c r="AP90" s="595">
        <f>VLOOKUP(A90,[4]CFR20152016_BenchMarkDataReport!$B$3:$BO$99,56,0)</f>
        <v>61059.37</v>
      </c>
      <c r="AQ90" s="595">
        <f>VLOOKUP(A90,[4]CFR20152016_BenchMarkDataReport!$B$3:$BO$99,57,0)</f>
        <v>56096.57</v>
      </c>
      <c r="AR90" s="595">
        <f>VLOOKUP(A90,[4]CFR20152016_BenchMarkDataReport!$B$3:$BO$99,58,0)</f>
        <v>2840</v>
      </c>
      <c r="AS90" s="595">
        <f>VLOOKUP(A90,[4]CFR20152016_BenchMarkDataReport!$B$3:$BO$99,59,0)</f>
        <v>330974.59000000003</v>
      </c>
      <c r="AT90" s="595">
        <f>VLOOKUP(A90,[4]CFR20152016_BenchMarkDataReport!$B$3:$BO$99,60,0)</f>
        <v>43453.03</v>
      </c>
      <c r="AU90" s="595">
        <f>VLOOKUP(A90,[4]CFR20152016_BenchMarkDataReport!$B$3:$BO$99,61,0)</f>
        <v>49250.94</v>
      </c>
      <c r="AV90" s="595">
        <f>VLOOKUP(A90,[4]CFR20152016_BenchMarkDataReport!$B$3:$BO$99,62,0)</f>
        <v>62337.52</v>
      </c>
      <c r="AW90" s="595">
        <f>VLOOKUP(A90,[4]CFR20152016_BenchMarkDataReport!$B$3:$BO$99,63,0)</f>
        <v>0</v>
      </c>
      <c r="AX90" s="595">
        <f>VLOOKUP(A90,[4]CFR20152016_BenchMarkDataReport!$B$3:$BO$99,64,0)</f>
        <v>249513.74</v>
      </c>
      <c r="AY90" s="595">
        <f>VLOOKUP(A90,[4]CFR20152016_BenchMarkDataReport!$B$3:$BO$99,65,0)</f>
        <v>0</v>
      </c>
      <c r="AZ90" s="595">
        <f>VLOOKUP(A90,[4]CFR20152016_BenchMarkDataReport!$B$3:$BO$99,66,0)</f>
        <v>0</v>
      </c>
      <c r="BA90" s="596">
        <f t="shared" si="172"/>
        <v>7015657.25</v>
      </c>
      <c r="BB90" s="595">
        <f t="shared" si="173"/>
        <v>7213439.2500000009</v>
      </c>
      <c r="BC90" s="600">
        <f t="shared" si="174"/>
        <v>-197782.00000000093</v>
      </c>
      <c r="BD90" s="595">
        <f>VLOOKUP(A90,[4]CFR20152016_BenchMarkDataReport!$B$3:$BO$99,15,0)</f>
        <v>714866</v>
      </c>
      <c r="BE90" s="600">
        <f t="shared" si="175"/>
        <v>517083.99999999907</v>
      </c>
      <c r="BF90" s="76">
        <f>VLOOKUP(A90,'OCT 15 CENSUS'!$B$9:$U$132,20,0)</f>
        <v>1158</v>
      </c>
      <c r="BG90" s="73">
        <f>VLOOKUP(A90,'[2]BUDGET SHARE inc ADJUSTMENTS'!$D$4:$M$139,10,0)</f>
        <v>6275028.8240223816</v>
      </c>
      <c r="BH90" s="76">
        <f>VLOOKUP(A90,'12-13 Pupil Data'!A:CI,81,0)</f>
        <v>8927</v>
      </c>
      <c r="BI90" t="s">
        <v>212</v>
      </c>
      <c r="BJ90" s="44">
        <f t="shared" si="176"/>
        <v>0.63474167014074123</v>
      </c>
      <c r="BK90" s="45">
        <f t="shared" si="177"/>
        <v>3845.5354058721932</v>
      </c>
      <c r="BL90" s="44">
        <f t="shared" si="178"/>
        <v>0.20667329493612305</v>
      </c>
      <c r="BM90" s="45">
        <f t="shared" si="179"/>
        <v>1252.1148531951642</v>
      </c>
      <c r="BN90" s="44">
        <f t="shared" si="180"/>
        <v>4.4458317857532167E-2</v>
      </c>
      <c r="BO90" s="45">
        <f t="shared" si="181"/>
        <v>269.34742659758206</v>
      </c>
      <c r="BP90" s="44">
        <f t="shared" si="182"/>
        <v>0</v>
      </c>
      <c r="BQ90" s="45">
        <f t="shared" si="183"/>
        <v>0</v>
      </c>
      <c r="BR90" s="44">
        <f t="shared" si="184"/>
        <v>1.7337399143893466E-2</v>
      </c>
      <c r="BS90" s="45">
        <f t="shared" si="185"/>
        <v>105.03734887737478</v>
      </c>
      <c r="BT90" s="44">
        <f t="shared" si="186"/>
        <v>1.5674708167933947E-2</v>
      </c>
      <c r="BU90" s="45">
        <f t="shared" si="187"/>
        <v>94.964058721934379</v>
      </c>
      <c r="BV90" s="44">
        <f t="shared" si="188"/>
        <v>1.6245434453058549E-3</v>
      </c>
      <c r="BW90" s="45">
        <f t="shared" si="189"/>
        <v>9.8421761658031084</v>
      </c>
      <c r="BX90" s="44">
        <f t="shared" si="190"/>
        <v>1.7535527409067768E-2</v>
      </c>
      <c r="BY90" s="45">
        <f t="shared" si="191"/>
        <v>106.23769430051813</v>
      </c>
      <c r="BZ90" s="46">
        <f t="shared" si="192"/>
        <v>1.603504646695789E-2</v>
      </c>
      <c r="CA90" s="47">
        <f t="shared" si="193"/>
        <v>97.147141623488778</v>
      </c>
      <c r="CB90" s="44">
        <f t="shared" si="194"/>
        <v>0</v>
      </c>
      <c r="CC90" s="48">
        <f t="shared" si="195"/>
        <v>0</v>
      </c>
      <c r="CD90" s="46">
        <f t="shared" si="196"/>
        <v>0.66474716164349557</v>
      </c>
      <c r="CE90" s="49">
        <f t="shared" si="197"/>
        <v>0.59457117863048392</v>
      </c>
      <c r="CF90" s="49">
        <f t="shared" si="198"/>
        <v>0.57826890272902753</v>
      </c>
      <c r="CG90" s="47">
        <f t="shared" si="199"/>
        <v>3602.1654576856645</v>
      </c>
      <c r="CH90" s="44">
        <f t="shared" si="200"/>
        <v>8.2270863525543969E-2</v>
      </c>
      <c r="CI90" s="50">
        <f t="shared" si="201"/>
        <v>7.358569861718943E-2</v>
      </c>
      <c r="CJ90" s="50">
        <f t="shared" si="202"/>
        <v>7.1568085916853028E-2</v>
      </c>
      <c r="CK90" s="45">
        <f t="shared" si="203"/>
        <v>445.81350604490501</v>
      </c>
      <c r="CL90" s="46">
        <f t="shared" si="204"/>
        <v>1.5778651027220661E-2</v>
      </c>
      <c r="CM90" s="49">
        <f t="shared" si="205"/>
        <v>1.4112931471958669E-2</v>
      </c>
      <c r="CN90" s="49">
        <f t="shared" si="206"/>
        <v>1.372597544229682E-2</v>
      </c>
      <c r="CO90" s="47">
        <f t="shared" si="207"/>
        <v>85.502150259067363</v>
      </c>
      <c r="CP90" s="44">
        <f t="shared" si="208"/>
        <v>8.2753470073645641E-2</v>
      </c>
      <c r="CQ90" s="50">
        <f t="shared" si="209"/>
        <v>7.4017357390143312E-2</v>
      </c>
      <c r="CR90" s="50">
        <f t="shared" si="210"/>
        <v>7.1987909234835501E-2</v>
      </c>
      <c r="CS90" s="45">
        <f t="shared" si="211"/>
        <v>448.42867875647664</v>
      </c>
      <c r="CT90" s="46">
        <f t="shared" si="212"/>
        <v>0.83968276286298804</v>
      </c>
      <c r="CU90" s="49">
        <f t="shared" si="213"/>
        <v>0.75103919023410104</v>
      </c>
      <c r="CV90" s="49">
        <f t="shared" si="214"/>
        <v>0.73044678930372908</v>
      </c>
      <c r="CW90" s="47">
        <f t="shared" si="215"/>
        <v>4550.1153195164079</v>
      </c>
      <c r="CX90" s="44">
        <f t="shared" si="216"/>
        <v>2.6616703234988083E-2</v>
      </c>
      <c r="CY90" s="50">
        <f t="shared" si="217"/>
        <v>2.3154084232427683E-2</v>
      </c>
      <c r="CZ90" s="48">
        <f t="shared" si="218"/>
        <v>18.70959784922146</v>
      </c>
      <c r="DA90" s="45">
        <f t="shared" si="219"/>
        <v>144.23193436960275</v>
      </c>
      <c r="DB90" s="51">
        <f t="shared" si="220"/>
        <v>1.029827762117772E-3</v>
      </c>
      <c r="DC90" s="52">
        <f t="shared" si="221"/>
        <v>6.4150259067357513</v>
      </c>
      <c r="DD90" s="44">
        <f t="shared" si="222"/>
        <v>2.2106198057442617E-2</v>
      </c>
      <c r="DE90" s="50">
        <f t="shared" si="223"/>
        <v>1.9230359498764751E-2</v>
      </c>
      <c r="DF90" s="48">
        <f t="shared" si="224"/>
        <v>15.539042231432733</v>
      </c>
      <c r="DG90" s="45">
        <f t="shared" si="225"/>
        <v>119.79018134715025</v>
      </c>
      <c r="DH90" s="46">
        <f t="shared" si="226"/>
        <v>5.6076045205229949E-3</v>
      </c>
      <c r="DI90" s="49">
        <f t="shared" si="227"/>
        <v>4.8781002765081851E-3</v>
      </c>
      <c r="DJ90" s="47">
        <f t="shared" si="228"/>
        <v>3.9417363055897834</v>
      </c>
      <c r="DK90" s="44">
        <f t="shared" si="229"/>
        <v>4.7858627971607365E-2</v>
      </c>
      <c r="DL90" s="50">
        <f t="shared" si="230"/>
        <v>4.2806291598695194E-2</v>
      </c>
      <c r="DM90" s="50">
        <f t="shared" si="231"/>
        <v>4.1632605417727744E-2</v>
      </c>
      <c r="DN90" s="45">
        <f t="shared" si="232"/>
        <v>259.33874784110537</v>
      </c>
      <c r="DO90" s="46">
        <f t="shared" si="233"/>
        <v>9.7305321955254518E-3</v>
      </c>
      <c r="DP90" s="49">
        <f t="shared" si="234"/>
        <v>8.4646682232750476E-3</v>
      </c>
      <c r="DQ90" s="47">
        <f t="shared" si="235"/>
        <v>52.728298791019</v>
      </c>
      <c r="DR90" s="53">
        <f t="shared" si="236"/>
        <v>4.588304947601797E-2</v>
      </c>
      <c r="DS90" s="45">
        <f t="shared" si="237"/>
        <v>285.81570811744388</v>
      </c>
      <c r="DT90" s="46">
        <f t="shared" si="238"/>
        <v>2.0557674493247855E-5</v>
      </c>
      <c r="DU90" s="49">
        <f t="shared" si="239"/>
        <v>1.8387443314737189E-5</v>
      </c>
      <c r="DV90" s="49">
        <f t="shared" si="240"/>
        <v>1.7883286394905175E-5</v>
      </c>
      <c r="DW90" s="47">
        <f t="shared" si="241"/>
        <v>0.11139896373056994</v>
      </c>
      <c r="DY90" s="54">
        <f>VLOOKUP(A90,'[3]Barnet Schools'!$E$8:$V$130,17,0)</f>
        <v>129</v>
      </c>
    </row>
    <row r="91" spans="1:256">
      <c r="A91" s="77">
        <v>4003</v>
      </c>
      <c r="B91" s="78">
        <v>10139</v>
      </c>
      <c r="C91" s="589" t="s">
        <v>120</v>
      </c>
      <c r="D91" s="595">
        <f>VLOOKUP(A91,[4]CFR20152016_BenchMarkDataReport!$B$3:$BO$99,18,0)</f>
        <v>4786701</v>
      </c>
      <c r="E91" s="595">
        <f>VLOOKUP(A91,[4]CFR20152016_BenchMarkDataReport!$B$3:$BO$99,19,0)</f>
        <v>0</v>
      </c>
      <c r="F91" s="595">
        <f>VLOOKUP(A91,[4]CFR20152016_BenchMarkDataReport!$B$3:$BO$99,20,0)</f>
        <v>165138.75</v>
      </c>
      <c r="G91" s="595">
        <f>VLOOKUP(A91,[4]CFR20152016_BenchMarkDataReport!$B$3:$BO$99,21,0)</f>
        <v>0</v>
      </c>
      <c r="H91" s="595">
        <f>VLOOKUP(A91,[4]CFR20152016_BenchMarkDataReport!$B$3:$BO$99,22,0)</f>
        <v>394830</v>
      </c>
      <c r="I91" s="595">
        <f>VLOOKUP(A91,[4]CFR20152016_BenchMarkDataReport!$B$3:$BO$99,23,0)</f>
        <v>27931.15</v>
      </c>
      <c r="J91" s="595">
        <f>VLOOKUP(A91,[4]CFR20152016_BenchMarkDataReport!$B$3:$BO$99,24,0)</f>
        <v>0</v>
      </c>
      <c r="K91" s="595">
        <f>VLOOKUP(A91,[4]CFR20152016_BenchMarkDataReport!$B$3:$BO$99,25,0)</f>
        <v>20674.3</v>
      </c>
      <c r="L91" s="595">
        <f>VLOOKUP(A91,[4]CFR20152016_BenchMarkDataReport!$B$3:$BO$99,26,0)</f>
        <v>0</v>
      </c>
      <c r="M91" s="595">
        <f>VLOOKUP(A91,[4]CFR20152016_BenchMarkDataReport!$B$3:$BO$99,27,0)</f>
        <v>0</v>
      </c>
      <c r="N91" s="595">
        <f>VLOOKUP(A91,[4]CFR20152016_BenchMarkDataReport!$B$3:$BO$99,28,0)</f>
        <v>0</v>
      </c>
      <c r="O91" s="595">
        <f>VLOOKUP(A91,[4]CFR20152016_BenchMarkDataReport!$B$3:$BO$99,29,0)</f>
        <v>11253.7</v>
      </c>
      <c r="P91" s="595">
        <f>VLOOKUP(A91,[4]CFR20152016_BenchMarkDataReport!$B$3:$BO$99,30,0)</f>
        <v>12.5</v>
      </c>
      <c r="Q91" s="595">
        <f>VLOOKUP(A91,[4]CFR20152016_BenchMarkDataReport!$B$3:$BO$99,31,0)</f>
        <v>0</v>
      </c>
      <c r="R91" s="595">
        <f>VLOOKUP(A91,[4]CFR20152016_BenchMarkDataReport!$B$3:$BO$99,32,0)</f>
        <v>0</v>
      </c>
      <c r="S91" s="595">
        <f>VLOOKUP(A91,[4]CFR20152016_BenchMarkDataReport!$B$3:$BO$99,33,0)</f>
        <v>0</v>
      </c>
      <c r="T91" s="595">
        <f>VLOOKUP(A91,[4]CFR20152016_BenchMarkDataReport!$B$3:$BO$99,34,0)</f>
        <v>63559.360000000001</v>
      </c>
      <c r="U91" s="595">
        <f>VLOOKUP(A91,[4]CFR20152016_BenchMarkDataReport!$B$3:$BO$99,35,0)</f>
        <v>2841733.53</v>
      </c>
      <c r="V91" s="595">
        <f>VLOOKUP(A91,[4]CFR20152016_BenchMarkDataReport!$B$3:$BO$99,36,0)</f>
        <v>0</v>
      </c>
      <c r="W91" s="595">
        <f>VLOOKUP(A91,[4]CFR20152016_BenchMarkDataReport!$B$3:$BO$99,37,0)</f>
        <v>790012.77</v>
      </c>
      <c r="X91" s="595">
        <f>VLOOKUP(A91,[4]CFR20152016_BenchMarkDataReport!$B$3:$BO$99,38,0)</f>
        <v>91216.23</v>
      </c>
      <c r="Y91" s="595">
        <f>VLOOKUP(A91,[4]CFR20152016_BenchMarkDataReport!$B$3:$BO$99,39,0)</f>
        <v>415645.92</v>
      </c>
      <c r="Z91" s="595">
        <f>VLOOKUP(A91,[4]CFR20152016_BenchMarkDataReport!$B$3:$BO$99,40,0)</f>
        <v>0</v>
      </c>
      <c r="AA91" s="595">
        <f>VLOOKUP(A91,[4]CFR20152016_BenchMarkDataReport!$B$3:$BO$99,41,0)</f>
        <v>55804.72</v>
      </c>
      <c r="AB91" s="595">
        <f>VLOOKUP(A91,[4]CFR20152016_BenchMarkDataReport!$B$3:$BO$99,42,0)</f>
        <v>58921.27</v>
      </c>
      <c r="AC91" s="595">
        <f>VLOOKUP(A91,[4]CFR20152016_BenchMarkDataReport!$B$3:$BO$99,43,0)</f>
        <v>27606.34</v>
      </c>
      <c r="AD91" s="595">
        <f>VLOOKUP(A91,[4]CFR20152016_BenchMarkDataReport!$B$3:$BO$99,44,0)</f>
        <v>813</v>
      </c>
      <c r="AE91" s="595">
        <f>VLOOKUP(A91,[4]CFR20152016_BenchMarkDataReport!$B$3:$BO$99,45,0)</f>
        <v>3347.4</v>
      </c>
      <c r="AF91" s="595">
        <f>VLOOKUP(A91,[4]CFR20152016_BenchMarkDataReport!$B$3:$BO$99,46,0)</f>
        <v>80755.44</v>
      </c>
      <c r="AG91" s="595">
        <f>VLOOKUP(A91,[4]CFR20152016_BenchMarkDataReport!$B$3:$BO$99,47,0)</f>
        <v>7051.81</v>
      </c>
      <c r="AH91" s="595">
        <f>VLOOKUP(A91,[4]CFR20152016_BenchMarkDataReport!$B$3:$BO$99,48,0)</f>
        <v>55951.93</v>
      </c>
      <c r="AI91" s="595">
        <f>VLOOKUP(A91,[4]CFR20152016_BenchMarkDataReport!$B$3:$BO$99,49,0)</f>
        <v>5974.55</v>
      </c>
      <c r="AJ91" s="595">
        <f>VLOOKUP(A91,[4]CFR20152016_BenchMarkDataReport!$B$3:$BO$99,50,0)</f>
        <v>68886.87</v>
      </c>
      <c r="AK91" s="595">
        <f>VLOOKUP(A91,[4]CFR20152016_BenchMarkDataReport!$B$3:$BO$99,51,0)</f>
        <v>54891</v>
      </c>
      <c r="AL91" s="595">
        <f>VLOOKUP(A91,[4]CFR20152016_BenchMarkDataReport!$B$3:$BO$99,52,0)</f>
        <v>37885</v>
      </c>
      <c r="AM91" s="595">
        <f>VLOOKUP(A91,[4]CFR20152016_BenchMarkDataReport!$B$3:$BO$99,53,0)</f>
        <v>130813.7</v>
      </c>
      <c r="AN91" s="595">
        <f>VLOOKUP(A91,[4]CFR20152016_BenchMarkDataReport!$B$3:$BO$99,54,0)</f>
        <v>86863.4</v>
      </c>
      <c r="AO91" s="595">
        <f>VLOOKUP(A91,[4]CFR20152016_BenchMarkDataReport!$B$3:$BO$99,55,0)</f>
        <v>87729.14</v>
      </c>
      <c r="AP91" s="595">
        <f>VLOOKUP(A91,[4]CFR20152016_BenchMarkDataReport!$B$3:$BO$99,56,0)</f>
        <v>36209.99</v>
      </c>
      <c r="AQ91" s="595">
        <f>VLOOKUP(A91,[4]CFR20152016_BenchMarkDataReport!$B$3:$BO$99,57,0)</f>
        <v>24088.09</v>
      </c>
      <c r="AR91" s="595">
        <f>VLOOKUP(A91,[4]CFR20152016_BenchMarkDataReport!$B$3:$BO$99,58,0)</f>
        <v>0</v>
      </c>
      <c r="AS91" s="595">
        <f>VLOOKUP(A91,[4]CFR20152016_BenchMarkDataReport!$B$3:$BO$99,59,0)</f>
        <v>66118.7</v>
      </c>
      <c r="AT91" s="595">
        <f>VLOOKUP(A91,[4]CFR20152016_BenchMarkDataReport!$B$3:$BO$99,60,0)</f>
        <v>134372.29</v>
      </c>
      <c r="AU91" s="595">
        <f>VLOOKUP(A91,[4]CFR20152016_BenchMarkDataReport!$B$3:$BO$99,61,0)</f>
        <v>60902.57</v>
      </c>
      <c r="AV91" s="595">
        <f>VLOOKUP(A91,[4]CFR20152016_BenchMarkDataReport!$B$3:$BO$99,62,0)</f>
        <v>21503.1</v>
      </c>
      <c r="AW91" s="595">
        <f>VLOOKUP(A91,[4]CFR20152016_BenchMarkDataReport!$B$3:$BO$99,63,0)</f>
        <v>0</v>
      </c>
      <c r="AX91" s="595">
        <f>VLOOKUP(A91,[4]CFR20152016_BenchMarkDataReport!$B$3:$BO$99,64,0)</f>
        <v>272034</v>
      </c>
      <c r="AY91" s="595">
        <f>VLOOKUP(A91,[4]CFR20152016_BenchMarkDataReport!$B$3:$BO$99,65,0)</f>
        <v>0</v>
      </c>
      <c r="AZ91" s="595">
        <f>VLOOKUP(A91,[4]CFR20152016_BenchMarkDataReport!$B$3:$BO$99,66,0)</f>
        <v>0</v>
      </c>
      <c r="BA91" s="596">
        <f t="shared" si="172"/>
        <v>5470100.7600000007</v>
      </c>
      <c r="BB91" s="595">
        <f t="shared" si="173"/>
        <v>5517132.7599999998</v>
      </c>
      <c r="BC91" s="600">
        <f t="shared" si="174"/>
        <v>-47031.999999999069</v>
      </c>
      <c r="BD91" s="595">
        <f>VLOOKUP(A91,[4]CFR20152016_BenchMarkDataReport!$B$3:$BO$99,15,0)</f>
        <v>347542</v>
      </c>
      <c r="BE91" s="600">
        <f t="shared" si="175"/>
        <v>300510.00000000093</v>
      </c>
      <c r="BF91" s="76">
        <f>VLOOKUP(A91,'OCT 15 CENSUS'!$B$9:$U$132,20,0)</f>
        <v>793</v>
      </c>
      <c r="BG91" s="73">
        <f>VLOOKUP(A91,'[2]BUDGET SHARE inc ADJUSTMENTS'!$D$4:$M$139,10,0)</f>
        <v>5376432.0386288771</v>
      </c>
      <c r="BH91" s="76">
        <f>VLOOKUP(A91,'12-13 Pupil Data'!A:CI,81,0)</f>
        <v>6409</v>
      </c>
      <c r="BI91" t="s">
        <v>212</v>
      </c>
      <c r="BJ91" s="44">
        <f t="shared" si="176"/>
        <v>0.87506633058803096</v>
      </c>
      <c r="BK91" s="45">
        <f t="shared" si="177"/>
        <v>6036.1929382093313</v>
      </c>
      <c r="BL91" s="44">
        <f t="shared" si="178"/>
        <v>0</v>
      </c>
      <c r="BM91" s="45">
        <f t="shared" si="179"/>
        <v>0</v>
      </c>
      <c r="BN91" s="44">
        <f t="shared" si="180"/>
        <v>3.0189343349499832E-2</v>
      </c>
      <c r="BO91" s="45">
        <f t="shared" si="181"/>
        <v>208.24558638083229</v>
      </c>
      <c r="BP91" s="44">
        <f t="shared" si="182"/>
        <v>0</v>
      </c>
      <c r="BQ91" s="45">
        <f t="shared" si="183"/>
        <v>0</v>
      </c>
      <c r="BR91" s="44">
        <f t="shared" si="184"/>
        <v>7.2179657619323254E-2</v>
      </c>
      <c r="BS91" s="45">
        <f t="shared" si="185"/>
        <v>497.89407313997481</v>
      </c>
      <c r="BT91" s="44">
        <f t="shared" si="186"/>
        <v>5.1061490867308993E-3</v>
      </c>
      <c r="BU91" s="45">
        <f t="shared" si="187"/>
        <v>35.222131147540985</v>
      </c>
      <c r="BV91" s="44">
        <f t="shared" si="188"/>
        <v>0</v>
      </c>
      <c r="BW91" s="45">
        <f t="shared" si="189"/>
        <v>0</v>
      </c>
      <c r="BX91" s="44">
        <f t="shared" si="190"/>
        <v>3.7795099043111588E-3</v>
      </c>
      <c r="BY91" s="45">
        <f t="shared" si="191"/>
        <v>26.070996216897857</v>
      </c>
      <c r="BZ91" s="46">
        <f t="shared" si="192"/>
        <v>2.0573112806792247E-3</v>
      </c>
      <c r="CA91" s="47">
        <f t="shared" si="193"/>
        <v>14.191298865069358</v>
      </c>
      <c r="CB91" s="44">
        <f t="shared" si="194"/>
        <v>2.2851498625776682E-6</v>
      </c>
      <c r="CC91" s="48">
        <f t="shared" si="195"/>
        <v>1.5762925598991173E-2</v>
      </c>
      <c r="CD91" s="46">
        <f t="shared" si="196"/>
        <v>0.55354662694833956</v>
      </c>
      <c r="CE91" s="49">
        <f t="shared" si="197"/>
        <v>0.54406782444716784</v>
      </c>
      <c r="CF91" s="49">
        <f t="shared" si="198"/>
        <v>0.53942979976432537</v>
      </c>
      <c r="CG91" s="47">
        <f t="shared" si="199"/>
        <v>3752.9707692307688</v>
      </c>
      <c r="CH91" s="44">
        <f t="shared" si="200"/>
        <v>0.14693997140182818</v>
      </c>
      <c r="CI91" s="50">
        <f t="shared" si="201"/>
        <v>0.14442380582400824</v>
      </c>
      <c r="CJ91" s="50">
        <f t="shared" si="202"/>
        <v>0.14319263363167647</v>
      </c>
      <c r="CK91" s="45">
        <f t="shared" si="203"/>
        <v>996.23300126103402</v>
      </c>
      <c r="CL91" s="46">
        <f t="shared" si="204"/>
        <v>1.6965941231029191E-2</v>
      </c>
      <c r="CM91" s="49">
        <f t="shared" si="205"/>
        <v>1.6675420435948236E-2</v>
      </c>
      <c r="CN91" s="49">
        <f t="shared" si="206"/>
        <v>1.653326718206433E-2</v>
      </c>
      <c r="CO91" s="47">
        <f t="shared" si="207"/>
        <v>115.02677175283732</v>
      </c>
      <c r="CP91" s="44">
        <f t="shared" si="208"/>
        <v>7.7308876409790894E-2</v>
      </c>
      <c r="CQ91" s="50">
        <f t="shared" si="209"/>
        <v>7.5985057357517469E-2</v>
      </c>
      <c r="CR91" s="50">
        <f t="shared" si="210"/>
        <v>7.5337306184381184E-2</v>
      </c>
      <c r="CS91" s="45">
        <f t="shared" si="211"/>
        <v>524.14365699873895</v>
      </c>
      <c r="CT91" s="46">
        <f t="shared" si="212"/>
        <v>0.78014808703313931</v>
      </c>
      <c r="CU91" s="49">
        <f t="shared" si="213"/>
        <v>0.76678901432155688</v>
      </c>
      <c r="CV91" s="49">
        <f t="shared" si="214"/>
        <v>0.76025235434066296</v>
      </c>
      <c r="CW91" s="47">
        <f t="shared" si="215"/>
        <v>5289.2978184110971</v>
      </c>
      <c r="CX91" s="44">
        <f t="shared" si="216"/>
        <v>1.5020266120688215E-2</v>
      </c>
      <c r="CY91" s="50">
        <f t="shared" si="217"/>
        <v>1.463721166644538E-2</v>
      </c>
      <c r="CZ91" s="48">
        <f t="shared" si="218"/>
        <v>12.600318302387269</v>
      </c>
      <c r="DA91" s="45">
        <f t="shared" si="219"/>
        <v>101.83535939470366</v>
      </c>
      <c r="DB91" s="51">
        <f t="shared" si="220"/>
        <v>1.0829085069905043E-3</v>
      </c>
      <c r="DC91" s="52">
        <f t="shared" si="221"/>
        <v>7.5341109709962168</v>
      </c>
      <c r="DD91" s="44">
        <f t="shared" si="222"/>
        <v>1.2812748213881979E-2</v>
      </c>
      <c r="DE91" s="50">
        <f t="shared" si="223"/>
        <v>1.248599100232636E-2</v>
      </c>
      <c r="DF91" s="48">
        <f t="shared" si="224"/>
        <v>10.748458417849898</v>
      </c>
      <c r="DG91" s="45">
        <f t="shared" si="225"/>
        <v>86.868688524590155</v>
      </c>
      <c r="DH91" s="46">
        <f t="shared" si="226"/>
        <v>7.0464947250893943E-3</v>
      </c>
      <c r="DI91" s="49">
        <f t="shared" si="227"/>
        <v>6.8667914382397428E-3</v>
      </c>
      <c r="DJ91" s="47">
        <f t="shared" si="228"/>
        <v>5.911218598845374</v>
      </c>
      <c r="DK91" s="44">
        <f t="shared" si="229"/>
        <v>2.4330950165485719E-2</v>
      </c>
      <c r="DL91" s="50">
        <f t="shared" si="230"/>
        <v>2.3914312686262106E-2</v>
      </c>
      <c r="DM91" s="50">
        <f t="shared" si="231"/>
        <v>2.3710449918555161E-2</v>
      </c>
      <c r="DN91" s="45">
        <f t="shared" si="232"/>
        <v>164.96052963430012</v>
      </c>
      <c r="DO91" s="46">
        <f t="shared" si="233"/>
        <v>6.7349479617405221E-3</v>
      </c>
      <c r="DP91" s="49">
        <f t="shared" si="234"/>
        <v>6.5631898986603324E-3</v>
      </c>
      <c r="DQ91" s="47">
        <f t="shared" si="235"/>
        <v>45.662030264817147</v>
      </c>
      <c r="DR91" s="53">
        <f t="shared" si="236"/>
        <v>1.1984250311931954E-2</v>
      </c>
      <c r="DS91" s="45">
        <f t="shared" si="237"/>
        <v>83.377931904161414</v>
      </c>
      <c r="DT91" s="46">
        <f t="shared" si="238"/>
        <v>7.3654795067583476E-5</v>
      </c>
      <c r="DU91" s="49">
        <f t="shared" si="239"/>
        <v>7.2393547646460525E-5</v>
      </c>
      <c r="DV91" s="49">
        <f t="shared" si="240"/>
        <v>7.1776413080188421E-5</v>
      </c>
      <c r="DW91" s="47">
        <f t="shared" si="241"/>
        <v>0.49936948297604034</v>
      </c>
      <c r="DY91" s="54">
        <f>VLOOKUP(A91,'[3]Barnet Schools'!$E$8:$V$130,17,0)</f>
        <v>396</v>
      </c>
    </row>
    <row r="92" spans="1:256">
      <c r="A92" s="77">
        <v>5427</v>
      </c>
      <c r="B92" s="78">
        <v>11174</v>
      </c>
      <c r="C92" s="589" t="s">
        <v>404</v>
      </c>
      <c r="D92" s="595">
        <f>VLOOKUP(A92,[4]CFR20152016_BenchMarkDataReport!$B$3:$BO$99,18,0)</f>
        <v>5758784.0599999996</v>
      </c>
      <c r="E92" s="595">
        <f>VLOOKUP(A92,[4]CFR20152016_BenchMarkDataReport!$B$3:$BO$99,19,0)</f>
        <v>668188</v>
      </c>
      <c r="F92" s="595">
        <f>VLOOKUP(A92,[4]CFR20152016_BenchMarkDataReport!$B$3:$BO$99,20,0)</f>
        <v>1013124.92</v>
      </c>
      <c r="G92" s="595">
        <f>VLOOKUP(A92,[4]CFR20152016_BenchMarkDataReport!$B$3:$BO$99,21,0)</f>
        <v>0</v>
      </c>
      <c r="H92" s="595">
        <f>VLOOKUP(A92,[4]CFR20152016_BenchMarkDataReport!$B$3:$BO$99,22,0)</f>
        <v>95911.75</v>
      </c>
      <c r="I92" s="595">
        <f>VLOOKUP(A92,[4]CFR20152016_BenchMarkDataReport!$B$3:$BO$99,23,0)</f>
        <v>152227.32</v>
      </c>
      <c r="J92" s="595">
        <f>VLOOKUP(A92,[4]CFR20152016_BenchMarkDataReport!$B$3:$BO$99,24,0)</f>
        <v>0</v>
      </c>
      <c r="K92" s="595">
        <f>VLOOKUP(A92,[4]CFR20152016_BenchMarkDataReport!$B$3:$BO$99,25,0)</f>
        <v>29788.44</v>
      </c>
      <c r="L92" s="595">
        <f>VLOOKUP(A92,[4]CFR20152016_BenchMarkDataReport!$B$3:$BO$99,26,0)</f>
        <v>15080</v>
      </c>
      <c r="M92" s="595">
        <f>VLOOKUP(A92,[4]CFR20152016_BenchMarkDataReport!$B$3:$BO$99,27,0)</f>
        <v>25137</v>
      </c>
      <c r="N92" s="595">
        <f>VLOOKUP(A92,[4]CFR20152016_BenchMarkDataReport!$B$3:$BO$99,28,0)</f>
        <v>2502.39</v>
      </c>
      <c r="O92" s="595">
        <f>VLOOKUP(A92,[4]CFR20152016_BenchMarkDataReport!$B$3:$BO$99,29,0)</f>
        <v>912879.66</v>
      </c>
      <c r="P92" s="595">
        <f>VLOOKUP(A92,[4]CFR20152016_BenchMarkDataReport!$B$3:$BO$99,30,0)</f>
        <v>758310.01</v>
      </c>
      <c r="Q92" s="595">
        <f>VLOOKUP(A92,[4]CFR20152016_BenchMarkDataReport!$B$3:$BO$99,31,0)</f>
        <v>0</v>
      </c>
      <c r="R92" s="595">
        <f>VLOOKUP(A92,[4]CFR20152016_BenchMarkDataReport!$B$3:$BO$99,32,0)</f>
        <v>0</v>
      </c>
      <c r="S92" s="595">
        <f>VLOOKUP(A92,[4]CFR20152016_BenchMarkDataReport!$B$3:$BO$99,33,0)</f>
        <v>0</v>
      </c>
      <c r="T92" s="595">
        <f>VLOOKUP(A92,[4]CFR20152016_BenchMarkDataReport!$B$3:$BO$99,34,0)</f>
        <v>6500</v>
      </c>
      <c r="U92" s="595">
        <f>VLOOKUP(A92,[4]CFR20152016_BenchMarkDataReport!$B$3:$BO$99,35,0)</f>
        <v>4347337.74</v>
      </c>
      <c r="V92" s="595">
        <f>VLOOKUP(A92,[4]CFR20152016_BenchMarkDataReport!$B$3:$BO$99,36,0)</f>
        <v>14003.19</v>
      </c>
      <c r="W92" s="595">
        <f>VLOOKUP(A92,[4]CFR20152016_BenchMarkDataReport!$B$3:$BO$99,37,0)</f>
        <v>1408977.78</v>
      </c>
      <c r="X92" s="595">
        <f>VLOOKUP(A92,[4]CFR20152016_BenchMarkDataReport!$B$3:$BO$99,38,0)</f>
        <v>128066.92</v>
      </c>
      <c r="Y92" s="595">
        <f>VLOOKUP(A92,[4]CFR20152016_BenchMarkDataReport!$B$3:$BO$99,39,0)</f>
        <v>507474.11</v>
      </c>
      <c r="Z92" s="595">
        <f>VLOOKUP(A92,[4]CFR20152016_BenchMarkDataReport!$B$3:$BO$99,40,0)</f>
        <v>0</v>
      </c>
      <c r="AA92" s="595">
        <f>VLOOKUP(A92,[4]CFR20152016_BenchMarkDataReport!$B$3:$BO$99,41,0)</f>
        <v>91504.24</v>
      </c>
      <c r="AB92" s="595">
        <f>VLOOKUP(A92,[4]CFR20152016_BenchMarkDataReport!$B$3:$BO$99,42,0)</f>
        <v>83821.77</v>
      </c>
      <c r="AC92" s="595">
        <f>VLOOKUP(A92,[4]CFR20152016_BenchMarkDataReport!$B$3:$BO$99,43,0)</f>
        <v>65464.82</v>
      </c>
      <c r="AD92" s="595">
        <f>VLOOKUP(A92,[4]CFR20152016_BenchMarkDataReport!$B$3:$BO$99,44,0)</f>
        <v>52978.6</v>
      </c>
      <c r="AE92" s="595">
        <f>VLOOKUP(A92,[4]CFR20152016_BenchMarkDataReport!$B$3:$BO$99,45,0)</f>
        <v>0</v>
      </c>
      <c r="AF92" s="595">
        <f>VLOOKUP(A92,[4]CFR20152016_BenchMarkDataReport!$B$3:$BO$99,46,0)</f>
        <v>166134.26999999999</v>
      </c>
      <c r="AG92" s="595">
        <f>VLOOKUP(A92,[4]CFR20152016_BenchMarkDataReport!$B$3:$BO$99,47,0)</f>
        <v>23443.46</v>
      </c>
      <c r="AH92" s="595">
        <f>VLOOKUP(A92,[4]CFR20152016_BenchMarkDataReport!$B$3:$BO$99,48,0)</f>
        <v>114405.56</v>
      </c>
      <c r="AI92" s="595">
        <f>VLOOKUP(A92,[4]CFR20152016_BenchMarkDataReport!$B$3:$BO$99,49,0)</f>
        <v>653.48</v>
      </c>
      <c r="AJ92" s="595">
        <f>VLOOKUP(A92,[4]CFR20152016_BenchMarkDataReport!$B$3:$BO$99,50,0)</f>
        <v>126759.5</v>
      </c>
      <c r="AK92" s="595">
        <f>VLOOKUP(A92,[4]CFR20152016_BenchMarkDataReport!$B$3:$BO$99,51,0)</f>
        <v>0</v>
      </c>
      <c r="AL92" s="595">
        <f>VLOOKUP(A92,[4]CFR20152016_BenchMarkDataReport!$B$3:$BO$99,52,0)</f>
        <v>143443.25</v>
      </c>
      <c r="AM92" s="595">
        <f>VLOOKUP(A92,[4]CFR20152016_BenchMarkDataReport!$B$3:$BO$99,53,0)</f>
        <v>739120.43</v>
      </c>
      <c r="AN92" s="595">
        <f>VLOOKUP(A92,[4]CFR20152016_BenchMarkDataReport!$B$3:$BO$99,54,0)</f>
        <v>134187.57999999999</v>
      </c>
      <c r="AO92" s="595">
        <f>VLOOKUP(A92,[4]CFR20152016_BenchMarkDataReport!$B$3:$BO$99,55,0)</f>
        <v>137749.38</v>
      </c>
      <c r="AP92" s="595">
        <f>VLOOKUP(A92,[4]CFR20152016_BenchMarkDataReport!$B$3:$BO$99,56,0)</f>
        <v>57039.66</v>
      </c>
      <c r="AQ92" s="595">
        <f>VLOOKUP(A92,[4]CFR20152016_BenchMarkDataReport!$B$3:$BO$99,57,0)</f>
        <v>50373.51</v>
      </c>
      <c r="AR92" s="595">
        <f>VLOOKUP(A92,[4]CFR20152016_BenchMarkDataReport!$B$3:$BO$99,58,0)</f>
        <v>0</v>
      </c>
      <c r="AS92" s="595">
        <f>VLOOKUP(A92,[4]CFR20152016_BenchMarkDataReport!$B$3:$BO$99,59,0)</f>
        <v>33086.14</v>
      </c>
      <c r="AT92" s="595">
        <f>VLOOKUP(A92,[4]CFR20152016_BenchMarkDataReport!$B$3:$BO$99,60,0)</f>
        <v>178962.51</v>
      </c>
      <c r="AU92" s="595">
        <f>VLOOKUP(A92,[4]CFR20152016_BenchMarkDataReport!$B$3:$BO$99,61,0)</f>
        <v>318327.15999999997</v>
      </c>
      <c r="AV92" s="595">
        <f>VLOOKUP(A92,[4]CFR20152016_BenchMarkDataReport!$B$3:$BO$99,62,0)</f>
        <v>586292.49</v>
      </c>
      <c r="AW92" s="595">
        <f>VLOOKUP(A92,[4]CFR20152016_BenchMarkDataReport!$B$3:$BO$99,63,0)</f>
        <v>0</v>
      </c>
      <c r="AX92" s="595">
        <f>VLOOKUP(A92,[4]CFR20152016_BenchMarkDataReport!$B$3:$BO$99,64,0)</f>
        <v>0</v>
      </c>
      <c r="AY92" s="595">
        <f>VLOOKUP(A92,[4]CFR20152016_BenchMarkDataReport!$B$3:$BO$99,65,0)</f>
        <v>0</v>
      </c>
      <c r="AZ92" s="595">
        <f>VLOOKUP(A92,[4]CFR20152016_BenchMarkDataReport!$B$3:$BO$99,66,0)</f>
        <v>0</v>
      </c>
      <c r="BA92" s="596">
        <f t="shared" si="172"/>
        <v>9438433.5499999989</v>
      </c>
      <c r="BB92" s="595">
        <f t="shared" si="173"/>
        <v>9509607.5500000007</v>
      </c>
      <c r="BC92" s="600">
        <f t="shared" si="174"/>
        <v>-71174.000000001863</v>
      </c>
      <c r="BD92" s="595">
        <f>VLOOKUP(A92,[4]CFR20152016_BenchMarkDataReport!$B$3:$BO$99,15,0)</f>
        <v>195146</v>
      </c>
      <c r="BE92" s="600">
        <f t="shared" si="175"/>
        <v>123971.99999999814</v>
      </c>
      <c r="BF92" s="76">
        <f>VLOOKUP(A92,'OCT 15 CENSUS'!$B$9:$U$132,20,0)</f>
        <v>1109</v>
      </c>
      <c r="BG92" s="73">
        <f>VLOOKUP(A92,'[2]BUDGET SHARE inc ADJUSTMENTS'!$D$4:$M$139,10,0)</f>
        <v>6902123.7884697076</v>
      </c>
      <c r="BH92" s="76">
        <f>VLOOKUP(A92,'12-13 Pupil Data'!A:CI,81,0)</f>
        <v>14652</v>
      </c>
      <c r="BI92" t="s">
        <v>212</v>
      </c>
      <c r="BJ92" s="44">
        <f t="shared" si="176"/>
        <v>0.61014192974850157</v>
      </c>
      <c r="BK92" s="45">
        <f t="shared" si="177"/>
        <v>5192.7719206492329</v>
      </c>
      <c r="BL92" s="44">
        <f t="shared" si="178"/>
        <v>7.0794374560172652E-2</v>
      </c>
      <c r="BM92" s="45">
        <f t="shared" si="179"/>
        <v>602.51397655545532</v>
      </c>
      <c r="BN92" s="44">
        <f t="shared" si="180"/>
        <v>0.10734036687687441</v>
      </c>
      <c r="BO92" s="45">
        <f t="shared" si="181"/>
        <v>913.54816952209205</v>
      </c>
      <c r="BP92" s="44">
        <f t="shared" si="182"/>
        <v>0</v>
      </c>
      <c r="BQ92" s="45">
        <f t="shared" si="183"/>
        <v>0</v>
      </c>
      <c r="BR92" s="44">
        <f t="shared" si="184"/>
        <v>1.0161829237013595E-2</v>
      </c>
      <c r="BS92" s="45">
        <f t="shared" si="185"/>
        <v>86.484896302975656</v>
      </c>
      <c r="BT92" s="44">
        <f t="shared" si="186"/>
        <v>1.6128451738689206E-2</v>
      </c>
      <c r="BU92" s="45">
        <f t="shared" si="187"/>
        <v>137.26539224526601</v>
      </c>
      <c r="BV92" s="44">
        <f t="shared" si="188"/>
        <v>0</v>
      </c>
      <c r="BW92" s="45">
        <f t="shared" si="189"/>
        <v>0</v>
      </c>
      <c r="BX92" s="44">
        <f t="shared" si="190"/>
        <v>3.1560787965710688E-3</v>
      </c>
      <c r="BY92" s="45">
        <f t="shared" si="191"/>
        <v>26.860631199278629</v>
      </c>
      <c r="BZ92" s="46">
        <f t="shared" si="192"/>
        <v>9.6719403189526099E-2</v>
      </c>
      <c r="CA92" s="47">
        <f t="shared" si="193"/>
        <v>823.1556898106403</v>
      </c>
      <c r="CB92" s="44">
        <f t="shared" si="194"/>
        <v>8.0342782092267848E-2</v>
      </c>
      <c r="CC92" s="48">
        <f t="shared" si="195"/>
        <v>683.77818755635712</v>
      </c>
      <c r="CD92" s="46">
        <f t="shared" si="196"/>
        <v>0.65781251961675491</v>
      </c>
      <c r="CE92" s="49">
        <f t="shared" si="197"/>
        <v>0.48104417072470684</v>
      </c>
      <c r="CF92" s="49">
        <f t="shared" si="198"/>
        <v>0.47744382889912212</v>
      </c>
      <c r="CG92" s="47">
        <f t="shared" si="199"/>
        <v>4094.0517944093781</v>
      </c>
      <c r="CH92" s="44">
        <f t="shared" si="200"/>
        <v>0.20413684587253528</v>
      </c>
      <c r="CI92" s="50">
        <f t="shared" si="201"/>
        <v>0.14928089206073822</v>
      </c>
      <c r="CJ92" s="50">
        <f t="shared" si="202"/>
        <v>0.14816360954874525</v>
      </c>
      <c r="CK92" s="45">
        <f t="shared" si="203"/>
        <v>1270.4939404869251</v>
      </c>
      <c r="CL92" s="46">
        <f t="shared" si="204"/>
        <v>1.8554712132799075E-2</v>
      </c>
      <c r="CM92" s="49">
        <f t="shared" si="205"/>
        <v>1.3568662566893848E-2</v>
      </c>
      <c r="CN92" s="49">
        <f t="shared" si="206"/>
        <v>1.3467108850354187E-2</v>
      </c>
      <c r="CO92" s="47">
        <f t="shared" si="207"/>
        <v>115.47963931469792</v>
      </c>
      <c r="CP92" s="44">
        <f t="shared" si="208"/>
        <v>7.3524342007275673E-2</v>
      </c>
      <c r="CQ92" s="50">
        <f t="shared" si="209"/>
        <v>5.3766772559414804E-2</v>
      </c>
      <c r="CR92" s="50">
        <f t="shared" si="210"/>
        <v>5.3364358868836809E-2</v>
      </c>
      <c r="CS92" s="45">
        <f t="shared" si="211"/>
        <v>457.59613165013525</v>
      </c>
      <c r="CT92" s="46">
        <f t="shared" si="212"/>
        <v>0.94135720817614499</v>
      </c>
      <c r="CU92" s="49">
        <f t="shared" si="213"/>
        <v>0.68839431305844201</v>
      </c>
      <c r="CV92" s="49">
        <f t="shared" si="214"/>
        <v>0.68324207343340904</v>
      </c>
      <c r="CW92" s="47">
        <f t="shared" si="215"/>
        <v>5858.7592245266014</v>
      </c>
      <c r="CX92" s="44">
        <f t="shared" si="216"/>
        <v>2.4070021792065563E-2</v>
      </c>
      <c r="CY92" s="50">
        <f t="shared" si="217"/>
        <v>1.7470149964285326E-2</v>
      </c>
      <c r="CZ92" s="48">
        <f t="shared" si="218"/>
        <v>11.338675266175265</v>
      </c>
      <c r="DA92" s="45">
        <f t="shared" si="219"/>
        <v>149.80547339945898</v>
      </c>
      <c r="DB92" s="51">
        <f t="shared" si="220"/>
        <v>6.8717872589810493E-5</v>
      </c>
      <c r="DC92" s="52">
        <f t="shared" si="221"/>
        <v>0.58925157799819661</v>
      </c>
      <c r="DD92" s="44">
        <f t="shared" si="222"/>
        <v>1.8365289276868254E-2</v>
      </c>
      <c r="DE92" s="50">
        <f t="shared" si="223"/>
        <v>1.332962473304169E-2</v>
      </c>
      <c r="DF92" s="48">
        <f t="shared" si="224"/>
        <v>8.651344526344527</v>
      </c>
      <c r="DG92" s="45">
        <f t="shared" si="225"/>
        <v>114.30072137060415</v>
      </c>
      <c r="DH92" s="46">
        <f t="shared" si="226"/>
        <v>2.0782480059199759E-2</v>
      </c>
      <c r="DI92" s="49">
        <f t="shared" si="227"/>
        <v>1.508403467186193E-2</v>
      </c>
      <c r="DJ92" s="47">
        <f t="shared" si="228"/>
        <v>9.7900116025116031</v>
      </c>
      <c r="DK92" s="44">
        <f t="shared" si="229"/>
        <v>0.1070859423348408</v>
      </c>
      <c r="DL92" s="50">
        <f t="shared" si="230"/>
        <v>7.8309650227923688E-2</v>
      </c>
      <c r="DM92" s="50">
        <f t="shared" si="231"/>
        <v>7.7723547066881851E-2</v>
      </c>
      <c r="DN92" s="45">
        <f t="shared" si="232"/>
        <v>666.47468890892696</v>
      </c>
      <c r="DO92" s="46">
        <f t="shared" si="233"/>
        <v>8.2640737471685443E-3</v>
      </c>
      <c r="DP92" s="49">
        <f t="shared" si="234"/>
        <v>5.9981087232143454E-3</v>
      </c>
      <c r="DQ92" s="47">
        <f t="shared" si="235"/>
        <v>51.433417493237151</v>
      </c>
      <c r="DR92" s="53">
        <f t="shared" si="236"/>
        <v>3.4792329574105294E-3</v>
      </c>
      <c r="DS92" s="45">
        <f t="shared" si="237"/>
        <v>29.834211000901714</v>
      </c>
      <c r="DT92" s="46">
        <f t="shared" si="238"/>
        <v>1.245993300549994E-5</v>
      </c>
      <c r="DU92" s="49">
        <f t="shared" si="239"/>
        <v>9.1116814611678869E-6</v>
      </c>
      <c r="DV92" s="49">
        <f t="shared" si="240"/>
        <v>9.0434857114581968E-6</v>
      </c>
      <c r="DW92" s="47">
        <f t="shared" si="241"/>
        <v>7.7547339945897201E-2</v>
      </c>
      <c r="DY92" s="54">
        <f>VLOOKUP(A92,'[3]Barnet Schools'!$E$8:$V$130,17,0)</f>
        <v>86</v>
      </c>
    </row>
    <row r="93" spans="1:256">
      <c r="A93" s="77">
        <v>5407</v>
      </c>
      <c r="B93" s="78">
        <v>10142</v>
      </c>
      <c r="C93" s="589" t="s">
        <v>125</v>
      </c>
      <c r="D93" s="595">
        <f>VLOOKUP(A93,[4]CFR20152016_BenchMarkDataReport!$B$3:$BO$99,18,0)</f>
        <v>5094061</v>
      </c>
      <c r="E93" s="595">
        <f>VLOOKUP(A93,[4]CFR20152016_BenchMarkDataReport!$B$3:$BO$99,19,0)</f>
        <v>1045081</v>
      </c>
      <c r="F93" s="595">
        <f>VLOOKUP(A93,[4]CFR20152016_BenchMarkDataReport!$B$3:$BO$99,20,0)</f>
        <v>219418.64</v>
      </c>
      <c r="G93" s="595">
        <f>VLOOKUP(A93,[4]CFR20152016_BenchMarkDataReport!$B$3:$BO$99,21,0)</f>
        <v>0</v>
      </c>
      <c r="H93" s="595">
        <f>VLOOKUP(A93,[4]CFR20152016_BenchMarkDataReport!$B$3:$BO$99,22,0)</f>
        <v>229125</v>
      </c>
      <c r="I93" s="595">
        <f>VLOOKUP(A93,[4]CFR20152016_BenchMarkDataReport!$B$3:$BO$99,23,0)</f>
        <v>0</v>
      </c>
      <c r="J93" s="595">
        <f>VLOOKUP(A93,[4]CFR20152016_BenchMarkDataReport!$B$3:$BO$99,24,0)</f>
        <v>0</v>
      </c>
      <c r="K93" s="595">
        <f>VLOOKUP(A93,[4]CFR20152016_BenchMarkDataReport!$B$3:$BO$99,25,0)</f>
        <v>2008.01</v>
      </c>
      <c r="L93" s="595">
        <f>VLOOKUP(A93,[4]CFR20152016_BenchMarkDataReport!$B$3:$BO$99,26,0)</f>
        <v>0</v>
      </c>
      <c r="M93" s="595">
        <f>VLOOKUP(A93,[4]CFR20152016_BenchMarkDataReport!$B$3:$BO$99,27,0)</f>
        <v>0</v>
      </c>
      <c r="N93" s="595">
        <f>VLOOKUP(A93,[4]CFR20152016_BenchMarkDataReport!$B$3:$BO$99,28,0)</f>
        <v>0</v>
      </c>
      <c r="O93" s="595">
        <f>VLOOKUP(A93,[4]CFR20152016_BenchMarkDataReport!$B$3:$BO$99,29,0)</f>
        <v>89825.8</v>
      </c>
      <c r="P93" s="595">
        <f>VLOOKUP(A93,[4]CFR20152016_BenchMarkDataReport!$B$3:$BO$99,30,0)</f>
        <v>159035.81</v>
      </c>
      <c r="Q93" s="595">
        <f>VLOOKUP(A93,[4]CFR20152016_BenchMarkDataReport!$B$3:$BO$99,31,0)</f>
        <v>0</v>
      </c>
      <c r="R93" s="595">
        <f>VLOOKUP(A93,[4]CFR20152016_BenchMarkDataReport!$B$3:$BO$99,32,0)</f>
        <v>0</v>
      </c>
      <c r="S93" s="595">
        <f>VLOOKUP(A93,[4]CFR20152016_BenchMarkDataReport!$B$3:$BO$99,33,0)</f>
        <v>0</v>
      </c>
      <c r="T93" s="595">
        <f>VLOOKUP(A93,[4]CFR20152016_BenchMarkDataReport!$B$3:$BO$99,34,0)</f>
        <v>18000</v>
      </c>
      <c r="U93" s="595">
        <f>VLOOKUP(A93,[4]CFR20152016_BenchMarkDataReport!$B$3:$BO$99,35,0)</f>
        <v>3970041.76</v>
      </c>
      <c r="V93" s="595">
        <f>VLOOKUP(A93,[4]CFR20152016_BenchMarkDataReport!$B$3:$BO$99,36,0)</f>
        <v>0</v>
      </c>
      <c r="W93" s="595">
        <f>VLOOKUP(A93,[4]CFR20152016_BenchMarkDataReport!$B$3:$BO$99,37,0)</f>
        <v>735089.16</v>
      </c>
      <c r="X93" s="595">
        <f>VLOOKUP(A93,[4]CFR20152016_BenchMarkDataReport!$B$3:$BO$99,38,0)</f>
        <v>107504.68</v>
      </c>
      <c r="Y93" s="595">
        <f>VLOOKUP(A93,[4]CFR20152016_BenchMarkDataReport!$B$3:$BO$99,39,0)</f>
        <v>379174.34</v>
      </c>
      <c r="Z93" s="595">
        <f>VLOOKUP(A93,[4]CFR20152016_BenchMarkDataReport!$B$3:$BO$99,40,0)</f>
        <v>0</v>
      </c>
      <c r="AA93" s="595">
        <f>VLOOKUP(A93,[4]CFR20152016_BenchMarkDataReport!$B$3:$BO$99,41,0)</f>
        <v>15648.39</v>
      </c>
      <c r="AB93" s="595">
        <f>VLOOKUP(A93,[4]CFR20152016_BenchMarkDataReport!$B$3:$BO$99,42,0)</f>
        <v>39137.69</v>
      </c>
      <c r="AC93" s="595">
        <f>VLOOKUP(A93,[4]CFR20152016_BenchMarkDataReport!$B$3:$BO$99,43,0)</f>
        <v>8080.96</v>
      </c>
      <c r="AD93" s="595">
        <f>VLOOKUP(A93,[4]CFR20152016_BenchMarkDataReport!$B$3:$BO$99,44,0)</f>
        <v>910</v>
      </c>
      <c r="AE93" s="595">
        <f>VLOOKUP(A93,[4]CFR20152016_BenchMarkDataReport!$B$3:$BO$99,45,0)</f>
        <v>4007.51</v>
      </c>
      <c r="AF93" s="595">
        <f>VLOOKUP(A93,[4]CFR20152016_BenchMarkDataReport!$B$3:$BO$99,46,0)</f>
        <v>72572.02</v>
      </c>
      <c r="AG93" s="595">
        <f>VLOOKUP(A93,[4]CFR20152016_BenchMarkDataReport!$B$3:$BO$99,47,0)</f>
        <v>11589</v>
      </c>
      <c r="AH93" s="595">
        <f>VLOOKUP(A93,[4]CFR20152016_BenchMarkDataReport!$B$3:$BO$99,48,0)</f>
        <v>124926.93</v>
      </c>
      <c r="AI93" s="595">
        <f>VLOOKUP(A93,[4]CFR20152016_BenchMarkDataReport!$B$3:$BO$99,49,0)</f>
        <v>10200</v>
      </c>
      <c r="AJ93" s="595">
        <f>VLOOKUP(A93,[4]CFR20152016_BenchMarkDataReport!$B$3:$BO$99,50,0)</f>
        <v>155094.37</v>
      </c>
      <c r="AK93" s="595">
        <f>VLOOKUP(A93,[4]CFR20152016_BenchMarkDataReport!$B$3:$BO$99,51,0)</f>
        <v>0</v>
      </c>
      <c r="AL93" s="595">
        <f>VLOOKUP(A93,[4]CFR20152016_BenchMarkDataReport!$B$3:$BO$99,52,0)</f>
        <v>28201.52</v>
      </c>
      <c r="AM93" s="595">
        <f>VLOOKUP(A93,[4]CFR20152016_BenchMarkDataReport!$B$3:$BO$99,53,0)</f>
        <v>166917.65</v>
      </c>
      <c r="AN93" s="595">
        <f>VLOOKUP(A93,[4]CFR20152016_BenchMarkDataReport!$B$3:$BO$99,54,0)</f>
        <v>86155.97</v>
      </c>
      <c r="AO93" s="595">
        <f>VLOOKUP(A93,[4]CFR20152016_BenchMarkDataReport!$B$3:$BO$99,55,0)</f>
        <v>117679.47</v>
      </c>
      <c r="AP93" s="595">
        <f>VLOOKUP(A93,[4]CFR20152016_BenchMarkDataReport!$B$3:$BO$99,56,0)</f>
        <v>217823.01</v>
      </c>
      <c r="AQ93" s="595">
        <f>VLOOKUP(A93,[4]CFR20152016_BenchMarkDataReport!$B$3:$BO$99,57,0)</f>
        <v>34200.379999999997</v>
      </c>
      <c r="AR93" s="595">
        <f>VLOOKUP(A93,[4]CFR20152016_BenchMarkDataReport!$B$3:$BO$99,58,0)</f>
        <v>0</v>
      </c>
      <c r="AS93" s="595">
        <f>VLOOKUP(A93,[4]CFR20152016_BenchMarkDataReport!$B$3:$BO$99,59,0)</f>
        <v>43130.3</v>
      </c>
      <c r="AT93" s="595">
        <f>VLOOKUP(A93,[4]CFR20152016_BenchMarkDataReport!$B$3:$BO$99,60,0)</f>
        <v>138101.45000000001</v>
      </c>
      <c r="AU93" s="595">
        <f>VLOOKUP(A93,[4]CFR20152016_BenchMarkDataReport!$B$3:$BO$99,61,0)</f>
        <v>211502.28</v>
      </c>
      <c r="AV93" s="595">
        <f>VLOOKUP(A93,[4]CFR20152016_BenchMarkDataReport!$B$3:$BO$99,62,0)</f>
        <v>70229.42</v>
      </c>
      <c r="AW93" s="595">
        <f>VLOOKUP(A93,[4]CFR20152016_BenchMarkDataReport!$B$3:$BO$99,63,0)</f>
        <v>0</v>
      </c>
      <c r="AX93" s="595">
        <f>VLOOKUP(A93,[4]CFR20152016_BenchMarkDataReport!$B$3:$BO$99,64,0)</f>
        <v>0</v>
      </c>
      <c r="AY93" s="595">
        <f>VLOOKUP(A93,[4]CFR20152016_BenchMarkDataReport!$B$3:$BO$99,65,0)</f>
        <v>0</v>
      </c>
      <c r="AZ93" s="595">
        <f>VLOOKUP(A93,[4]CFR20152016_BenchMarkDataReport!$B$3:$BO$99,66,0)</f>
        <v>0</v>
      </c>
      <c r="BA93" s="596">
        <f t="shared" si="172"/>
        <v>6856555.2599999988</v>
      </c>
      <c r="BB93" s="595">
        <f t="shared" si="173"/>
        <v>6747918.2599999979</v>
      </c>
      <c r="BC93" s="600">
        <f t="shared" si="174"/>
        <v>108637.00000000093</v>
      </c>
      <c r="BD93" s="595">
        <f>VLOOKUP(A93,[4]CFR20152016_BenchMarkDataReport!$B$3:$BO$99,15,0)</f>
        <v>-450</v>
      </c>
      <c r="BE93" s="600">
        <f t="shared" si="175"/>
        <v>108187.00000000093</v>
      </c>
      <c r="BF93" s="76">
        <f>VLOOKUP(A93,'OCT 15 CENSUS'!$B$9:$U$132,20,0)</f>
        <v>1118</v>
      </c>
      <c r="BG93" s="73">
        <f>VLOOKUP(A93,'[2]BUDGET SHARE inc ADJUSTMENTS'!$D$4:$M$139,10,0)</f>
        <v>6105986.0205477066</v>
      </c>
      <c r="BH93" s="76">
        <f>VLOOKUP(A93,'12-13 Pupil Data'!A:CI,81,0)</f>
        <v>9389</v>
      </c>
      <c r="BI93" t="s">
        <v>212</v>
      </c>
      <c r="BJ93" s="44">
        <f t="shared" si="176"/>
        <v>0.74294755993842898</v>
      </c>
      <c r="BK93" s="45">
        <f t="shared" si="177"/>
        <v>4556.4051878354203</v>
      </c>
      <c r="BL93" s="44">
        <f t="shared" si="178"/>
        <v>0.15242070695423815</v>
      </c>
      <c r="BM93" s="45">
        <f t="shared" si="179"/>
        <v>934.77728085867625</v>
      </c>
      <c r="BN93" s="44">
        <f t="shared" si="180"/>
        <v>3.2001293897542374E-2</v>
      </c>
      <c r="BO93" s="45">
        <f t="shared" si="181"/>
        <v>196.2599642218247</v>
      </c>
      <c r="BP93" s="44">
        <f t="shared" si="182"/>
        <v>0</v>
      </c>
      <c r="BQ93" s="45">
        <f t="shared" si="183"/>
        <v>0</v>
      </c>
      <c r="BR93" s="44">
        <f t="shared" si="184"/>
        <v>3.3416926038163375E-2</v>
      </c>
      <c r="BS93" s="45">
        <f t="shared" si="185"/>
        <v>204.94186046511629</v>
      </c>
      <c r="BT93" s="44">
        <f t="shared" si="186"/>
        <v>0</v>
      </c>
      <c r="BU93" s="45">
        <f t="shared" si="187"/>
        <v>0</v>
      </c>
      <c r="BV93" s="44">
        <f t="shared" si="188"/>
        <v>0</v>
      </c>
      <c r="BW93" s="45">
        <f t="shared" si="189"/>
        <v>0</v>
      </c>
      <c r="BX93" s="44">
        <f t="shared" si="190"/>
        <v>2.9285988719647543E-4</v>
      </c>
      <c r="BY93" s="45">
        <f t="shared" si="191"/>
        <v>1.7960733452593918</v>
      </c>
      <c r="BZ93" s="46">
        <f t="shared" si="192"/>
        <v>1.3100718450273238E-2</v>
      </c>
      <c r="CA93" s="47">
        <f t="shared" si="193"/>
        <v>80.345080500894454</v>
      </c>
      <c r="CB93" s="44">
        <f t="shared" si="194"/>
        <v>2.3194709875349277E-2</v>
      </c>
      <c r="CC93" s="48">
        <f t="shared" si="195"/>
        <v>142.25027728085868</v>
      </c>
      <c r="CD93" s="46">
        <f t="shared" si="196"/>
        <v>0.67280586561701627</v>
      </c>
      <c r="CE93" s="49">
        <f t="shared" si="197"/>
        <v>0.59915556051392493</v>
      </c>
      <c r="CF93" s="49">
        <f t="shared" si="198"/>
        <v>0.608801566899834</v>
      </c>
      <c r="CG93" s="47">
        <f t="shared" si="199"/>
        <v>3674.5466994633275</v>
      </c>
      <c r="CH93" s="44">
        <f t="shared" si="200"/>
        <v>0.12038828086508828</v>
      </c>
      <c r="CI93" s="50">
        <f t="shared" si="201"/>
        <v>0.10720968943229958</v>
      </c>
      <c r="CJ93" s="50">
        <f t="shared" si="202"/>
        <v>0.1089356941914113</v>
      </c>
      <c r="CK93" s="45">
        <f t="shared" si="203"/>
        <v>657.50372093023259</v>
      </c>
      <c r="CL93" s="46">
        <f t="shared" si="204"/>
        <v>1.760644057130626E-2</v>
      </c>
      <c r="CM93" s="49">
        <f t="shared" si="205"/>
        <v>1.5679109395816349E-2</v>
      </c>
      <c r="CN93" s="49">
        <f t="shared" si="206"/>
        <v>1.5931532638334009E-2</v>
      </c>
      <c r="CO93" s="47">
        <f t="shared" si="207"/>
        <v>96.158032200357781</v>
      </c>
      <c r="CP93" s="44">
        <f t="shared" si="208"/>
        <v>6.2098789405021941E-2</v>
      </c>
      <c r="CQ93" s="50">
        <f t="shared" si="209"/>
        <v>5.5300996728202566E-2</v>
      </c>
      <c r="CR93" s="50">
        <f t="shared" si="210"/>
        <v>5.619130602806089E-2</v>
      </c>
      <c r="CS93" s="45">
        <f t="shared" si="211"/>
        <v>339.15415026833637</v>
      </c>
      <c r="CT93" s="46">
        <f t="shared" si="212"/>
        <v>0.8528447841963599</v>
      </c>
      <c r="CU93" s="49">
        <f t="shared" si="213"/>
        <v>0.75948608777055204</v>
      </c>
      <c r="CV93" s="49">
        <f t="shared" si="214"/>
        <v>0.77171330910579239</v>
      </c>
      <c r="CW93" s="47">
        <f t="shared" si="215"/>
        <v>4657.83392665474</v>
      </c>
      <c r="CX93" s="44">
        <f t="shared" si="216"/>
        <v>1.1885389150217919E-2</v>
      </c>
      <c r="CY93" s="50">
        <f t="shared" si="217"/>
        <v>1.0754727191968095E-2</v>
      </c>
      <c r="CZ93" s="48">
        <f t="shared" si="218"/>
        <v>7.7294727873042923</v>
      </c>
      <c r="DA93" s="45">
        <f t="shared" si="219"/>
        <v>64.912361359570667</v>
      </c>
      <c r="DB93" s="51">
        <f t="shared" si="220"/>
        <v>1.5115772905049984E-3</v>
      </c>
      <c r="DC93" s="52">
        <f t="shared" si="221"/>
        <v>9.1234347048300535</v>
      </c>
      <c r="DD93" s="44">
        <f t="shared" si="222"/>
        <v>2.5400380786670722E-2</v>
      </c>
      <c r="DE93" s="50">
        <f t="shared" si="223"/>
        <v>2.2984032115409773E-2</v>
      </c>
      <c r="DF93" s="48">
        <f t="shared" si="224"/>
        <v>16.518731494301843</v>
      </c>
      <c r="DG93" s="45">
        <f t="shared" si="225"/>
        <v>138.72483899821108</v>
      </c>
      <c r="DH93" s="46">
        <f t="shared" si="226"/>
        <v>4.6186676328928648E-3</v>
      </c>
      <c r="DI93" s="49">
        <f t="shared" si="227"/>
        <v>4.1792918813453456E-3</v>
      </c>
      <c r="DJ93" s="47">
        <f t="shared" si="228"/>
        <v>3.0036766428799662</v>
      </c>
      <c r="DK93" s="44">
        <f t="shared" si="229"/>
        <v>2.7336723248021371E-2</v>
      </c>
      <c r="DL93" s="50">
        <f t="shared" si="230"/>
        <v>2.4344243380312235E-2</v>
      </c>
      <c r="DM93" s="50">
        <f t="shared" si="231"/>
        <v>2.4736169522006041E-2</v>
      </c>
      <c r="DN93" s="45">
        <f t="shared" si="232"/>
        <v>149.3002236135957</v>
      </c>
      <c r="DO93" s="46">
        <f t="shared" si="233"/>
        <v>3.5673683049222131E-2</v>
      </c>
      <c r="DP93" s="49">
        <f t="shared" si="234"/>
        <v>3.2280030908376785E-2</v>
      </c>
      <c r="DQ93" s="47">
        <f t="shared" si="235"/>
        <v>194.83274597495529</v>
      </c>
      <c r="DR93" s="53">
        <f t="shared" si="236"/>
        <v>6.3916452953595819E-3</v>
      </c>
      <c r="DS93" s="45">
        <f t="shared" si="237"/>
        <v>38.578085867620757</v>
      </c>
      <c r="DT93" s="46">
        <f t="shared" si="238"/>
        <v>3.9797012174980857E-5</v>
      </c>
      <c r="DU93" s="49">
        <f t="shared" si="239"/>
        <v>3.5440536943911398E-5</v>
      </c>
      <c r="DV93" s="49">
        <f t="shared" si="240"/>
        <v>3.601110603850143E-5</v>
      </c>
      <c r="DW93" s="47">
        <f t="shared" si="241"/>
        <v>0.21735241502683364</v>
      </c>
      <c r="DY93" s="54">
        <f>VLOOKUP(A93,'[3]Barnet Schools'!$E$8:$V$130,17,0)</f>
        <v>243</v>
      </c>
    </row>
    <row r="94" spans="1:256" s="14" customFormat="1">
      <c r="A94" s="589">
        <v>5403</v>
      </c>
      <c r="B94" s="590">
        <v>10143</v>
      </c>
      <c r="C94" s="589" t="s">
        <v>126</v>
      </c>
      <c r="D94" s="595">
        <f>VLOOKUP(A94,[4]CFR20152016_BenchMarkDataReport!$B$3:$BO$99,18,0)</f>
        <v>1063986</v>
      </c>
      <c r="E94" s="595">
        <f>VLOOKUP(A94,[4]CFR20152016_BenchMarkDataReport!$B$3:$BO$99,19,0)</f>
        <v>92487</v>
      </c>
      <c r="F94" s="595">
        <f>VLOOKUP(A94,[4]CFR20152016_BenchMarkDataReport!$B$3:$BO$99,20,0)</f>
        <v>32353</v>
      </c>
      <c r="G94" s="595">
        <f>VLOOKUP(A94,[4]CFR20152016_BenchMarkDataReport!$B$3:$BO$99,21,0)</f>
        <v>0</v>
      </c>
      <c r="H94" s="595">
        <f>VLOOKUP(A94,[4]CFR20152016_BenchMarkDataReport!$B$3:$BO$99,22,0)</f>
        <v>70287.02</v>
      </c>
      <c r="I94" s="595">
        <f>VLOOKUP(A94,[4]CFR20152016_BenchMarkDataReport!$B$3:$BO$99,23,0)</f>
        <v>0</v>
      </c>
      <c r="J94" s="595">
        <f>VLOOKUP(A94,[4]CFR20152016_BenchMarkDataReport!$B$3:$BO$99,24,0)</f>
        <v>0</v>
      </c>
      <c r="K94" s="595">
        <f>VLOOKUP(A94,[4]CFR20152016_BenchMarkDataReport!$B$3:$BO$99,25,0)</f>
        <v>66468.34</v>
      </c>
      <c r="L94" s="595">
        <f>VLOOKUP(A94,[4]CFR20152016_BenchMarkDataReport!$B$3:$BO$99,26,0)</f>
        <v>0</v>
      </c>
      <c r="M94" s="595">
        <f>VLOOKUP(A94,[4]CFR20152016_BenchMarkDataReport!$B$3:$BO$99,27,0)</f>
        <v>0</v>
      </c>
      <c r="N94" s="595">
        <f>VLOOKUP(A94,[4]CFR20152016_BenchMarkDataReport!$B$3:$BO$99,28,0)</f>
        <v>0</v>
      </c>
      <c r="O94" s="595">
        <f>VLOOKUP(A94,[4]CFR20152016_BenchMarkDataReport!$B$3:$BO$99,29,0)</f>
        <v>3473.43</v>
      </c>
      <c r="P94" s="595">
        <f>VLOOKUP(A94,[4]CFR20152016_BenchMarkDataReport!$B$3:$BO$99,30,0)</f>
        <v>17618.599999999999</v>
      </c>
      <c r="Q94" s="595">
        <f>VLOOKUP(A94,[4]CFR20152016_BenchMarkDataReport!$B$3:$BO$99,31,0)</f>
        <v>0</v>
      </c>
      <c r="R94" s="595">
        <f>VLOOKUP(A94,[4]CFR20152016_BenchMarkDataReport!$B$3:$BO$99,32,0)</f>
        <v>0</v>
      </c>
      <c r="S94" s="595">
        <f>VLOOKUP(A94,[4]CFR20152016_BenchMarkDataReport!$B$3:$BO$99,33,0)</f>
        <v>0</v>
      </c>
      <c r="T94" s="595">
        <f>VLOOKUP(A94,[4]CFR20152016_BenchMarkDataReport!$B$3:$BO$99,34,0)</f>
        <v>0</v>
      </c>
      <c r="U94" s="595">
        <f>VLOOKUP(A94,[4]CFR20152016_BenchMarkDataReport!$B$3:$BO$99,35,0)</f>
        <v>785928.7</v>
      </c>
      <c r="V94" s="595">
        <f>VLOOKUP(A94,[4]CFR20152016_BenchMarkDataReport!$B$3:$BO$99,36,0)</f>
        <v>0</v>
      </c>
      <c r="W94" s="595">
        <f>VLOOKUP(A94,[4]CFR20152016_BenchMarkDataReport!$B$3:$BO$99,37,0)</f>
        <v>92414.33</v>
      </c>
      <c r="X94" s="595">
        <f>VLOOKUP(A94,[4]CFR20152016_BenchMarkDataReport!$B$3:$BO$99,38,0)</f>
        <v>63880.31</v>
      </c>
      <c r="Y94" s="595">
        <f>VLOOKUP(A94,[4]CFR20152016_BenchMarkDataReport!$B$3:$BO$99,39,0)</f>
        <v>107214.11</v>
      </c>
      <c r="Z94" s="595">
        <f>VLOOKUP(A94,[4]CFR20152016_BenchMarkDataReport!$B$3:$BO$99,40,0)</f>
        <v>0</v>
      </c>
      <c r="AA94" s="595">
        <f>VLOOKUP(A94,[4]CFR20152016_BenchMarkDataReport!$B$3:$BO$99,41,0)</f>
        <v>18166.07</v>
      </c>
      <c r="AB94" s="595">
        <f>VLOOKUP(A94,[4]CFR20152016_BenchMarkDataReport!$B$3:$BO$99,42,0)</f>
        <v>2865.59</v>
      </c>
      <c r="AC94" s="595">
        <f>VLOOKUP(A94,[4]CFR20152016_BenchMarkDataReport!$B$3:$BO$99,43,0)</f>
        <v>13702.53</v>
      </c>
      <c r="AD94" s="595">
        <f>VLOOKUP(A94,[4]CFR20152016_BenchMarkDataReport!$B$3:$BO$99,44,0)</f>
        <v>157</v>
      </c>
      <c r="AE94" s="595">
        <f>VLOOKUP(A94,[4]CFR20152016_BenchMarkDataReport!$B$3:$BO$99,45,0)</f>
        <v>1106.69</v>
      </c>
      <c r="AF94" s="595">
        <f>VLOOKUP(A94,[4]CFR20152016_BenchMarkDataReport!$B$3:$BO$99,46,0)</f>
        <v>63563.27</v>
      </c>
      <c r="AG94" s="595">
        <f>VLOOKUP(A94,[4]CFR20152016_BenchMarkDataReport!$B$3:$BO$99,47,0)</f>
        <v>5435.17</v>
      </c>
      <c r="AH94" s="595">
        <f>VLOOKUP(A94,[4]CFR20152016_BenchMarkDataReport!$B$3:$BO$99,48,0)</f>
        <v>61771.62</v>
      </c>
      <c r="AI94" s="595">
        <f>VLOOKUP(A94,[4]CFR20152016_BenchMarkDataReport!$B$3:$BO$99,49,0)</f>
        <v>9848.42</v>
      </c>
      <c r="AJ94" s="595">
        <f>VLOOKUP(A94,[4]CFR20152016_BenchMarkDataReport!$B$3:$BO$99,50,0)</f>
        <v>29691.95</v>
      </c>
      <c r="AK94" s="595">
        <f>VLOOKUP(A94,[4]CFR20152016_BenchMarkDataReport!$B$3:$BO$99,51,0)</f>
        <v>0</v>
      </c>
      <c r="AL94" s="595">
        <f>VLOOKUP(A94,[4]CFR20152016_BenchMarkDataReport!$B$3:$BO$99,52,0)</f>
        <v>15297.49</v>
      </c>
      <c r="AM94" s="595">
        <f>VLOOKUP(A94,[4]CFR20152016_BenchMarkDataReport!$B$3:$BO$99,53,0)</f>
        <v>40066.81</v>
      </c>
      <c r="AN94" s="595">
        <f>VLOOKUP(A94,[4]CFR20152016_BenchMarkDataReport!$B$3:$BO$99,54,0)</f>
        <v>49647.05</v>
      </c>
      <c r="AO94" s="595">
        <f>VLOOKUP(A94,[4]CFR20152016_BenchMarkDataReport!$B$3:$BO$99,55,0)</f>
        <v>32001.57</v>
      </c>
      <c r="AP94" s="595">
        <f>VLOOKUP(A94,[4]CFR20152016_BenchMarkDataReport!$B$3:$BO$99,56,0)</f>
        <v>11811.42</v>
      </c>
      <c r="AQ94" s="595">
        <f>VLOOKUP(A94,[4]CFR20152016_BenchMarkDataReport!$B$3:$BO$99,57,0)</f>
        <v>20150.830000000002</v>
      </c>
      <c r="AR94" s="595">
        <f>VLOOKUP(A94,[4]CFR20152016_BenchMarkDataReport!$B$3:$BO$99,58,0)</f>
        <v>95</v>
      </c>
      <c r="AS94" s="595">
        <f>VLOOKUP(A94,[4]CFR20152016_BenchMarkDataReport!$B$3:$BO$99,59,0)</f>
        <v>9697.7900000000009</v>
      </c>
      <c r="AT94" s="595">
        <f>VLOOKUP(A94,[4]CFR20152016_BenchMarkDataReport!$B$3:$BO$99,60,0)</f>
        <v>30044.43</v>
      </c>
      <c r="AU94" s="595">
        <f>VLOOKUP(A94,[4]CFR20152016_BenchMarkDataReport!$B$3:$BO$99,61,0)</f>
        <v>43069.39</v>
      </c>
      <c r="AV94" s="595">
        <f>VLOOKUP(A94,[4]CFR20152016_BenchMarkDataReport!$B$3:$BO$99,62,0)</f>
        <v>26659.85</v>
      </c>
      <c r="AW94" s="595">
        <f>VLOOKUP(A94,[4]CFR20152016_BenchMarkDataReport!$B$3:$BO$99,63,0)</f>
        <v>0</v>
      </c>
      <c r="AX94" s="595">
        <f>VLOOKUP(A94,[4]CFR20152016_BenchMarkDataReport!$B$3:$BO$99,64,0)</f>
        <v>0</v>
      </c>
      <c r="AY94" s="595">
        <f>VLOOKUP(A94,[4]CFR20152016_BenchMarkDataReport!$B$3:$BO$99,65,0)</f>
        <v>0</v>
      </c>
      <c r="AZ94" s="595">
        <f>VLOOKUP(A94,[4]CFR20152016_BenchMarkDataReport!$B$3:$BO$99,66,0)</f>
        <v>0</v>
      </c>
      <c r="BA94" s="598">
        <f t="shared" si="172"/>
        <v>1346673.3900000001</v>
      </c>
      <c r="BB94" s="597">
        <f t="shared" si="173"/>
        <v>1534287.3900000001</v>
      </c>
      <c r="BC94" s="603">
        <f t="shared" si="174"/>
        <v>-187614</v>
      </c>
      <c r="BD94" s="595">
        <f>VLOOKUP(A94,[4]CFR20152016_BenchMarkDataReport!$B$3:$BO$99,15,0)</f>
        <v>413440</v>
      </c>
      <c r="BE94" s="603">
        <f t="shared" si="175"/>
        <v>225826</v>
      </c>
      <c r="BF94" s="76">
        <f>VLOOKUP(A94,'OCT 15 CENSUS'!$B$9:$U$132,20,0)</f>
        <v>78</v>
      </c>
      <c r="BG94" s="579">
        <f>VLOOKUP(A94,'[2]BUDGET SHARE inc ADJUSTMENTS'!$D$4:$M$139,10,0)</f>
        <v>1251995.1219399918</v>
      </c>
      <c r="BH94" s="580">
        <f>VLOOKUP(A94,'12-13 Pupil Data'!A:CI,81,0)</f>
        <v>8083</v>
      </c>
      <c r="BI94" s="14" t="s">
        <v>212</v>
      </c>
      <c r="BJ94" s="53">
        <f t="shared" si="176"/>
        <v>0.79008466930500487</v>
      </c>
      <c r="BK94" s="581">
        <f t="shared" si="177"/>
        <v>13640.846153846154</v>
      </c>
      <c r="BL94" s="53">
        <f t="shared" si="178"/>
        <v>6.8678122465908376E-2</v>
      </c>
      <c r="BM94" s="581">
        <f t="shared" si="179"/>
        <v>1185.7307692307693</v>
      </c>
      <c r="BN94" s="53">
        <f t="shared" si="180"/>
        <v>2.402438500696891E-2</v>
      </c>
      <c r="BO94" s="581">
        <f t="shared" si="181"/>
        <v>414.78205128205127</v>
      </c>
      <c r="BP94" s="53">
        <f t="shared" si="182"/>
        <v>0</v>
      </c>
      <c r="BQ94" s="581">
        <f t="shared" si="183"/>
        <v>0</v>
      </c>
      <c r="BR94" s="53">
        <f t="shared" si="184"/>
        <v>5.2193071105385097E-2</v>
      </c>
      <c r="BS94" s="581">
        <f t="shared" si="185"/>
        <v>901.11564102564103</v>
      </c>
      <c r="BT94" s="53">
        <f t="shared" si="186"/>
        <v>0</v>
      </c>
      <c r="BU94" s="581">
        <f t="shared" si="187"/>
        <v>0</v>
      </c>
      <c r="BV94" s="53">
        <f t="shared" si="188"/>
        <v>0</v>
      </c>
      <c r="BW94" s="581">
        <f t="shared" si="189"/>
        <v>0</v>
      </c>
      <c r="BX94" s="53">
        <f t="shared" si="190"/>
        <v>4.9357431797178372E-2</v>
      </c>
      <c r="BY94" s="581">
        <f t="shared" si="191"/>
        <v>852.15820512820505</v>
      </c>
      <c r="BZ94" s="582">
        <f t="shared" si="192"/>
        <v>2.5792668257891391E-3</v>
      </c>
      <c r="CA94" s="583">
        <f t="shared" si="193"/>
        <v>44.531153846153842</v>
      </c>
      <c r="CB94" s="53">
        <f t="shared" si="194"/>
        <v>1.3083053493765104E-2</v>
      </c>
      <c r="CC94" s="584">
        <f t="shared" si="195"/>
        <v>225.87948717948717</v>
      </c>
      <c r="CD94" s="582">
        <f t="shared" si="196"/>
        <v>0.65173826614885932</v>
      </c>
      <c r="CE94" s="585">
        <f t="shared" si="197"/>
        <v>0.60591761600041705</v>
      </c>
      <c r="CF94" s="585">
        <f t="shared" si="198"/>
        <v>0.53182548153511189</v>
      </c>
      <c r="CG94" s="583">
        <f t="shared" si="199"/>
        <v>10461.193974358974</v>
      </c>
      <c r="CH94" s="53">
        <f t="shared" si="200"/>
        <v>7.381365021359039E-2</v>
      </c>
      <c r="CI94" s="65">
        <f t="shared" si="201"/>
        <v>6.8624159864033543E-2</v>
      </c>
      <c r="CJ94" s="65">
        <f t="shared" si="202"/>
        <v>6.0232737753257555E-2</v>
      </c>
      <c r="CK94" s="581">
        <f t="shared" si="203"/>
        <v>1184.7991025641027</v>
      </c>
      <c r="CL94" s="582">
        <f t="shared" si="204"/>
        <v>5.1022810616878571E-2</v>
      </c>
      <c r="CM94" s="585">
        <f t="shared" si="205"/>
        <v>4.7435636936436376E-2</v>
      </c>
      <c r="CN94" s="585">
        <f t="shared" si="206"/>
        <v>4.1635165886359786E-2</v>
      </c>
      <c r="CO94" s="583">
        <f t="shared" si="207"/>
        <v>818.97833333333335</v>
      </c>
      <c r="CP94" s="53">
        <f t="shared" si="208"/>
        <v>8.5634606813698735E-2</v>
      </c>
      <c r="CQ94" s="65">
        <f t="shared" si="209"/>
        <v>7.9614040639802042E-2</v>
      </c>
      <c r="CR94" s="65">
        <f t="shared" si="210"/>
        <v>6.9878766324215177E-2</v>
      </c>
      <c r="CS94" s="581">
        <f t="shared" si="211"/>
        <v>1374.5398717948717</v>
      </c>
      <c r="CT94" s="582">
        <f t="shared" si="212"/>
        <v>0.85272178884030048</v>
      </c>
      <c r="CU94" s="585">
        <f t="shared" si="213"/>
        <v>0.79277093312135616</v>
      </c>
      <c r="CV94" s="585">
        <f t="shared" si="214"/>
        <v>0.69583021209605322</v>
      </c>
      <c r="CW94" s="583">
        <f t="shared" si="215"/>
        <v>13687.224615384615</v>
      </c>
      <c r="CX94" s="53">
        <f t="shared" si="216"/>
        <v>5.0769582793188058E-2</v>
      </c>
      <c r="CY94" s="65">
        <f t="shared" si="217"/>
        <v>4.1428529240535562E-2</v>
      </c>
      <c r="CZ94" s="584">
        <f t="shared" si="218"/>
        <v>7.8638216008907582</v>
      </c>
      <c r="DA94" s="581">
        <f t="shared" si="219"/>
        <v>814.91371794871793</v>
      </c>
      <c r="DB94" s="586">
        <f t="shared" si="220"/>
        <v>6.4188887063720175E-3</v>
      </c>
      <c r="DC94" s="587">
        <f t="shared" si="221"/>
        <v>126.26179487179488</v>
      </c>
      <c r="DD94" s="53">
        <f t="shared" si="222"/>
        <v>2.3715707417447218E-2</v>
      </c>
      <c r="DE94" s="65">
        <f t="shared" si="223"/>
        <v>1.9352274022143921E-2</v>
      </c>
      <c r="DF94" s="584">
        <f t="shared" si="224"/>
        <v>3.6733824075219599</v>
      </c>
      <c r="DG94" s="581">
        <f t="shared" si="225"/>
        <v>380.66602564102567</v>
      </c>
      <c r="DH94" s="582">
        <f t="shared" si="226"/>
        <v>1.221849009786574E-2</v>
      </c>
      <c r="DI94" s="585">
        <f t="shared" si="227"/>
        <v>9.9704202092151702E-3</v>
      </c>
      <c r="DJ94" s="583">
        <f t="shared" si="228"/>
        <v>1.8925510330322899</v>
      </c>
      <c r="DK94" s="53">
        <f t="shared" si="229"/>
        <v>3.2002369097026244E-2</v>
      </c>
      <c r="DL94" s="65">
        <f t="shared" si="230"/>
        <v>2.9752433141936513E-2</v>
      </c>
      <c r="DM94" s="65">
        <f t="shared" si="231"/>
        <v>2.6114279672206649E-2</v>
      </c>
      <c r="DN94" s="581">
        <f t="shared" si="232"/>
        <v>513.67705128205125</v>
      </c>
      <c r="DO94" s="582">
        <f t="shared" si="233"/>
        <v>9.4340782907348427E-3</v>
      </c>
      <c r="DP94" s="585">
        <f t="shared" si="234"/>
        <v>7.6983100278234049E-3</v>
      </c>
      <c r="DQ94" s="583">
        <f t="shared" si="235"/>
        <v>151.42846153846153</v>
      </c>
      <c r="DR94" s="53">
        <f t="shared" si="236"/>
        <v>6.3207128359439885E-3</v>
      </c>
      <c r="DS94" s="581">
        <f t="shared" si="237"/>
        <v>124.33064102564104</v>
      </c>
      <c r="DT94" s="582">
        <f t="shared" si="238"/>
        <v>5.7508211284748892E-5</v>
      </c>
      <c r="DU94" s="585">
        <f t="shared" si="239"/>
        <v>5.3465079606273346E-5</v>
      </c>
      <c r="DV94" s="585">
        <f t="shared" si="240"/>
        <v>4.6927323048649964E-5</v>
      </c>
      <c r="DW94" s="583">
        <f t="shared" si="241"/>
        <v>0.92307692307692313</v>
      </c>
      <c r="DY94" s="588">
        <f>VLOOKUP(A94,'[3]Barnet Schools'!$E$8:$V$130,17,0)</f>
        <v>72</v>
      </c>
    </row>
    <row r="95" spans="1:256">
      <c r="A95" s="77">
        <v>5404</v>
      </c>
      <c r="B95" s="78">
        <v>10148</v>
      </c>
      <c r="C95" s="589" t="s">
        <v>127</v>
      </c>
      <c r="D95" s="595">
        <f>VLOOKUP(A95,[4]CFR20152016_BenchMarkDataReport!$B$3:$BO$99,18,0)</f>
        <v>2572337</v>
      </c>
      <c r="E95" s="595">
        <f>VLOOKUP(A95,[4]CFR20152016_BenchMarkDataReport!$B$3:$BO$99,19,0)</f>
        <v>1332763</v>
      </c>
      <c r="F95" s="595">
        <f>VLOOKUP(A95,[4]CFR20152016_BenchMarkDataReport!$B$3:$BO$99,20,0)</f>
        <v>0</v>
      </c>
      <c r="G95" s="595">
        <f>VLOOKUP(A95,[4]CFR20152016_BenchMarkDataReport!$B$3:$BO$99,21,0)</f>
        <v>0</v>
      </c>
      <c r="H95" s="595">
        <f>VLOOKUP(A95,[4]CFR20152016_BenchMarkDataReport!$B$3:$BO$99,22,0)</f>
        <v>44430</v>
      </c>
      <c r="I95" s="595">
        <f>VLOOKUP(A95,[4]CFR20152016_BenchMarkDataReport!$B$3:$BO$99,23,0)</f>
        <v>2980</v>
      </c>
      <c r="J95" s="595">
        <f>VLOOKUP(A95,[4]CFR20152016_BenchMarkDataReport!$B$3:$BO$99,24,0)</f>
        <v>8352.69</v>
      </c>
      <c r="K95" s="595">
        <f>VLOOKUP(A95,[4]CFR20152016_BenchMarkDataReport!$B$3:$BO$99,25,0)</f>
        <v>42305.96</v>
      </c>
      <c r="L95" s="595">
        <f>VLOOKUP(A95,[4]CFR20152016_BenchMarkDataReport!$B$3:$BO$99,26,0)</f>
        <v>109273.18</v>
      </c>
      <c r="M95" s="595">
        <f>VLOOKUP(A95,[4]CFR20152016_BenchMarkDataReport!$B$3:$BO$99,27,0)</f>
        <v>0</v>
      </c>
      <c r="N95" s="595">
        <f>VLOOKUP(A95,[4]CFR20152016_BenchMarkDataReport!$B$3:$BO$99,28,0)</f>
        <v>0</v>
      </c>
      <c r="O95" s="595">
        <f>VLOOKUP(A95,[4]CFR20152016_BenchMarkDataReport!$B$3:$BO$99,29,0)</f>
        <v>24193.88</v>
      </c>
      <c r="P95" s="595">
        <f>VLOOKUP(A95,[4]CFR20152016_BenchMarkDataReport!$B$3:$BO$99,30,0)</f>
        <v>269121.56</v>
      </c>
      <c r="Q95" s="595">
        <f>VLOOKUP(A95,[4]CFR20152016_BenchMarkDataReport!$B$3:$BO$99,31,0)</f>
        <v>0</v>
      </c>
      <c r="R95" s="595">
        <f>VLOOKUP(A95,[4]CFR20152016_BenchMarkDataReport!$B$3:$BO$99,32,0)</f>
        <v>0</v>
      </c>
      <c r="S95" s="595">
        <f>VLOOKUP(A95,[4]CFR20152016_BenchMarkDataReport!$B$3:$BO$99,33,0)</f>
        <v>0</v>
      </c>
      <c r="T95" s="595">
        <f>VLOOKUP(A95,[4]CFR20152016_BenchMarkDataReport!$B$3:$BO$99,34,0)</f>
        <v>45200.01</v>
      </c>
      <c r="U95" s="595">
        <f>VLOOKUP(A95,[4]CFR20152016_BenchMarkDataReport!$B$3:$BO$99,35,0)</f>
        <v>2829074.86</v>
      </c>
      <c r="V95" s="595">
        <f>VLOOKUP(A95,[4]CFR20152016_BenchMarkDataReport!$B$3:$BO$99,36,0)</f>
        <v>32464.66</v>
      </c>
      <c r="W95" s="595">
        <f>VLOOKUP(A95,[4]CFR20152016_BenchMarkDataReport!$B$3:$BO$99,37,0)</f>
        <v>145727.26</v>
      </c>
      <c r="X95" s="595">
        <f>VLOOKUP(A95,[4]CFR20152016_BenchMarkDataReport!$B$3:$BO$99,38,0)</f>
        <v>122588.86</v>
      </c>
      <c r="Y95" s="595">
        <f>VLOOKUP(A95,[4]CFR20152016_BenchMarkDataReport!$B$3:$BO$99,39,0)</f>
        <v>458714.42</v>
      </c>
      <c r="Z95" s="595">
        <f>VLOOKUP(A95,[4]CFR20152016_BenchMarkDataReport!$B$3:$BO$99,40,0)</f>
        <v>68133.84</v>
      </c>
      <c r="AA95" s="595">
        <f>VLOOKUP(A95,[4]CFR20152016_BenchMarkDataReport!$B$3:$BO$99,41,0)</f>
        <v>4974.0200000000004</v>
      </c>
      <c r="AB95" s="595">
        <f>VLOOKUP(A95,[4]CFR20152016_BenchMarkDataReport!$B$3:$BO$99,42,0)</f>
        <v>27201.16</v>
      </c>
      <c r="AC95" s="595">
        <f>VLOOKUP(A95,[4]CFR20152016_BenchMarkDataReport!$B$3:$BO$99,43,0)</f>
        <v>11402.66</v>
      </c>
      <c r="AD95" s="595">
        <f>VLOOKUP(A95,[4]CFR20152016_BenchMarkDataReport!$B$3:$BO$99,44,0)</f>
        <v>135</v>
      </c>
      <c r="AE95" s="595">
        <f>VLOOKUP(A95,[4]CFR20152016_BenchMarkDataReport!$B$3:$BO$99,45,0)</f>
        <v>5252.61</v>
      </c>
      <c r="AF95" s="595">
        <f>VLOOKUP(A95,[4]CFR20152016_BenchMarkDataReport!$B$3:$BO$99,46,0)</f>
        <v>54425.59</v>
      </c>
      <c r="AG95" s="595">
        <f>VLOOKUP(A95,[4]CFR20152016_BenchMarkDataReport!$B$3:$BO$99,47,0)</f>
        <v>11782.48</v>
      </c>
      <c r="AH95" s="595">
        <f>VLOOKUP(A95,[4]CFR20152016_BenchMarkDataReport!$B$3:$BO$99,48,0)</f>
        <v>12524.12</v>
      </c>
      <c r="AI95" s="595">
        <f>VLOOKUP(A95,[4]CFR20152016_BenchMarkDataReport!$B$3:$BO$99,49,0)</f>
        <v>5533.53</v>
      </c>
      <c r="AJ95" s="595">
        <f>VLOOKUP(A95,[4]CFR20152016_BenchMarkDataReport!$B$3:$BO$99,50,0)</f>
        <v>56584.12</v>
      </c>
      <c r="AK95" s="595">
        <f>VLOOKUP(A95,[4]CFR20152016_BenchMarkDataReport!$B$3:$BO$99,51,0)</f>
        <v>0</v>
      </c>
      <c r="AL95" s="595">
        <f>VLOOKUP(A95,[4]CFR20152016_BenchMarkDataReport!$B$3:$BO$99,52,0)</f>
        <v>42733</v>
      </c>
      <c r="AM95" s="595">
        <f>VLOOKUP(A95,[4]CFR20152016_BenchMarkDataReport!$B$3:$BO$99,53,0)</f>
        <v>141072.37</v>
      </c>
      <c r="AN95" s="595">
        <f>VLOOKUP(A95,[4]CFR20152016_BenchMarkDataReport!$B$3:$BO$99,54,0)</f>
        <v>41343.300000000003</v>
      </c>
      <c r="AO95" s="595">
        <f>VLOOKUP(A95,[4]CFR20152016_BenchMarkDataReport!$B$3:$BO$99,55,0)</f>
        <v>101596.2</v>
      </c>
      <c r="AP95" s="595">
        <f>VLOOKUP(A95,[4]CFR20152016_BenchMarkDataReport!$B$3:$BO$99,56,0)</f>
        <v>20219.650000000001</v>
      </c>
      <c r="AQ95" s="595">
        <f>VLOOKUP(A95,[4]CFR20152016_BenchMarkDataReport!$B$3:$BO$99,57,0)</f>
        <v>31681.71</v>
      </c>
      <c r="AR95" s="595">
        <f>VLOOKUP(A95,[4]CFR20152016_BenchMarkDataReport!$B$3:$BO$99,58,0)</f>
        <v>2479.0300000000002</v>
      </c>
      <c r="AS95" s="595">
        <f>VLOOKUP(A95,[4]CFR20152016_BenchMarkDataReport!$B$3:$BO$99,59,0)</f>
        <v>45995.16</v>
      </c>
      <c r="AT95" s="595">
        <f>VLOOKUP(A95,[4]CFR20152016_BenchMarkDataReport!$B$3:$BO$99,60,0)</f>
        <v>31874.6</v>
      </c>
      <c r="AU95" s="595">
        <f>VLOOKUP(A95,[4]CFR20152016_BenchMarkDataReport!$B$3:$BO$99,61,0)</f>
        <v>51009.94</v>
      </c>
      <c r="AV95" s="595">
        <f>VLOOKUP(A95,[4]CFR20152016_BenchMarkDataReport!$B$3:$BO$99,62,0)</f>
        <v>130725.13</v>
      </c>
      <c r="AW95" s="595">
        <f>VLOOKUP(A95,[4]CFR20152016_BenchMarkDataReport!$B$3:$BO$99,63,0)</f>
        <v>0</v>
      </c>
      <c r="AX95" s="595">
        <f>VLOOKUP(A95,[4]CFR20152016_BenchMarkDataReport!$B$3:$BO$99,64,0)</f>
        <v>0</v>
      </c>
      <c r="AY95" s="595">
        <f>VLOOKUP(A95,[4]CFR20152016_BenchMarkDataReport!$B$3:$BO$99,65,0)</f>
        <v>0</v>
      </c>
      <c r="AZ95" s="595">
        <f>VLOOKUP(A95,[4]CFR20152016_BenchMarkDataReport!$B$3:$BO$99,66,0)</f>
        <v>0</v>
      </c>
      <c r="BA95" s="596">
        <f t="shared" si="172"/>
        <v>4450957.2799999993</v>
      </c>
      <c r="BB95" s="595">
        <f t="shared" si="173"/>
        <v>4487249.28</v>
      </c>
      <c r="BC95" s="600">
        <f t="shared" si="174"/>
        <v>-36292.000000000931</v>
      </c>
      <c r="BD95" s="595">
        <f>VLOOKUP(A95,[4]CFR20152016_BenchMarkDataReport!$B$3:$BO$99,15,0)</f>
        <v>52524</v>
      </c>
      <c r="BE95" s="600">
        <f t="shared" si="175"/>
        <v>16231.999999999069</v>
      </c>
      <c r="BF95" s="76">
        <f>VLOOKUP(A95,'OCT 15 CENSUS'!$B$9:$U$132,20,0)</f>
        <v>768</v>
      </c>
      <c r="BG95" s="73">
        <f>VLOOKUP(A95,'[2]BUDGET SHARE inc ADJUSTMENTS'!$D$4:$M$139,10,0)</f>
        <v>3971794.2972807018</v>
      </c>
      <c r="BH95" s="76">
        <f>VLOOKUP(A95,'12-13 Pupil Data'!A:CI,81,0)</f>
        <v>6864</v>
      </c>
      <c r="BI95" t="s">
        <v>212</v>
      </c>
      <c r="BJ95" s="44">
        <f t="shared" si="176"/>
        <v>0.577928934873983</v>
      </c>
      <c r="BK95" s="45">
        <f t="shared" si="177"/>
        <v>3349.3971354166665</v>
      </c>
      <c r="BL95" s="44">
        <f t="shared" si="178"/>
        <v>0.29943288963672104</v>
      </c>
      <c r="BM95" s="45">
        <f t="shared" si="179"/>
        <v>1735.3684895833333</v>
      </c>
      <c r="BN95" s="44">
        <f t="shared" si="180"/>
        <v>0</v>
      </c>
      <c r="BO95" s="45">
        <f t="shared" si="181"/>
        <v>0</v>
      </c>
      <c r="BP95" s="44">
        <f t="shared" si="182"/>
        <v>0</v>
      </c>
      <c r="BQ95" s="45">
        <f t="shared" si="183"/>
        <v>0</v>
      </c>
      <c r="BR95" s="44">
        <f t="shared" si="184"/>
        <v>9.9821223177410517E-3</v>
      </c>
      <c r="BS95" s="45">
        <f t="shared" si="185"/>
        <v>57.8515625</v>
      </c>
      <c r="BT95" s="44">
        <f t="shared" si="186"/>
        <v>6.6951889504542723E-4</v>
      </c>
      <c r="BU95" s="45">
        <f t="shared" si="187"/>
        <v>3.8802083333333335</v>
      </c>
      <c r="BV95" s="44">
        <f t="shared" si="188"/>
        <v>1.8766052951197953E-3</v>
      </c>
      <c r="BW95" s="45">
        <f t="shared" si="189"/>
        <v>10.8758984375</v>
      </c>
      <c r="BX95" s="44">
        <f t="shared" si="190"/>
        <v>9.5049126151127671E-3</v>
      </c>
      <c r="BY95" s="45">
        <f t="shared" si="191"/>
        <v>55.085885416666663</v>
      </c>
      <c r="BZ95" s="46">
        <f t="shared" si="192"/>
        <v>5.4356576525039137E-3</v>
      </c>
      <c r="CA95" s="47">
        <f t="shared" si="193"/>
        <v>31.502447916666668</v>
      </c>
      <c r="CB95" s="44">
        <f t="shared" si="194"/>
        <v>6.0463748149027399E-2</v>
      </c>
      <c r="CC95" s="48">
        <f t="shared" si="195"/>
        <v>350.41869791666664</v>
      </c>
      <c r="CD95" s="46">
        <f t="shared" si="196"/>
        <v>0.72849042609809445</v>
      </c>
      <c r="CE95" s="49">
        <f t="shared" si="197"/>
        <v>0.65006557870175752</v>
      </c>
      <c r="CF95" s="49">
        <f t="shared" si="198"/>
        <v>0.64480797465301498</v>
      </c>
      <c r="CG95" s="47">
        <f t="shared" si="199"/>
        <v>3767.4663020833336</v>
      </c>
      <c r="CH95" s="44">
        <f t="shared" si="200"/>
        <v>3.6690535584829383E-2</v>
      </c>
      <c r="CI95" s="50">
        <f t="shared" si="201"/>
        <v>3.2740655735972381E-2</v>
      </c>
      <c r="CJ95" s="50">
        <f t="shared" si="202"/>
        <v>3.2475855676108105E-2</v>
      </c>
      <c r="CK95" s="45">
        <f t="shared" si="203"/>
        <v>189.74903645833334</v>
      </c>
      <c r="CL95" s="46">
        <f t="shared" si="204"/>
        <v>3.0864856239894083E-2</v>
      </c>
      <c r="CM95" s="49">
        <f t="shared" si="205"/>
        <v>2.7542133587945831E-2</v>
      </c>
      <c r="CN95" s="49">
        <f t="shared" si="206"/>
        <v>2.7319378164789632E-2</v>
      </c>
      <c r="CO95" s="47">
        <f t="shared" si="207"/>
        <v>159.62091145833332</v>
      </c>
      <c r="CP95" s="44">
        <f t="shared" si="208"/>
        <v>0.1154929952727058</v>
      </c>
      <c r="CQ95" s="50">
        <f t="shared" si="209"/>
        <v>0.10305972202006847</v>
      </c>
      <c r="CR95" s="50">
        <f t="shared" si="210"/>
        <v>0.10222619501985857</v>
      </c>
      <c r="CS95" s="45">
        <f t="shared" si="211"/>
        <v>597.28440104166668</v>
      </c>
      <c r="CT95" s="46">
        <f t="shared" si="212"/>
        <v>0.92192033270881535</v>
      </c>
      <c r="CU95" s="49">
        <f t="shared" si="213"/>
        <v>0.82267199832571758</v>
      </c>
      <c r="CV95" s="49">
        <f t="shared" si="214"/>
        <v>0.81601838710418151</v>
      </c>
      <c r="CW95" s="47">
        <f t="shared" si="215"/>
        <v>4767.8097916666666</v>
      </c>
      <c r="CX95" s="44">
        <f t="shared" si="216"/>
        <v>1.370302335074669E-2</v>
      </c>
      <c r="CY95" s="50">
        <f t="shared" si="217"/>
        <v>1.2128942834216689E-2</v>
      </c>
      <c r="CZ95" s="48">
        <f t="shared" si="218"/>
        <v>7.9291360722610715</v>
      </c>
      <c r="DA95" s="45">
        <f t="shared" si="219"/>
        <v>70.866653645833324</v>
      </c>
      <c r="DB95" s="51">
        <f t="shared" si="220"/>
        <v>1.2331675052383092E-3</v>
      </c>
      <c r="DC95" s="52">
        <f t="shared" si="221"/>
        <v>7.2051171875</v>
      </c>
      <c r="DD95" s="44">
        <f t="shared" si="222"/>
        <v>1.4246488051695037E-2</v>
      </c>
      <c r="DE95" s="50">
        <f t="shared" si="223"/>
        <v>1.2609979180831246E-2</v>
      </c>
      <c r="DF95" s="48">
        <f t="shared" si="224"/>
        <v>8.2436072261072262</v>
      </c>
      <c r="DG95" s="45">
        <f t="shared" si="225"/>
        <v>73.677239583333332</v>
      </c>
      <c r="DH95" s="46">
        <f t="shared" si="226"/>
        <v>1.0759117114714941E-2</v>
      </c>
      <c r="DI95" s="49">
        <f t="shared" si="227"/>
        <v>9.5232061633981693E-3</v>
      </c>
      <c r="DJ95" s="47">
        <f t="shared" si="228"/>
        <v>6.2256701631701628</v>
      </c>
      <c r="DK95" s="44">
        <f t="shared" si="229"/>
        <v>3.5518548907879123E-2</v>
      </c>
      <c r="DL95" s="50">
        <f t="shared" si="230"/>
        <v>3.1694838014711305E-2</v>
      </c>
      <c r="DM95" s="50">
        <f t="shared" si="231"/>
        <v>3.1438496325303322E-2</v>
      </c>
      <c r="DN95" s="45">
        <f t="shared" si="232"/>
        <v>183.68798177083332</v>
      </c>
      <c r="DO95" s="46">
        <f t="shared" si="233"/>
        <v>5.0908099681404523E-3</v>
      </c>
      <c r="DP95" s="49">
        <f t="shared" si="234"/>
        <v>4.5060233426568183E-3</v>
      </c>
      <c r="DQ95" s="47">
        <f t="shared" si="235"/>
        <v>26.327669270833336</v>
      </c>
      <c r="DR95" s="53">
        <f t="shared" si="236"/>
        <v>1.0250190513151076E-2</v>
      </c>
      <c r="DS95" s="45">
        <f t="shared" si="237"/>
        <v>59.889531250000005</v>
      </c>
      <c r="DT95" s="46">
        <f t="shared" si="238"/>
        <v>9.5674642631963058E-6</v>
      </c>
      <c r="DU95" s="49">
        <f t="shared" si="239"/>
        <v>8.537489265679945E-6</v>
      </c>
      <c r="DV95" s="49">
        <f t="shared" si="240"/>
        <v>8.4684397119118816E-6</v>
      </c>
      <c r="DW95" s="47">
        <f t="shared" si="241"/>
        <v>4.9479166666666664E-2</v>
      </c>
      <c r="DY95" s="54">
        <f>VLOOKUP(A95,'[3]Barnet Schools'!$E$8:$V$130,17,0)</f>
        <v>38</v>
      </c>
    </row>
    <row r="96" spans="1:256" s="244" customFormat="1" ht="16.5" thickBot="1">
      <c r="A96" s="239">
        <v>6999</v>
      </c>
      <c r="B96" s="240"/>
      <c r="C96" s="241" t="s">
        <v>213</v>
      </c>
      <c r="D96" s="599">
        <f t="shared" ref="D96:AZ96" si="242">AVERAGE(D89:D95)</f>
        <v>3892618.1514285714</v>
      </c>
      <c r="E96" s="599">
        <f t="shared" si="242"/>
        <v>830180.28571428568</v>
      </c>
      <c r="F96" s="599">
        <f t="shared" si="242"/>
        <v>264336.21000000002</v>
      </c>
      <c r="G96" s="599">
        <f t="shared" si="242"/>
        <v>0</v>
      </c>
      <c r="H96" s="599">
        <f t="shared" si="242"/>
        <v>168229.57428571428</v>
      </c>
      <c r="I96" s="599">
        <f t="shared" si="242"/>
        <v>78924.068571428565</v>
      </c>
      <c r="J96" s="599">
        <f t="shared" si="242"/>
        <v>5308.0328571428572</v>
      </c>
      <c r="K96" s="599">
        <f t="shared" si="242"/>
        <v>45347.964285714297</v>
      </c>
      <c r="L96" s="599">
        <f t="shared" si="242"/>
        <v>67895.352857142861</v>
      </c>
      <c r="M96" s="599">
        <f t="shared" si="242"/>
        <v>3591</v>
      </c>
      <c r="N96" s="599">
        <f t="shared" si="242"/>
        <v>940.00428571428563</v>
      </c>
      <c r="O96" s="599">
        <f t="shared" si="242"/>
        <v>169909.61428571425</v>
      </c>
      <c r="P96" s="599">
        <f t="shared" si="242"/>
        <v>172028.6157142857</v>
      </c>
      <c r="Q96" s="599">
        <f t="shared" si="242"/>
        <v>0</v>
      </c>
      <c r="R96" s="599">
        <f t="shared" si="242"/>
        <v>0</v>
      </c>
      <c r="S96" s="599">
        <f t="shared" si="242"/>
        <v>0</v>
      </c>
      <c r="T96" s="599">
        <f t="shared" si="242"/>
        <v>24715.624285714286</v>
      </c>
      <c r="U96" s="599">
        <f t="shared" si="242"/>
        <v>3097898.0985714281</v>
      </c>
      <c r="V96" s="599">
        <f t="shared" si="242"/>
        <v>14746.525714285715</v>
      </c>
      <c r="W96" s="599">
        <f t="shared" si="242"/>
        <v>624542.2228571428</v>
      </c>
      <c r="X96" s="599">
        <f t="shared" si="242"/>
        <v>108272.97714285714</v>
      </c>
      <c r="Y96" s="599">
        <f t="shared" si="242"/>
        <v>389151.16571428569</v>
      </c>
      <c r="Z96" s="599">
        <f t="shared" si="242"/>
        <v>9733.4057142857146</v>
      </c>
      <c r="AA96" s="599">
        <f t="shared" si="242"/>
        <v>29599.904285714285</v>
      </c>
      <c r="AB96" s="599">
        <f t="shared" si="242"/>
        <v>48585.354285714282</v>
      </c>
      <c r="AC96" s="599">
        <f t="shared" si="242"/>
        <v>33969.384285714288</v>
      </c>
      <c r="AD96" s="599">
        <f t="shared" si="242"/>
        <v>7933.3714285714286</v>
      </c>
      <c r="AE96" s="599">
        <f t="shared" si="242"/>
        <v>4590.5157142857151</v>
      </c>
      <c r="AF96" s="599">
        <f t="shared" si="242"/>
        <v>105587.82999999999</v>
      </c>
      <c r="AG96" s="599">
        <f t="shared" si="242"/>
        <v>15381.917142857141</v>
      </c>
      <c r="AH96" s="599">
        <f t="shared" si="242"/>
        <v>80962.197142857141</v>
      </c>
      <c r="AI96" s="599">
        <f t="shared" si="242"/>
        <v>7107.7857142857147</v>
      </c>
      <c r="AJ96" s="599">
        <f t="shared" si="242"/>
        <v>94964.189999999988</v>
      </c>
      <c r="AK96" s="599">
        <f t="shared" si="242"/>
        <v>7841.5714285714284</v>
      </c>
      <c r="AL96" s="599">
        <f t="shared" si="242"/>
        <v>50574.810000000005</v>
      </c>
      <c r="AM96" s="599">
        <f t="shared" si="242"/>
        <v>243755.87285714285</v>
      </c>
      <c r="AN96" s="599">
        <f t="shared" si="242"/>
        <v>81775.454285714295</v>
      </c>
      <c r="AO96" s="599">
        <f t="shared" si="242"/>
        <v>105123.71714285713</v>
      </c>
      <c r="AP96" s="599">
        <f t="shared" si="242"/>
        <v>71233.778571428571</v>
      </c>
      <c r="AQ96" s="599">
        <f t="shared" si="242"/>
        <v>37887.244285714289</v>
      </c>
      <c r="AR96" s="599">
        <f t="shared" si="242"/>
        <v>773.43285714285719</v>
      </c>
      <c r="AS96" s="599">
        <f t="shared" si="242"/>
        <v>89309.622857142866</v>
      </c>
      <c r="AT96" s="599">
        <f t="shared" si="242"/>
        <v>88755.54857142859</v>
      </c>
      <c r="AU96" s="599">
        <f t="shared" si="242"/>
        <v>115821.49285714285</v>
      </c>
      <c r="AV96" s="599">
        <f t="shared" si="242"/>
        <v>134975.57285714286</v>
      </c>
      <c r="AW96" s="599">
        <f t="shared" si="242"/>
        <v>0</v>
      </c>
      <c r="AX96" s="599">
        <f t="shared" si="242"/>
        <v>79966.105714285717</v>
      </c>
      <c r="AY96" s="599">
        <f t="shared" si="242"/>
        <v>0</v>
      </c>
      <c r="AZ96" s="599">
        <f t="shared" si="242"/>
        <v>0</v>
      </c>
      <c r="BA96" s="599">
        <f t="shared" ref="BA96:BH96" si="243">AVERAGE(BA89:BA95)</f>
        <v>5724024.4985714285</v>
      </c>
      <c r="BB96" s="599">
        <f t="shared" si="243"/>
        <v>5780821.0700000003</v>
      </c>
      <c r="BC96" s="599">
        <f t="shared" si="243"/>
        <v>-56796.571428571828</v>
      </c>
      <c r="BD96" s="599">
        <f t="shared" si="243"/>
        <v>253267.71428571429</v>
      </c>
      <c r="BE96" s="599">
        <f t="shared" si="243"/>
        <v>196471.14285714246</v>
      </c>
      <c r="BF96" s="243">
        <f t="shared" si="243"/>
        <v>816.85714285714289</v>
      </c>
      <c r="BG96" s="243">
        <f t="shared" si="243"/>
        <v>4993238.2359765032</v>
      </c>
      <c r="BH96" s="243">
        <f t="shared" si="243"/>
        <v>9068.8571428571431</v>
      </c>
      <c r="BI96" s="244" t="s">
        <v>212</v>
      </c>
      <c r="BJ96" s="245">
        <f t="shared" ref="BJ96:CO96" si="244">AVERAGE(BJ89:BJ95)</f>
        <v>0.69599692868099194</v>
      </c>
      <c r="BK96" s="246">
        <f t="shared" si="244"/>
        <v>5956.0323645181807</v>
      </c>
      <c r="BL96" s="245">
        <f t="shared" si="244"/>
        <v>0.1458198419852971</v>
      </c>
      <c r="BM96" s="246">
        <f t="shared" si="244"/>
        <v>1067.4937682955617</v>
      </c>
      <c r="BN96" s="245">
        <f t="shared" si="244"/>
        <v>3.6823137119607073E-2</v>
      </c>
      <c r="BO96" s="246">
        <f t="shared" si="244"/>
        <v>308.3427293979089</v>
      </c>
      <c r="BP96" s="245">
        <f t="shared" si="244"/>
        <v>0</v>
      </c>
      <c r="BQ96" s="246">
        <f t="shared" si="244"/>
        <v>0</v>
      </c>
      <c r="BR96" s="245">
        <f t="shared" si="244"/>
        <v>3.3656938003154287E-2</v>
      </c>
      <c r="BS96" s="246">
        <f t="shared" si="244"/>
        <v>310.33302085712046</v>
      </c>
      <c r="BT96" s="245">
        <f t="shared" si="244"/>
        <v>1.2117593740279512E-2</v>
      </c>
      <c r="BU96" s="246">
        <f t="shared" si="244"/>
        <v>92.150245485995029</v>
      </c>
      <c r="BV96" s="245">
        <f t="shared" si="244"/>
        <v>9.5311630866545371E-4</v>
      </c>
      <c r="BW96" s="246">
        <f t="shared" si="244"/>
        <v>6.5427426460873521</v>
      </c>
      <c r="BX96" s="245">
        <f t="shared" si="244"/>
        <v>1.2809710997373571E-2</v>
      </c>
      <c r="BY96" s="246">
        <f t="shared" si="244"/>
        <v>159.42874290060462</v>
      </c>
      <c r="BZ96" s="247">
        <f t="shared" si="244"/>
        <v>2.0335342434073606E-2</v>
      </c>
      <c r="CA96" s="248">
        <f t="shared" si="244"/>
        <v>163.09390117716381</v>
      </c>
      <c r="CB96" s="249">
        <f t="shared" si="244"/>
        <v>2.530073253226597E-2</v>
      </c>
      <c r="CC96" s="250">
        <f t="shared" si="244"/>
        <v>200.35559170937094</v>
      </c>
      <c r="CD96" s="247">
        <f t="shared" si="244"/>
        <v>0.64315849047056772</v>
      </c>
      <c r="CE96" s="251">
        <f t="shared" si="244"/>
        <v>0.57198634585752495</v>
      </c>
      <c r="CF96" s="251">
        <f t="shared" si="244"/>
        <v>0.55898944469674683</v>
      </c>
      <c r="CG96" s="248">
        <f t="shared" si="244"/>
        <v>4791.0901642813133</v>
      </c>
      <c r="CH96" s="249">
        <f t="shared" si="244"/>
        <v>0.1141480165013269</v>
      </c>
      <c r="CI96" s="249">
        <f t="shared" si="244"/>
        <v>0.10004803982635178</v>
      </c>
      <c r="CJ96" s="249">
        <f t="shared" si="244"/>
        <v>9.8544052176427185E-2</v>
      </c>
      <c r="CK96" s="252">
        <f t="shared" si="244"/>
        <v>818.45806537163423</v>
      </c>
      <c r="CL96" s="247">
        <f t="shared" si="244"/>
        <v>2.5646233920913728E-2</v>
      </c>
      <c r="CM96" s="251">
        <f t="shared" si="244"/>
        <v>2.307765015190788E-2</v>
      </c>
      <c r="CN96" s="251">
        <f t="shared" si="244"/>
        <v>2.2186550631197677E-2</v>
      </c>
      <c r="CO96" s="248">
        <f t="shared" si="244"/>
        <v>228.66073318096483</v>
      </c>
      <c r="CP96" s="249">
        <f t="shared" ref="CP96:DU96" si="245">AVERAGE(CP89:CP95)</f>
        <v>8.0457682079999454E-2</v>
      </c>
      <c r="CQ96" s="249">
        <f t="shared" si="245"/>
        <v>7.1864214059329176E-2</v>
      </c>
      <c r="CR96" s="249">
        <f t="shared" si="245"/>
        <v>7.0095691029704893E-2</v>
      </c>
      <c r="CS96" s="252">
        <f t="shared" si="245"/>
        <v>603.72803458503427</v>
      </c>
      <c r="CT96" s="247">
        <f t="shared" si="245"/>
        <v>0.85452777752081099</v>
      </c>
      <c r="CU96" s="251">
        <f t="shared" si="245"/>
        <v>0.75906147350076447</v>
      </c>
      <c r="CV96" s="251">
        <f t="shared" si="245"/>
        <v>0.74204318793950752</v>
      </c>
      <c r="CW96" s="248">
        <f t="shared" si="245"/>
        <v>6371.9476910529293</v>
      </c>
      <c r="CX96" s="249">
        <f t="shared" si="245"/>
        <v>2.4089363562366829E-2</v>
      </c>
      <c r="CY96" s="249">
        <f t="shared" si="245"/>
        <v>2.0607317219904619E-2</v>
      </c>
      <c r="CZ96" s="250">
        <f t="shared" si="245"/>
        <v>11.553331331871011</v>
      </c>
      <c r="DA96" s="252">
        <f t="shared" si="245"/>
        <v>220.08235839477439</v>
      </c>
      <c r="DB96" s="247">
        <f t="shared" si="245"/>
        <v>1.8855914504794825E-3</v>
      </c>
      <c r="DC96" s="248">
        <f t="shared" si="245"/>
        <v>24.52928411745151</v>
      </c>
      <c r="DD96" s="249">
        <f t="shared" si="245"/>
        <v>1.9172357984341182E-2</v>
      </c>
      <c r="DE96" s="249">
        <f t="shared" si="245"/>
        <v>1.6615296920824123E-2</v>
      </c>
      <c r="DF96" s="250">
        <f t="shared" si="245"/>
        <v>10.442076688734064</v>
      </c>
      <c r="DG96" s="252">
        <f t="shared" si="245"/>
        <v>148.8988700396564</v>
      </c>
      <c r="DH96" s="247">
        <f t="shared" si="245"/>
        <v>1.0163964623626325E-2</v>
      </c>
      <c r="DI96" s="251">
        <f t="shared" si="245"/>
        <v>8.5570939570084395E-3</v>
      </c>
      <c r="DJ96" s="248">
        <f t="shared" si="245"/>
        <v>5.1948360166120997</v>
      </c>
      <c r="DK96" s="249">
        <f t="shared" si="245"/>
        <v>4.4459472746255592E-2</v>
      </c>
      <c r="DL96" s="253">
        <f t="shared" si="245"/>
        <v>3.7866366018709394E-2</v>
      </c>
      <c r="DM96" s="253">
        <f t="shared" si="245"/>
        <v>3.7115674909515298E-2</v>
      </c>
      <c r="DN96" s="252">
        <f t="shared" si="245"/>
        <v>315.47317842677319</v>
      </c>
      <c r="DO96" s="247">
        <f t="shared" si="245"/>
        <v>1.3366352475588594E-2</v>
      </c>
      <c r="DP96" s="251">
        <f t="shared" si="245"/>
        <v>1.1832209886939076E-2</v>
      </c>
      <c r="DQ96" s="248">
        <f t="shared" si="245"/>
        <v>94.07733853300256</v>
      </c>
      <c r="DR96" s="254">
        <f t="shared" si="245"/>
        <v>1.4562029650805783E-2</v>
      </c>
      <c r="DS96" s="255">
        <f t="shared" si="245"/>
        <v>108.62741864163104</v>
      </c>
      <c r="DT96" s="55">
        <f t="shared" si="245"/>
        <v>3.6931663885349251E-5</v>
      </c>
      <c r="DU96" s="55">
        <f t="shared" si="245"/>
        <v>3.41239130377353E-5</v>
      </c>
      <c r="DV96" s="55">
        <f>AVERAGE(DV89:DV95)</f>
        <v>3.3128292116216807E-5</v>
      </c>
      <c r="DW96" s="56">
        <f>AVERAGE(DW89:DW95)</f>
        <v>0.31525065011270359</v>
      </c>
      <c r="DY96" s="56">
        <f>AVERAGE(DY89:DY95)</f>
        <v>170.28571428571428</v>
      </c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4" customFormat="1" ht="15.75" thickTop="1">
      <c r="A97" s="589">
        <v>7010</v>
      </c>
      <c r="B97" s="590">
        <v>10159</v>
      </c>
      <c r="C97" s="589" t="s">
        <v>129</v>
      </c>
      <c r="D97" s="595">
        <f>VLOOKUP(A97,[4]CFR20152016_BenchMarkDataReport!$B$3:$BO$99,18,0)</f>
        <v>532720</v>
      </c>
      <c r="E97" s="595">
        <f>VLOOKUP(A97,[4]CFR20152016_BenchMarkDataReport!$B$3:$BO$99,19,0)</f>
        <v>221172</v>
      </c>
      <c r="F97" s="595">
        <f>VLOOKUP(A97,[4]CFR20152016_BenchMarkDataReport!$B$3:$BO$99,20,0)</f>
        <v>1516774.73</v>
      </c>
      <c r="G97" s="595">
        <f>VLOOKUP(A97,[4]CFR20152016_BenchMarkDataReport!$B$3:$BO$99,21,0)</f>
        <v>0</v>
      </c>
      <c r="H97" s="595">
        <f>VLOOKUP(A97,[4]CFR20152016_BenchMarkDataReport!$B$3:$BO$99,22,0)</f>
        <v>23375</v>
      </c>
      <c r="I97" s="595">
        <f>VLOOKUP(A97,[4]CFR20152016_BenchMarkDataReport!$B$3:$BO$99,23,0)</f>
        <v>13209.05</v>
      </c>
      <c r="J97" s="595">
        <f>VLOOKUP(A97,[4]CFR20152016_BenchMarkDataReport!$B$3:$BO$99,24,0)</f>
        <v>10950</v>
      </c>
      <c r="K97" s="595">
        <f>VLOOKUP(A97,[4]CFR20152016_BenchMarkDataReport!$B$3:$BO$99,25,0)</f>
        <v>12731.88</v>
      </c>
      <c r="L97" s="595">
        <f>VLOOKUP(A97,[4]CFR20152016_BenchMarkDataReport!$B$3:$BO$99,26,0)</f>
        <v>13279.36</v>
      </c>
      <c r="M97" s="595">
        <f>VLOOKUP(A97,[4]CFR20152016_BenchMarkDataReport!$B$3:$BO$99,27,0)</f>
        <v>22757.1</v>
      </c>
      <c r="N97" s="595">
        <f>VLOOKUP(A97,[4]CFR20152016_BenchMarkDataReport!$B$3:$BO$99,28,0)</f>
        <v>12757.08</v>
      </c>
      <c r="O97" s="595">
        <f>VLOOKUP(A97,[4]CFR20152016_BenchMarkDataReport!$B$3:$BO$99,29,0)</f>
        <v>48.8</v>
      </c>
      <c r="P97" s="595">
        <f>VLOOKUP(A97,[4]CFR20152016_BenchMarkDataReport!$B$3:$BO$99,30,0)</f>
        <v>2475.75</v>
      </c>
      <c r="Q97" s="595">
        <f>VLOOKUP(A97,[4]CFR20152016_BenchMarkDataReport!$B$3:$BO$99,31,0)</f>
        <v>0</v>
      </c>
      <c r="R97" s="595">
        <f>VLOOKUP(A97,[4]CFR20152016_BenchMarkDataReport!$B$3:$BO$99,32,0)</f>
        <v>0</v>
      </c>
      <c r="S97" s="595">
        <f>VLOOKUP(A97,[4]CFR20152016_BenchMarkDataReport!$B$3:$BO$99,33,0)</f>
        <v>60540.5</v>
      </c>
      <c r="T97" s="595">
        <f>VLOOKUP(A97,[4]CFR20152016_BenchMarkDataReport!$B$3:$BO$99,34,0)</f>
        <v>3000</v>
      </c>
      <c r="U97" s="595">
        <f>VLOOKUP(A97,[4]CFR20152016_BenchMarkDataReport!$B$3:$BO$99,35,0)</f>
        <v>1020868.48</v>
      </c>
      <c r="V97" s="595">
        <f>VLOOKUP(A97,[4]CFR20152016_BenchMarkDataReport!$B$3:$BO$99,36,0)</f>
        <v>0</v>
      </c>
      <c r="W97" s="595">
        <f>VLOOKUP(A97,[4]CFR20152016_BenchMarkDataReport!$B$3:$BO$99,37,0)</f>
        <v>988490.77</v>
      </c>
      <c r="X97" s="595">
        <f>VLOOKUP(A97,[4]CFR20152016_BenchMarkDataReport!$B$3:$BO$99,38,0)</f>
        <v>52744.27</v>
      </c>
      <c r="Y97" s="595">
        <f>VLOOKUP(A97,[4]CFR20152016_BenchMarkDataReport!$B$3:$BO$99,39,0)</f>
        <v>38355.199999999997</v>
      </c>
      <c r="Z97" s="595">
        <f>VLOOKUP(A97,[4]CFR20152016_BenchMarkDataReport!$B$3:$BO$99,40,0)</f>
        <v>0</v>
      </c>
      <c r="AA97" s="595">
        <f>VLOOKUP(A97,[4]CFR20152016_BenchMarkDataReport!$B$3:$BO$99,41,0)</f>
        <v>83231.41</v>
      </c>
      <c r="AB97" s="595">
        <f>VLOOKUP(A97,[4]CFR20152016_BenchMarkDataReport!$B$3:$BO$99,42,0)</f>
        <v>21535.439999999999</v>
      </c>
      <c r="AC97" s="595">
        <f>VLOOKUP(A97,[4]CFR20152016_BenchMarkDataReport!$B$3:$BO$99,43,0)</f>
        <v>15599.79</v>
      </c>
      <c r="AD97" s="595">
        <f>VLOOKUP(A97,[4]CFR20152016_BenchMarkDataReport!$B$3:$BO$99,44,0)</f>
        <v>25709.75</v>
      </c>
      <c r="AE97" s="595">
        <f>VLOOKUP(A97,[4]CFR20152016_BenchMarkDataReport!$B$3:$BO$99,45,0)</f>
        <v>281.39999999999998</v>
      </c>
      <c r="AF97" s="595">
        <f>VLOOKUP(A97,[4]CFR20152016_BenchMarkDataReport!$B$3:$BO$99,46,0)</f>
        <v>27560.400000000001</v>
      </c>
      <c r="AG97" s="595">
        <f>VLOOKUP(A97,[4]CFR20152016_BenchMarkDataReport!$B$3:$BO$99,47,0)</f>
        <v>3014.96</v>
      </c>
      <c r="AH97" s="595">
        <f>VLOOKUP(A97,[4]CFR20152016_BenchMarkDataReport!$B$3:$BO$99,48,0)</f>
        <v>2384.9699999999998</v>
      </c>
      <c r="AI97" s="595">
        <f>VLOOKUP(A97,[4]CFR20152016_BenchMarkDataReport!$B$3:$BO$99,49,0)</f>
        <v>5468.9</v>
      </c>
      <c r="AJ97" s="595">
        <f>VLOOKUP(A97,[4]CFR20152016_BenchMarkDataReport!$B$3:$BO$99,50,0)</f>
        <v>21028.9</v>
      </c>
      <c r="AK97" s="595">
        <f>VLOOKUP(A97,[4]CFR20152016_BenchMarkDataReport!$B$3:$BO$99,51,0)</f>
        <v>0</v>
      </c>
      <c r="AL97" s="595">
        <f>VLOOKUP(A97,[4]CFR20152016_BenchMarkDataReport!$B$3:$BO$99,52,0)</f>
        <v>11254.18</v>
      </c>
      <c r="AM97" s="595">
        <f>VLOOKUP(A97,[4]CFR20152016_BenchMarkDataReport!$B$3:$BO$99,53,0)</f>
        <v>61413.84</v>
      </c>
      <c r="AN97" s="595">
        <f>VLOOKUP(A97,[4]CFR20152016_BenchMarkDataReport!$B$3:$BO$99,54,0)</f>
        <v>13917.42</v>
      </c>
      <c r="AO97" s="595">
        <f>VLOOKUP(A97,[4]CFR20152016_BenchMarkDataReport!$B$3:$BO$99,55,0)</f>
        <v>1053.92</v>
      </c>
      <c r="AP97" s="595">
        <f>VLOOKUP(A97,[4]CFR20152016_BenchMarkDataReport!$B$3:$BO$99,56,0)</f>
        <v>7081.05</v>
      </c>
      <c r="AQ97" s="595">
        <f>VLOOKUP(A97,[4]CFR20152016_BenchMarkDataReport!$B$3:$BO$99,57,0)</f>
        <v>8582.15</v>
      </c>
      <c r="AR97" s="595">
        <f>VLOOKUP(A97,[4]CFR20152016_BenchMarkDataReport!$B$3:$BO$99,58,0)</f>
        <v>0</v>
      </c>
      <c r="AS97" s="595">
        <f>VLOOKUP(A97,[4]CFR20152016_BenchMarkDataReport!$B$3:$BO$99,59,0)</f>
        <v>22017.54</v>
      </c>
      <c r="AT97" s="595">
        <f>VLOOKUP(A97,[4]CFR20152016_BenchMarkDataReport!$B$3:$BO$99,60,0)</f>
        <v>14519</v>
      </c>
      <c r="AU97" s="595">
        <f>VLOOKUP(A97,[4]CFR20152016_BenchMarkDataReport!$B$3:$BO$99,61,0)</f>
        <v>13097.26</v>
      </c>
      <c r="AV97" s="595">
        <f>VLOOKUP(A97,[4]CFR20152016_BenchMarkDataReport!$B$3:$BO$99,62,0)</f>
        <v>27054.9</v>
      </c>
      <c r="AW97" s="595">
        <f>VLOOKUP(A97,[4]CFR20152016_BenchMarkDataReport!$B$3:$BO$99,63,0)</f>
        <v>0</v>
      </c>
      <c r="AX97" s="595">
        <f>VLOOKUP(A97,[4]CFR20152016_BenchMarkDataReport!$B$3:$BO$99,64,0)</f>
        <v>0</v>
      </c>
      <c r="AY97" s="595">
        <f>VLOOKUP(A97,[4]CFR20152016_BenchMarkDataReport!$B$3:$BO$99,65,0)</f>
        <v>69816.34</v>
      </c>
      <c r="AZ97" s="595">
        <f>VLOOKUP(A97,[4]CFR20152016_BenchMarkDataReport!$B$3:$BO$99,66,0)</f>
        <v>24421.01</v>
      </c>
      <c r="BA97" s="598">
        <f>SUM(D97:Q97)+T97</f>
        <v>2385250.7499999995</v>
      </c>
      <c r="BB97" s="597">
        <f>SUM(U97:AX97)</f>
        <v>2486265.8999999994</v>
      </c>
      <c r="BC97" s="603">
        <f t="shared" si="100"/>
        <v>-101015.14999999991</v>
      </c>
      <c r="BD97" s="595">
        <f>VLOOKUP(A97,[4]CFR20152016_BenchMarkDataReport!$B$3:$BO$99,15,0)</f>
        <v>224835</v>
      </c>
      <c r="BE97" s="603">
        <f t="shared" si="101"/>
        <v>123819.85000000009</v>
      </c>
      <c r="BF97" s="76">
        <f>VLOOKUP(A97,'OCT 15 CENSUS'!$B$9:$U$132,20,0)</f>
        <v>71</v>
      </c>
      <c r="BG97" s="579">
        <f>VLOOKUP(A97,'[2]BUDGET SHARE inc ADJUSTMENTS'!$D$4:$M$139,10,0)</f>
        <v>2146888.58</v>
      </c>
      <c r="BH97" s="580">
        <f>VLOOKUP(A97,'12-13 Pupil Data'!A:CI,81,0)</f>
        <v>1709</v>
      </c>
      <c r="BI97" s="14" t="s">
        <v>214</v>
      </c>
      <c r="BJ97" s="53">
        <f>D97/BA97</f>
        <v>0.22333920238784125</v>
      </c>
      <c r="BK97" s="581">
        <f>D97/BF97</f>
        <v>7503.0985915492956</v>
      </c>
      <c r="BL97" s="53">
        <f>E97/BA97</f>
        <v>9.2724842451050504E-2</v>
      </c>
      <c r="BM97" s="581">
        <f>E97/BF97</f>
        <v>3115.0985915492956</v>
      </c>
      <c r="BN97" s="53">
        <f>F97/BA97</f>
        <v>0.63589739150066305</v>
      </c>
      <c r="BO97" s="581">
        <f>F97/BF97</f>
        <v>21363.024366197184</v>
      </c>
      <c r="BP97" s="53">
        <f>G97/BA97</f>
        <v>0</v>
      </c>
      <c r="BQ97" s="581">
        <f>G97/BF97</f>
        <v>0</v>
      </c>
      <c r="BR97" s="53">
        <f>H97/BA97</f>
        <v>9.79980825915263E-3</v>
      </c>
      <c r="BS97" s="581">
        <f>H97/BF97</f>
        <v>329.22535211267603</v>
      </c>
      <c r="BT97" s="53">
        <f>I97/BA97</f>
        <v>5.5378035202378623E-3</v>
      </c>
      <c r="BU97" s="581">
        <f>I97/BF97</f>
        <v>186.04295774647886</v>
      </c>
      <c r="BV97" s="53">
        <f>J97/BA97</f>
        <v>4.5907123181912852E-3</v>
      </c>
      <c r="BW97" s="581">
        <f>J97/BF97</f>
        <v>154.22535211267606</v>
      </c>
      <c r="BX97" s="53">
        <f>K97/BA97</f>
        <v>5.3377532739482432E-3</v>
      </c>
      <c r="BY97" s="581">
        <f>K97/BF97</f>
        <v>179.32225352112675</v>
      </c>
      <c r="BZ97" s="582">
        <f>O97/BA97</f>
        <v>2.0459064943172119E-5</v>
      </c>
      <c r="CA97" s="583">
        <f>O97/BF97</f>
        <v>0.6873239436619718</v>
      </c>
      <c r="CB97" s="53">
        <f>P97/BA97</f>
        <v>1.0379411892020159E-3</v>
      </c>
      <c r="CC97" s="584">
        <f>P97/BF97</f>
        <v>34.869718309859152</v>
      </c>
      <c r="CD97" s="582">
        <f>(U97+V97+AT97)/BG97</f>
        <v>0.48227350485044729</v>
      </c>
      <c r="CE97" s="585">
        <f>(U97+V97+AT97)/BA97</f>
        <v>0.43407909210383866</v>
      </c>
      <c r="CF97" s="585">
        <f>(U97+V97+AT97)/BB97</f>
        <v>0.41644277870681501</v>
      </c>
      <c r="CG97" s="583">
        <f>(U97+V97+AT97)/BF97</f>
        <v>14582.922253521127</v>
      </c>
      <c r="CH97" s="53">
        <f>W97/BG97</f>
        <v>0.46042946951629876</v>
      </c>
      <c r="CI97" s="65">
        <f>W97/BA97</f>
        <v>0.41441796842533229</v>
      </c>
      <c r="CJ97" s="65">
        <f>W97/BB97</f>
        <v>0.39758047198411089</v>
      </c>
      <c r="CK97" s="581">
        <f t="shared" ref="CK97:CL100" si="246">W97/BF97</f>
        <v>13922.405211267605</v>
      </c>
      <c r="CL97" s="582">
        <f t="shared" si="246"/>
        <v>2.456777239925511E-2</v>
      </c>
      <c r="CM97" s="585">
        <f>X97/BA97</f>
        <v>2.2112673059635348E-2</v>
      </c>
      <c r="CN97" s="585">
        <f>X97/BB97</f>
        <v>2.1214251460392877E-2</v>
      </c>
      <c r="CO97" s="583">
        <f t="shared" ref="CO97:CP100" si="247">X97/BF97</f>
        <v>742.87704225352104</v>
      </c>
      <c r="CP97" s="53">
        <f t="shared" si="247"/>
        <v>1.7865482334439544E-2</v>
      </c>
      <c r="CQ97" s="65">
        <f>Y97/BA97</f>
        <v>1.6080154256318757E-2</v>
      </c>
      <c r="CR97" s="65">
        <f>Y97/BB97</f>
        <v>1.5426829447325005E-2</v>
      </c>
      <c r="CS97" s="581">
        <f>Y97/BF97</f>
        <v>540.21408450704223</v>
      </c>
      <c r="CT97" s="582">
        <f>(U97+V97+W97+X97+Y97+Z97+AA97)/BG97</f>
        <v>1.0171418071449243</v>
      </c>
      <c r="CU97" s="585">
        <f>(U97+V97+W97+X97+Y97+Z97+AA97)/BA97</f>
        <v>0.91549709396381107</v>
      </c>
      <c r="CV97" s="585">
        <f>(U97+V97+W97+X97+Y97+Z97+AA97)/BB97</f>
        <v>0.87830112217683587</v>
      </c>
      <c r="CW97" s="583">
        <f>(U97+V97+W97+X97+Y97+Z97+AA97)/BF97</f>
        <v>30756.199014084512</v>
      </c>
      <c r="CX97" s="53">
        <f>AF97/BG97</f>
        <v>1.2837368579230134E-2</v>
      </c>
      <c r="CY97" s="65">
        <f>AF97/BB97</f>
        <v>1.1085057314263937E-2</v>
      </c>
      <c r="CZ97" s="584">
        <f>AF97/BH97</f>
        <v>16.126623756582799</v>
      </c>
      <c r="DA97" s="581">
        <f>AF97/BF97</f>
        <v>388.17464788732394</v>
      </c>
      <c r="DB97" s="586">
        <f>AI97/BB97</f>
        <v>2.1996440525528667E-3</v>
      </c>
      <c r="DC97" s="587">
        <f t="shared" ref="DC97:DD100" si="248">AI97/BF97</f>
        <v>77.026760563380279</v>
      </c>
      <c r="DD97" s="53">
        <f t="shared" si="248"/>
        <v>9.7950588567572525E-3</v>
      </c>
      <c r="DE97" s="65">
        <f>AJ97/BB97</f>
        <v>8.4580253463637997E-3</v>
      </c>
      <c r="DF97" s="584">
        <f>AJ97/BH97</f>
        <v>12.304798127559977</v>
      </c>
      <c r="DG97" s="581">
        <f>AJ97/BF97</f>
        <v>296.18169014084509</v>
      </c>
      <c r="DH97" s="582">
        <f>AL97/BG97</f>
        <v>5.2420885298108946E-3</v>
      </c>
      <c r="DI97" s="585">
        <f>AL97/BB97</f>
        <v>4.5265391766825917E-3</v>
      </c>
      <c r="DJ97" s="583">
        <f>AL97/BH97</f>
        <v>6.5852428320655356</v>
      </c>
      <c r="DK97" s="53">
        <f>AM97/BG97</f>
        <v>2.8605974512193825E-2</v>
      </c>
      <c r="DL97" s="65">
        <f>AM97/BA97</f>
        <v>2.5747330757573395E-2</v>
      </c>
      <c r="DM97" s="65">
        <f>AM97/BB97</f>
        <v>2.470123569647157E-2</v>
      </c>
      <c r="DN97" s="581">
        <f>AM97/BF97</f>
        <v>864.98366197183088</v>
      </c>
      <c r="DO97" s="582">
        <f>AP97/BG97</f>
        <v>3.298284813644125E-3</v>
      </c>
      <c r="DP97" s="585">
        <f>AP97/BB97</f>
        <v>2.8480662506773719E-3</v>
      </c>
      <c r="DQ97" s="583">
        <f>AP97/BF97</f>
        <v>99.733098591549293</v>
      </c>
      <c r="DR97" s="53">
        <f>AS97/BB97</f>
        <v>8.8556658400857306E-3</v>
      </c>
      <c r="DS97" s="581">
        <f>AS97/BF97</f>
        <v>310.10619718309863</v>
      </c>
      <c r="DT97" s="582">
        <f>DY97/BG97</f>
        <v>1.2110549304799041E-5</v>
      </c>
      <c r="DU97" s="585">
        <f>DY97/BA97</f>
        <v>1.0900321486116293E-5</v>
      </c>
      <c r="DV97" s="585">
        <f>DY97/BB97</f>
        <v>1.0457449462666084E-5</v>
      </c>
      <c r="DW97" s="583">
        <f>DY97/BF97</f>
        <v>0.36619718309859156</v>
      </c>
      <c r="DY97" s="588">
        <f>VLOOKUP(A97,'[3]Barnet Schools'!$E$8:$V$130,17,0)</f>
        <v>26</v>
      </c>
    </row>
    <row r="98" spans="1:256">
      <c r="A98" s="77">
        <v>7005</v>
      </c>
      <c r="B98" s="78">
        <v>10157</v>
      </c>
      <c r="C98" s="589" t="s">
        <v>130</v>
      </c>
      <c r="D98" s="595">
        <f>VLOOKUP(A98,[4]CFR20152016_BenchMarkDataReport!$B$3:$BO$99,18,0)</f>
        <v>968451.69</v>
      </c>
      <c r="E98" s="595">
        <f>VLOOKUP(A98,[4]CFR20152016_BenchMarkDataReport!$B$3:$BO$99,19,0)</f>
        <v>0</v>
      </c>
      <c r="F98" s="595">
        <f>VLOOKUP(A98,[4]CFR20152016_BenchMarkDataReport!$B$3:$BO$99,20,0)</f>
        <v>1038517.17</v>
      </c>
      <c r="G98" s="595">
        <f>VLOOKUP(A98,[4]CFR20152016_BenchMarkDataReport!$B$3:$BO$99,21,0)</f>
        <v>0</v>
      </c>
      <c r="H98" s="595">
        <f>VLOOKUP(A98,[4]CFR20152016_BenchMarkDataReport!$B$3:$BO$99,22,0)</f>
        <v>66000.52</v>
      </c>
      <c r="I98" s="595">
        <f>VLOOKUP(A98,[4]CFR20152016_BenchMarkDataReport!$B$3:$BO$99,23,0)</f>
        <v>23164.91</v>
      </c>
      <c r="J98" s="595">
        <f>VLOOKUP(A98,[4]CFR20152016_BenchMarkDataReport!$B$3:$BO$99,24,0)</f>
        <v>138</v>
      </c>
      <c r="K98" s="595">
        <f>VLOOKUP(A98,[4]CFR20152016_BenchMarkDataReport!$B$3:$BO$99,25,0)</f>
        <v>53964.23</v>
      </c>
      <c r="L98" s="595">
        <f>VLOOKUP(A98,[4]CFR20152016_BenchMarkDataReport!$B$3:$BO$99,26,0)</f>
        <v>9066.8799999999992</v>
      </c>
      <c r="M98" s="595">
        <f>VLOOKUP(A98,[4]CFR20152016_BenchMarkDataReport!$B$3:$BO$99,27,0)</f>
        <v>3933</v>
      </c>
      <c r="N98" s="595">
        <f>VLOOKUP(A98,[4]CFR20152016_BenchMarkDataReport!$B$3:$BO$99,28,0)</f>
        <v>11406.28</v>
      </c>
      <c r="O98" s="595">
        <f>VLOOKUP(A98,[4]CFR20152016_BenchMarkDataReport!$B$3:$BO$99,29,0)</f>
        <v>0</v>
      </c>
      <c r="P98" s="595">
        <f>VLOOKUP(A98,[4]CFR20152016_BenchMarkDataReport!$B$3:$BO$99,30,0)</f>
        <v>283.60000000000002</v>
      </c>
      <c r="Q98" s="595">
        <f>VLOOKUP(A98,[4]CFR20152016_BenchMarkDataReport!$B$3:$BO$99,31,0)</f>
        <v>0</v>
      </c>
      <c r="R98" s="595">
        <f>VLOOKUP(A98,[4]CFR20152016_BenchMarkDataReport!$B$3:$BO$99,32,0)</f>
        <v>0</v>
      </c>
      <c r="S98" s="595">
        <f>VLOOKUP(A98,[4]CFR20152016_BenchMarkDataReport!$B$3:$BO$99,33,0)</f>
        <v>0</v>
      </c>
      <c r="T98" s="595">
        <f>VLOOKUP(A98,[4]CFR20152016_BenchMarkDataReport!$B$3:$BO$99,34,0)</f>
        <v>14813.58</v>
      </c>
      <c r="U98" s="595">
        <f>VLOOKUP(A98,[4]CFR20152016_BenchMarkDataReport!$B$3:$BO$99,35,0)</f>
        <v>821131.15</v>
      </c>
      <c r="V98" s="595">
        <f>VLOOKUP(A98,[4]CFR20152016_BenchMarkDataReport!$B$3:$BO$99,36,0)</f>
        <v>0</v>
      </c>
      <c r="W98" s="595">
        <f>VLOOKUP(A98,[4]CFR20152016_BenchMarkDataReport!$B$3:$BO$99,37,0)</f>
        <v>750180.74</v>
      </c>
      <c r="X98" s="595">
        <f>VLOOKUP(A98,[4]CFR20152016_BenchMarkDataReport!$B$3:$BO$99,38,0)</f>
        <v>27729.82</v>
      </c>
      <c r="Y98" s="595">
        <f>VLOOKUP(A98,[4]CFR20152016_BenchMarkDataReport!$B$3:$BO$99,39,0)</f>
        <v>57208.23</v>
      </c>
      <c r="Z98" s="595">
        <f>VLOOKUP(A98,[4]CFR20152016_BenchMarkDataReport!$B$3:$BO$99,40,0)</f>
        <v>0</v>
      </c>
      <c r="AA98" s="595">
        <f>VLOOKUP(A98,[4]CFR20152016_BenchMarkDataReport!$B$3:$BO$99,41,0)</f>
        <v>4083.43</v>
      </c>
      <c r="AB98" s="595">
        <f>VLOOKUP(A98,[4]CFR20152016_BenchMarkDataReport!$B$3:$BO$99,42,0)</f>
        <v>15189.66</v>
      </c>
      <c r="AC98" s="595">
        <f>VLOOKUP(A98,[4]CFR20152016_BenchMarkDataReport!$B$3:$BO$99,43,0)</f>
        <v>19519.88</v>
      </c>
      <c r="AD98" s="595">
        <f>VLOOKUP(A98,[4]CFR20152016_BenchMarkDataReport!$B$3:$BO$99,44,0)</f>
        <v>20054.810000000001</v>
      </c>
      <c r="AE98" s="595">
        <f>VLOOKUP(A98,[4]CFR20152016_BenchMarkDataReport!$B$3:$BO$99,45,0)</f>
        <v>0</v>
      </c>
      <c r="AF98" s="595">
        <f>VLOOKUP(A98,[4]CFR20152016_BenchMarkDataReport!$B$3:$BO$99,46,0)</f>
        <v>59661.47</v>
      </c>
      <c r="AG98" s="595">
        <f>VLOOKUP(A98,[4]CFR20152016_BenchMarkDataReport!$B$3:$BO$99,47,0)</f>
        <v>2491.9899999999998</v>
      </c>
      <c r="AH98" s="595">
        <f>VLOOKUP(A98,[4]CFR20152016_BenchMarkDataReport!$B$3:$BO$99,48,0)</f>
        <v>18478.71</v>
      </c>
      <c r="AI98" s="595">
        <f>VLOOKUP(A98,[4]CFR20152016_BenchMarkDataReport!$B$3:$BO$99,49,0)</f>
        <v>4643.74</v>
      </c>
      <c r="AJ98" s="595">
        <f>VLOOKUP(A98,[4]CFR20152016_BenchMarkDataReport!$B$3:$BO$99,50,0)</f>
        <v>48007.08</v>
      </c>
      <c r="AK98" s="595">
        <f>VLOOKUP(A98,[4]CFR20152016_BenchMarkDataReport!$B$3:$BO$99,51,0)</f>
        <v>0</v>
      </c>
      <c r="AL98" s="595">
        <f>VLOOKUP(A98,[4]CFR20152016_BenchMarkDataReport!$B$3:$BO$99,52,0)</f>
        <v>5851.72</v>
      </c>
      <c r="AM98" s="595">
        <f>VLOOKUP(A98,[4]CFR20152016_BenchMarkDataReport!$B$3:$BO$99,53,0)</f>
        <v>30827.64</v>
      </c>
      <c r="AN98" s="595">
        <f>VLOOKUP(A98,[4]CFR20152016_BenchMarkDataReport!$B$3:$BO$99,54,0)</f>
        <v>10562.98</v>
      </c>
      <c r="AO98" s="595">
        <f>VLOOKUP(A98,[4]CFR20152016_BenchMarkDataReport!$B$3:$BO$99,55,0)</f>
        <v>0</v>
      </c>
      <c r="AP98" s="595">
        <f>VLOOKUP(A98,[4]CFR20152016_BenchMarkDataReport!$B$3:$BO$99,56,0)</f>
        <v>7856.8</v>
      </c>
      <c r="AQ98" s="595">
        <f>VLOOKUP(A98,[4]CFR20152016_BenchMarkDataReport!$B$3:$BO$99,57,0)</f>
        <v>12402.93</v>
      </c>
      <c r="AR98" s="595">
        <f>VLOOKUP(A98,[4]CFR20152016_BenchMarkDataReport!$B$3:$BO$99,58,0)</f>
        <v>0</v>
      </c>
      <c r="AS98" s="595">
        <f>VLOOKUP(A98,[4]CFR20152016_BenchMarkDataReport!$B$3:$BO$99,59,0)</f>
        <v>29042.959999999999</v>
      </c>
      <c r="AT98" s="595">
        <f>VLOOKUP(A98,[4]CFR20152016_BenchMarkDataReport!$B$3:$BO$99,60,0)</f>
        <v>0</v>
      </c>
      <c r="AU98" s="595">
        <f>VLOOKUP(A98,[4]CFR20152016_BenchMarkDataReport!$B$3:$BO$99,61,0)</f>
        <v>181755.2</v>
      </c>
      <c r="AV98" s="595">
        <f>VLOOKUP(A98,[4]CFR20152016_BenchMarkDataReport!$B$3:$BO$99,62,0)</f>
        <v>42964.92</v>
      </c>
      <c r="AW98" s="595">
        <f>VLOOKUP(A98,[4]CFR20152016_BenchMarkDataReport!$B$3:$BO$99,63,0)</f>
        <v>0</v>
      </c>
      <c r="AX98" s="595">
        <f>VLOOKUP(A98,[4]CFR20152016_BenchMarkDataReport!$B$3:$BO$99,64,0)</f>
        <v>0</v>
      </c>
      <c r="AY98" s="595">
        <f>VLOOKUP(A98,[4]CFR20152016_BenchMarkDataReport!$B$3:$BO$99,65,0)</f>
        <v>0</v>
      </c>
      <c r="AZ98" s="595">
        <f>VLOOKUP(A98,[4]CFR20152016_BenchMarkDataReport!$B$3:$BO$99,66,0)</f>
        <v>0</v>
      </c>
      <c r="BA98" s="596">
        <f>SUM(D98:Q98)+T98</f>
        <v>2189739.86</v>
      </c>
      <c r="BB98" s="595">
        <f>SUM(U98:AX98)</f>
        <v>2169645.86</v>
      </c>
      <c r="BC98" s="600">
        <f t="shared" si="100"/>
        <v>20094</v>
      </c>
      <c r="BD98" s="595">
        <f>VLOOKUP(A98,[4]CFR20152016_BenchMarkDataReport!$B$3:$BO$99,15,0)</f>
        <v>87672</v>
      </c>
      <c r="BE98" s="600">
        <f t="shared" si="101"/>
        <v>107766</v>
      </c>
      <c r="BF98" s="76">
        <f>VLOOKUP(A98,'OCT 15 CENSUS'!$B$9:$U$132,20,0)</f>
        <v>98</v>
      </c>
      <c r="BG98" s="73">
        <f>VLOOKUP(A98,'[2]BUDGET SHARE inc ADJUSTMENTS'!$D$4:$M$139,10,0)</f>
        <v>2026254.2566666668</v>
      </c>
      <c r="BH98" s="76">
        <f>VLOOKUP(A98,'12-13 Pupil Data'!A:CI,81,0)</f>
        <v>3460</v>
      </c>
      <c r="BI98" t="s">
        <v>214</v>
      </c>
      <c r="BJ98" s="44">
        <f>D98/BA98</f>
        <v>0.44226791852800268</v>
      </c>
      <c r="BK98" s="45">
        <f>D98/BF98</f>
        <v>9882.1601020408161</v>
      </c>
      <c r="BL98" s="44">
        <f>E98/BA98</f>
        <v>0</v>
      </c>
      <c r="BM98" s="45">
        <f>E98/BF98</f>
        <v>0</v>
      </c>
      <c r="BN98" s="44">
        <f>F98/BA98</f>
        <v>0.47426508918735222</v>
      </c>
      <c r="BO98" s="45">
        <f>F98/BF98</f>
        <v>10597.113979591837</v>
      </c>
      <c r="BP98" s="44">
        <f>G98/BA98</f>
        <v>0</v>
      </c>
      <c r="BQ98" s="45">
        <f>G98/BF98</f>
        <v>0</v>
      </c>
      <c r="BR98" s="44">
        <f>H98/BA98</f>
        <v>3.0140804031397597E-2</v>
      </c>
      <c r="BS98" s="45">
        <f>H98/BF98</f>
        <v>673.47469387755109</v>
      </c>
      <c r="BT98" s="44">
        <f>I98/BA98</f>
        <v>1.0578841086630264E-2</v>
      </c>
      <c r="BU98" s="45">
        <f>I98/BF98</f>
        <v>236.37663265306122</v>
      </c>
      <c r="BV98" s="44">
        <f>J98/BA98</f>
        <v>6.3021184626013064E-5</v>
      </c>
      <c r="BW98" s="45">
        <f>J98/BF98</f>
        <v>1.4081632653061225</v>
      </c>
      <c r="BX98" s="44">
        <f>K98/BA98</f>
        <v>2.46441282755843E-2</v>
      </c>
      <c r="BY98" s="45">
        <f>K98/BF98</f>
        <v>550.65540816326529</v>
      </c>
      <c r="BZ98" s="46">
        <f>O98/BA98</f>
        <v>0</v>
      </c>
      <c r="CA98" s="47">
        <f>O98/BF98</f>
        <v>0</v>
      </c>
      <c r="CB98" s="44">
        <f>P98/BA98</f>
        <v>1.2951310115896599E-4</v>
      </c>
      <c r="CC98" s="48">
        <f>P98/BF98</f>
        <v>2.8938775510204082</v>
      </c>
      <c r="CD98" s="46">
        <f>(U98+V98+AT98)/BG98</f>
        <v>0.40524586058159329</v>
      </c>
      <c r="CE98" s="49">
        <f>(U98+V98+AT98)/BA98</f>
        <v>0.37499027395884371</v>
      </c>
      <c r="CF98" s="49">
        <f>(U98+V98+AT98)/BB98</f>
        <v>0.37846321611214473</v>
      </c>
      <c r="CG98" s="47">
        <f>(U98+V98+AT98)/BF98</f>
        <v>8378.8892857142855</v>
      </c>
      <c r="CH98" s="44">
        <f>W98/BG98</f>
        <v>0.37023030921800554</v>
      </c>
      <c r="CI98" s="50">
        <f>W98/BA98</f>
        <v>0.34258897766970364</v>
      </c>
      <c r="CJ98" s="50">
        <f>W98/BB98</f>
        <v>0.34576183783283415</v>
      </c>
      <c r="CK98" s="45">
        <f t="shared" si="246"/>
        <v>7654.9055102040811</v>
      </c>
      <c r="CL98" s="46">
        <f t="shared" si="246"/>
        <v>1.3685261811919664E-2</v>
      </c>
      <c r="CM98" s="49">
        <f>X98/BA98</f>
        <v>1.2663522506276156E-2</v>
      </c>
      <c r="CN98" s="49">
        <f>X98/BB98</f>
        <v>1.2780804697776807E-2</v>
      </c>
      <c r="CO98" s="47">
        <f t="shared" si="247"/>
        <v>282.95734693877552</v>
      </c>
      <c r="CP98" s="44">
        <f t="shared" si="247"/>
        <v>2.8233490348892165E-2</v>
      </c>
      <c r="CQ98" s="50">
        <f>Y98/BA98</f>
        <v>2.612558278954652E-2</v>
      </c>
      <c r="CR98" s="50">
        <f>Y98/BB98</f>
        <v>2.6367542765712008E-2</v>
      </c>
      <c r="CS98" s="45">
        <f>Y98/BF98</f>
        <v>583.75744897959191</v>
      </c>
      <c r="CT98" s="46">
        <f>(U98+V98+W98+X98+Y98+Z98+AA98)/BG98</f>
        <v>0.81941018237828023</v>
      </c>
      <c r="CU98" s="49">
        <f>(U98+V98+W98+X98+Y98+Z98+AA98)/BA98</f>
        <v>0.75823315834420635</v>
      </c>
      <c r="CV98" s="49">
        <f>(U98+V98+W98+X98+Y98+Z98+AA98)/BB98</f>
        <v>0.76525547353612822</v>
      </c>
      <c r="CW98" s="47">
        <f>(U98+V98+W98+X98+Y98+Z98+AA98)/BF98</f>
        <v>16942.177244897961</v>
      </c>
      <c r="CX98" s="44">
        <f>AF98/BG98</f>
        <v>2.9444216984963866E-2</v>
      </c>
      <c r="CY98" s="50">
        <f>AF98/BB98</f>
        <v>2.749825264110153E-2</v>
      </c>
      <c r="CZ98" s="48">
        <f>AF98/BH98</f>
        <v>17.243199421965318</v>
      </c>
      <c r="DA98" s="45">
        <f>AF98/BF98</f>
        <v>608.79051020408167</v>
      </c>
      <c r="DB98" s="51">
        <f>AI98/BB98</f>
        <v>2.1403216467778758E-3</v>
      </c>
      <c r="DC98" s="52">
        <f t="shared" si="248"/>
        <v>47.385102040816321</v>
      </c>
      <c r="DD98" s="44">
        <f t="shared" si="248"/>
        <v>2.3692525181402989E-2</v>
      </c>
      <c r="DE98" s="50">
        <f>AJ98/BB98</f>
        <v>2.2126689375933456E-2</v>
      </c>
      <c r="DF98" s="48">
        <f>AJ98/BH98</f>
        <v>13.874878612716763</v>
      </c>
      <c r="DG98" s="45">
        <f>AJ98/BF98</f>
        <v>489.86816326530612</v>
      </c>
      <c r="DH98" s="46">
        <f>AL98/BG98</f>
        <v>2.8879495160822007E-3</v>
      </c>
      <c r="DI98" s="49">
        <f>AL98/BB98</f>
        <v>2.697085320643066E-3</v>
      </c>
      <c r="DJ98" s="47">
        <f>AL98/BH98</f>
        <v>1.691248554913295</v>
      </c>
      <c r="DK98" s="44">
        <f>AM98/BG98</f>
        <v>1.5214102523694964E-2</v>
      </c>
      <c r="DL98" s="50">
        <f>AM98/BA98</f>
        <v>1.4078220232059895E-2</v>
      </c>
      <c r="DM98" s="50">
        <f>AM98/BB98</f>
        <v>1.4208604532354419E-2</v>
      </c>
      <c r="DN98" s="45">
        <f>AM98/BF98</f>
        <v>314.56775510204079</v>
      </c>
      <c r="DO98" s="46">
        <f>AP98/BG98</f>
        <v>3.8774995655900548E-3</v>
      </c>
      <c r="DP98" s="49">
        <f>AP98/BB98</f>
        <v>3.6212361403533391E-3</v>
      </c>
      <c r="DQ98" s="47">
        <f>AP98/BF98</f>
        <v>80.171428571428578</v>
      </c>
      <c r="DR98" s="53">
        <f>AS98/BB98</f>
        <v>1.3386037111144028E-2</v>
      </c>
      <c r="DS98" s="45">
        <f>AS98/BF98</f>
        <v>296.35673469387757</v>
      </c>
      <c r="DT98" s="46">
        <f>DY98/BG98</f>
        <v>2.4182552529517449E-5</v>
      </c>
      <c r="DU98" s="49">
        <f>DY98/BA98</f>
        <v>2.237708729474377E-5</v>
      </c>
      <c r="DV98" s="49">
        <f>DY98/BB98</f>
        <v>2.2584330882460238E-5</v>
      </c>
      <c r="DW98" s="47">
        <f>DY98/BF98</f>
        <v>0.5</v>
      </c>
      <c r="DY98" s="54">
        <f>VLOOKUP(A98,'[3]Barnet Schools'!$E$8:$V$130,17,0)</f>
        <v>49</v>
      </c>
    </row>
    <row r="99" spans="1:256">
      <c r="A99" s="77">
        <v>7000</v>
      </c>
      <c r="B99" s="78">
        <v>10156</v>
      </c>
      <c r="C99" s="589" t="s">
        <v>131</v>
      </c>
      <c r="D99" s="595">
        <f>VLOOKUP(A99,[4]CFR20152016_BenchMarkDataReport!$B$3:$BO$99,18,0)</f>
        <v>1150000</v>
      </c>
      <c r="E99" s="595">
        <f>VLOOKUP(A99,[4]CFR20152016_BenchMarkDataReport!$B$3:$BO$99,19,0)</f>
        <v>505328</v>
      </c>
      <c r="F99" s="595">
        <f>VLOOKUP(A99,[4]CFR20152016_BenchMarkDataReport!$B$3:$BO$99,20,0)</f>
        <v>1722727.83</v>
      </c>
      <c r="G99" s="595">
        <f>VLOOKUP(A99,[4]CFR20152016_BenchMarkDataReport!$B$3:$BO$99,21,0)</f>
        <v>0</v>
      </c>
      <c r="H99" s="595">
        <f>VLOOKUP(A99,[4]CFR20152016_BenchMarkDataReport!$B$3:$BO$99,22,0)</f>
        <v>52390</v>
      </c>
      <c r="I99" s="595">
        <f>VLOOKUP(A99,[4]CFR20152016_BenchMarkDataReport!$B$3:$BO$99,23,0)</f>
        <v>32661.72</v>
      </c>
      <c r="J99" s="595">
        <f>VLOOKUP(A99,[4]CFR20152016_BenchMarkDataReport!$B$3:$BO$99,24,0)</f>
        <v>338422</v>
      </c>
      <c r="K99" s="595">
        <f>VLOOKUP(A99,[4]CFR20152016_BenchMarkDataReport!$B$3:$BO$99,25,0)</f>
        <v>65686.37</v>
      </c>
      <c r="L99" s="595">
        <f>VLOOKUP(A99,[4]CFR20152016_BenchMarkDataReport!$B$3:$BO$99,26,0)</f>
        <v>23208.799999999999</v>
      </c>
      <c r="M99" s="595">
        <f>VLOOKUP(A99,[4]CFR20152016_BenchMarkDataReport!$B$3:$BO$99,27,0)</f>
        <v>0</v>
      </c>
      <c r="N99" s="595">
        <f>VLOOKUP(A99,[4]CFR20152016_BenchMarkDataReport!$B$3:$BO$99,28,0)</f>
        <v>706.17</v>
      </c>
      <c r="O99" s="595">
        <f>VLOOKUP(A99,[4]CFR20152016_BenchMarkDataReport!$B$3:$BO$99,29,0)</f>
        <v>18290.349999999999</v>
      </c>
      <c r="P99" s="595">
        <f>VLOOKUP(A99,[4]CFR20152016_BenchMarkDataReport!$B$3:$BO$99,30,0)</f>
        <v>49736.42</v>
      </c>
      <c r="Q99" s="595">
        <f>VLOOKUP(A99,[4]CFR20152016_BenchMarkDataReport!$B$3:$BO$99,31,0)</f>
        <v>0</v>
      </c>
      <c r="R99" s="595">
        <f>VLOOKUP(A99,[4]CFR20152016_BenchMarkDataReport!$B$3:$BO$99,32,0)</f>
        <v>0</v>
      </c>
      <c r="S99" s="595">
        <f>VLOOKUP(A99,[4]CFR20152016_BenchMarkDataReport!$B$3:$BO$99,33,0)</f>
        <v>0</v>
      </c>
      <c r="T99" s="595">
        <f>VLOOKUP(A99,[4]CFR20152016_BenchMarkDataReport!$B$3:$BO$99,34,0)</f>
        <v>10000</v>
      </c>
      <c r="U99" s="595">
        <f>VLOOKUP(A99,[4]CFR20152016_BenchMarkDataReport!$B$3:$BO$99,35,0)</f>
        <v>1877392.81</v>
      </c>
      <c r="V99" s="595">
        <f>VLOOKUP(A99,[4]CFR20152016_BenchMarkDataReport!$B$3:$BO$99,36,0)</f>
        <v>0</v>
      </c>
      <c r="W99" s="595">
        <f>VLOOKUP(A99,[4]CFR20152016_BenchMarkDataReport!$B$3:$BO$99,37,0)</f>
        <v>789759.85</v>
      </c>
      <c r="X99" s="595">
        <f>VLOOKUP(A99,[4]CFR20152016_BenchMarkDataReport!$B$3:$BO$99,38,0)</f>
        <v>71727.83</v>
      </c>
      <c r="Y99" s="595">
        <f>VLOOKUP(A99,[4]CFR20152016_BenchMarkDataReport!$B$3:$BO$99,39,0)</f>
        <v>153970.15</v>
      </c>
      <c r="Z99" s="595">
        <f>VLOOKUP(A99,[4]CFR20152016_BenchMarkDataReport!$B$3:$BO$99,40,0)</f>
        <v>7876.01</v>
      </c>
      <c r="AA99" s="595">
        <f>VLOOKUP(A99,[4]CFR20152016_BenchMarkDataReport!$B$3:$BO$99,41,0)</f>
        <v>94500.11</v>
      </c>
      <c r="AB99" s="595">
        <f>VLOOKUP(A99,[4]CFR20152016_BenchMarkDataReport!$B$3:$BO$99,42,0)</f>
        <v>27767.07</v>
      </c>
      <c r="AC99" s="595">
        <f>VLOOKUP(A99,[4]CFR20152016_BenchMarkDataReport!$B$3:$BO$99,43,0)</f>
        <v>26914.400000000001</v>
      </c>
      <c r="AD99" s="595">
        <f>VLOOKUP(A99,[4]CFR20152016_BenchMarkDataReport!$B$3:$BO$99,44,0)</f>
        <v>0</v>
      </c>
      <c r="AE99" s="595">
        <f>VLOOKUP(A99,[4]CFR20152016_BenchMarkDataReport!$B$3:$BO$99,45,0)</f>
        <v>1041.05</v>
      </c>
      <c r="AF99" s="595">
        <f>VLOOKUP(A99,[4]CFR20152016_BenchMarkDataReport!$B$3:$BO$99,46,0)</f>
        <v>28907.68</v>
      </c>
      <c r="AG99" s="595">
        <f>VLOOKUP(A99,[4]CFR20152016_BenchMarkDataReport!$B$3:$BO$99,47,0)</f>
        <v>3970.83</v>
      </c>
      <c r="AH99" s="595">
        <f>VLOOKUP(A99,[4]CFR20152016_BenchMarkDataReport!$B$3:$BO$99,48,0)</f>
        <v>25728.27</v>
      </c>
      <c r="AI99" s="595">
        <f>VLOOKUP(A99,[4]CFR20152016_BenchMarkDataReport!$B$3:$BO$99,49,0)</f>
        <v>7294.46</v>
      </c>
      <c r="AJ99" s="595">
        <f>VLOOKUP(A99,[4]CFR20152016_BenchMarkDataReport!$B$3:$BO$99,50,0)</f>
        <v>28315.1</v>
      </c>
      <c r="AK99" s="595">
        <f>VLOOKUP(A99,[4]CFR20152016_BenchMarkDataReport!$B$3:$BO$99,51,0)</f>
        <v>0</v>
      </c>
      <c r="AL99" s="595">
        <f>VLOOKUP(A99,[4]CFR20152016_BenchMarkDataReport!$B$3:$BO$99,52,0)</f>
        <v>10195.959999999999</v>
      </c>
      <c r="AM99" s="595">
        <f>VLOOKUP(A99,[4]CFR20152016_BenchMarkDataReport!$B$3:$BO$99,53,0)</f>
        <v>121644.25</v>
      </c>
      <c r="AN99" s="595">
        <f>VLOOKUP(A99,[4]CFR20152016_BenchMarkDataReport!$B$3:$BO$99,54,0)</f>
        <v>22516.94</v>
      </c>
      <c r="AO99" s="595">
        <f>VLOOKUP(A99,[4]CFR20152016_BenchMarkDataReport!$B$3:$BO$99,55,0)</f>
        <v>6193.71</v>
      </c>
      <c r="AP99" s="595">
        <f>VLOOKUP(A99,[4]CFR20152016_BenchMarkDataReport!$B$3:$BO$99,56,0)</f>
        <v>17293.45</v>
      </c>
      <c r="AQ99" s="595">
        <f>VLOOKUP(A99,[4]CFR20152016_BenchMarkDataReport!$B$3:$BO$99,57,0)</f>
        <v>10900</v>
      </c>
      <c r="AR99" s="595">
        <f>VLOOKUP(A99,[4]CFR20152016_BenchMarkDataReport!$B$3:$BO$99,58,0)</f>
        <v>13625.54</v>
      </c>
      <c r="AS99" s="595">
        <f>VLOOKUP(A99,[4]CFR20152016_BenchMarkDataReport!$B$3:$BO$99,59,0)</f>
        <v>43403.42</v>
      </c>
      <c r="AT99" s="595">
        <f>VLOOKUP(A99,[4]CFR20152016_BenchMarkDataReport!$B$3:$BO$99,60,0)</f>
        <v>41337</v>
      </c>
      <c r="AU99" s="595">
        <f>VLOOKUP(A99,[4]CFR20152016_BenchMarkDataReport!$B$3:$BO$99,61,0)</f>
        <v>520548.45</v>
      </c>
      <c r="AV99" s="595">
        <f>VLOOKUP(A99,[4]CFR20152016_BenchMarkDataReport!$B$3:$BO$99,62,0)</f>
        <v>31690.32</v>
      </c>
      <c r="AW99" s="595">
        <f>VLOOKUP(A99,[4]CFR20152016_BenchMarkDataReport!$B$3:$BO$99,63,0)</f>
        <v>0</v>
      </c>
      <c r="AX99" s="595">
        <f>VLOOKUP(A99,[4]CFR20152016_BenchMarkDataReport!$B$3:$BO$99,64,0)</f>
        <v>0</v>
      </c>
      <c r="AY99" s="595">
        <f>VLOOKUP(A99,[4]CFR20152016_BenchMarkDataReport!$B$3:$BO$99,65,0)</f>
        <v>0</v>
      </c>
      <c r="AZ99" s="595">
        <f>VLOOKUP(A99,[4]CFR20152016_BenchMarkDataReport!$B$3:$BO$99,66,0)</f>
        <v>0</v>
      </c>
      <c r="BA99" s="596">
        <f>SUM(D99:Q99)+T99</f>
        <v>3969157.66</v>
      </c>
      <c r="BB99" s="595">
        <f>SUM(U99:AX99)</f>
        <v>3984514.6599999997</v>
      </c>
      <c r="BC99" s="600">
        <f t="shared" si="100"/>
        <v>-15356.999999999534</v>
      </c>
      <c r="BD99" s="595">
        <f>VLOOKUP(A99,[4]CFR20152016_BenchMarkDataReport!$B$3:$BO$99,15,0)</f>
        <v>159859</v>
      </c>
      <c r="BE99" s="600">
        <f t="shared" si="101"/>
        <v>144502.00000000047</v>
      </c>
      <c r="BF99" s="76">
        <f>VLOOKUP(A99,'OCT 15 CENSUS'!$B$9:$U$132,20,0)</f>
        <v>165</v>
      </c>
      <c r="BG99" s="73">
        <f>VLOOKUP(A99,'[2]BUDGET SHARE inc ADJUSTMENTS'!$D$4:$M$139,10,0)</f>
        <v>3402425.1766666672</v>
      </c>
      <c r="BH99" s="76">
        <f>VLOOKUP(A99,'12-13 Pupil Data'!A:CI,81,0)</f>
        <v>2701</v>
      </c>
      <c r="BI99" t="s">
        <v>214</v>
      </c>
      <c r="BJ99" s="44">
        <f>D99/BA99</f>
        <v>0.28973401877918853</v>
      </c>
      <c r="BK99" s="45">
        <f>D99/BF99</f>
        <v>6969.69696969697</v>
      </c>
      <c r="BL99" s="44">
        <f>E99/BA99</f>
        <v>0.12731366281882589</v>
      </c>
      <c r="BM99" s="45">
        <f>E99/BF99</f>
        <v>3062.5939393939393</v>
      </c>
      <c r="BN99" s="44">
        <f>F99/BA99</f>
        <v>0.43402857169447889</v>
      </c>
      <c r="BO99" s="45">
        <f>F99/BF99</f>
        <v>10440.774727272728</v>
      </c>
      <c r="BP99" s="44">
        <f>G99/BA99</f>
        <v>0</v>
      </c>
      <c r="BQ99" s="45">
        <f>G99/BF99</f>
        <v>0</v>
      </c>
      <c r="BR99" s="44">
        <f>H99/BA99</f>
        <v>1.3199274125079727E-2</v>
      </c>
      <c r="BS99" s="45">
        <f>H99/BF99</f>
        <v>317.5151515151515</v>
      </c>
      <c r="BT99" s="44">
        <f>I99/BA99</f>
        <v>8.2288794746439974E-3</v>
      </c>
      <c r="BU99" s="45">
        <f>I99/BF99</f>
        <v>197.94981818181819</v>
      </c>
      <c r="BV99" s="44">
        <f>J99/BA99</f>
        <v>8.5262927046339601E-2</v>
      </c>
      <c r="BW99" s="45">
        <f>J99/BF99</f>
        <v>2051.0424242424242</v>
      </c>
      <c r="BX99" s="44">
        <f>K99/BA99</f>
        <v>1.6549196486188456E-2</v>
      </c>
      <c r="BY99" s="45">
        <f>K99/BF99</f>
        <v>398.09921212121208</v>
      </c>
      <c r="BZ99" s="46">
        <f>O99/BA99</f>
        <v>4.6081187916329827E-3</v>
      </c>
      <c r="CA99" s="47">
        <f>O99/BF99</f>
        <v>110.85060606060605</v>
      </c>
      <c r="CB99" s="44">
        <f>P99/BA99</f>
        <v>1.2530724214164875E-2</v>
      </c>
      <c r="CC99" s="48">
        <f>P99/BF99</f>
        <v>301.43284848484848</v>
      </c>
      <c r="CD99" s="46">
        <f>(U99+V99+AT99)/BG99</f>
        <v>0.56393005293940557</v>
      </c>
      <c r="CE99" s="49">
        <f>(U99+V99+AT99)/BA99</f>
        <v>0.48340982504585117</v>
      </c>
      <c r="CF99" s="49">
        <f>(U99+V99+AT99)/BB99</f>
        <v>0.48154668102036802</v>
      </c>
      <c r="CG99" s="47">
        <f>(U99+V99+AT99)/BF99</f>
        <v>11628.665515151515</v>
      </c>
      <c r="CH99" s="44">
        <f>W99/BG99</f>
        <v>0.2321167429091629</v>
      </c>
      <c r="CI99" s="50">
        <f>W99/BA99</f>
        <v>0.1989741697486514</v>
      </c>
      <c r="CJ99" s="50">
        <f>W99/BB99</f>
        <v>0.19820728931638565</v>
      </c>
      <c r="CK99" s="45">
        <f t="shared" si="246"/>
        <v>4786.4233333333332</v>
      </c>
      <c r="CL99" s="46">
        <f t="shared" si="246"/>
        <v>2.1081383506064713E-2</v>
      </c>
      <c r="CM99" s="49">
        <f>X99/BA99</f>
        <v>1.8071297777574297E-2</v>
      </c>
      <c r="CN99" s="49">
        <f>X99/BB99</f>
        <v>1.8001647909610154E-2</v>
      </c>
      <c r="CO99" s="47">
        <f t="shared" si="247"/>
        <v>434.7141212121212</v>
      </c>
      <c r="CP99" s="44">
        <f t="shared" si="247"/>
        <v>4.525305980449025E-2</v>
      </c>
      <c r="CQ99" s="50">
        <f>Y99/BA99</f>
        <v>3.8791643766551712E-2</v>
      </c>
      <c r="CR99" s="50">
        <f>Y99/BB99</f>
        <v>3.864213414639564E-2</v>
      </c>
      <c r="CS99" s="45">
        <f>Y99/BF99</f>
        <v>933.15242424242422</v>
      </c>
      <c r="CT99" s="46">
        <f>(U99+V99+W99+X99+Y99+Z99+AA99)/BG99</f>
        <v>0.88032112521998296</v>
      </c>
      <c r="CU99" s="49">
        <f>(U99+V99+W99+X99+Y99+Z99+AA99)/BA99</f>
        <v>0.75462529246066778</v>
      </c>
      <c r="CV99" s="49">
        <f>(U99+V99+W99+X99+Y99+Z99+AA99)/BB99</f>
        <v>0.75171683770389242</v>
      </c>
      <c r="CW99" s="47">
        <f>(U99+V99+W99+X99+Y99+Z99+AA99)/BF99</f>
        <v>18152.889454545453</v>
      </c>
      <c r="CX99" s="44">
        <f>AF99/BG99</f>
        <v>8.4961985933576529E-3</v>
      </c>
      <c r="CY99" s="50">
        <f>AF99/BB99</f>
        <v>7.2550065608241489E-3</v>
      </c>
      <c r="CZ99" s="48">
        <f>AF99/BH99</f>
        <v>10.70258422806368</v>
      </c>
      <c r="DA99" s="45">
        <f>AF99/BF99</f>
        <v>175.19806060606061</v>
      </c>
      <c r="DB99" s="51">
        <f>AI99/BB99</f>
        <v>1.8307022617404551E-3</v>
      </c>
      <c r="DC99" s="52">
        <f t="shared" si="248"/>
        <v>44.208848484848488</v>
      </c>
      <c r="DD99" s="44">
        <f t="shared" si="248"/>
        <v>8.3220345870295108E-3</v>
      </c>
      <c r="DE99" s="50">
        <f>AJ99/BB99</f>
        <v>7.1062858129878233E-3</v>
      </c>
      <c r="DF99" s="48">
        <f>AJ99/BH99</f>
        <v>10.48319141058867</v>
      </c>
      <c r="DG99" s="45">
        <f>AJ99/BF99</f>
        <v>171.60666666666665</v>
      </c>
      <c r="DH99" s="46">
        <f>AL99/BG99</f>
        <v>2.9966742751383331E-3</v>
      </c>
      <c r="DI99" s="49">
        <f>AL99/BB99</f>
        <v>2.5588963449816996E-3</v>
      </c>
      <c r="DJ99" s="47">
        <f>AL99/BH99</f>
        <v>3.7748833765272116</v>
      </c>
      <c r="DK99" s="44">
        <f>AM99/BG99</f>
        <v>3.5752218986098039E-2</v>
      </c>
      <c r="DL99" s="50">
        <f>AM99/BA99</f>
        <v>3.0647371664243743E-2</v>
      </c>
      <c r="DM99" s="50">
        <f>AM99/BB99</f>
        <v>3.052925145969974E-2</v>
      </c>
      <c r="DN99" s="45">
        <f>AM99/BF99</f>
        <v>737.2378787878788</v>
      </c>
      <c r="DO99" s="46">
        <f>AP99/BG99</f>
        <v>5.0826834102321913E-3</v>
      </c>
      <c r="DP99" s="49">
        <f>AP99/BB99</f>
        <v>4.3401647316313307E-3</v>
      </c>
      <c r="DQ99" s="47">
        <f>AP99/BF99</f>
        <v>104.80878787878788</v>
      </c>
      <c r="DR99" s="53">
        <f>AS99/BB99</f>
        <v>1.0893025551071758E-2</v>
      </c>
      <c r="DS99" s="45">
        <f>AS99/BF99</f>
        <v>263.0510303030303</v>
      </c>
      <c r="DT99" s="46">
        <f>DY99/BG99</f>
        <v>1.5871032336088997E-5</v>
      </c>
      <c r="DU99" s="49">
        <f>DY99/BA99</f>
        <v>1.3604901751370591E-5</v>
      </c>
      <c r="DV99" s="49">
        <f>DY99/BB99</f>
        <v>1.3552466136490511E-5</v>
      </c>
      <c r="DW99" s="47">
        <f>DY99/BF99</f>
        <v>0.32727272727272727</v>
      </c>
      <c r="DY99" s="54">
        <f>VLOOKUP(A99,'[3]Barnet Schools'!$E$8:$V$130,17,0)</f>
        <v>54</v>
      </c>
    </row>
    <row r="100" spans="1:256">
      <c r="A100" s="77">
        <v>7009</v>
      </c>
      <c r="B100" s="78">
        <v>10158</v>
      </c>
      <c r="C100" s="589" t="s">
        <v>132</v>
      </c>
      <c r="D100" s="595">
        <f>VLOOKUP(A100,[4]CFR20152016_BenchMarkDataReport!$B$3:$BO$99,18,0)</f>
        <v>1388232.27</v>
      </c>
      <c r="E100" s="595">
        <f>VLOOKUP(A100,[4]CFR20152016_BenchMarkDataReport!$B$3:$BO$99,19,0)</f>
        <v>0</v>
      </c>
      <c r="F100" s="595">
        <f>VLOOKUP(A100,[4]CFR20152016_BenchMarkDataReport!$B$3:$BO$99,20,0)</f>
        <v>1527672</v>
      </c>
      <c r="G100" s="595">
        <f>VLOOKUP(A100,[4]CFR20152016_BenchMarkDataReport!$B$3:$BO$99,21,0)</f>
        <v>0</v>
      </c>
      <c r="H100" s="595">
        <f>VLOOKUP(A100,[4]CFR20152016_BenchMarkDataReport!$B$3:$BO$99,22,0)</f>
        <v>42820</v>
      </c>
      <c r="I100" s="595">
        <f>VLOOKUP(A100,[4]CFR20152016_BenchMarkDataReport!$B$3:$BO$99,23,0)</f>
        <v>167626.18</v>
      </c>
      <c r="J100" s="595">
        <f>VLOOKUP(A100,[4]CFR20152016_BenchMarkDataReport!$B$3:$BO$99,24,0)</f>
        <v>600</v>
      </c>
      <c r="K100" s="595">
        <f>VLOOKUP(A100,[4]CFR20152016_BenchMarkDataReport!$B$3:$BO$99,25,0)</f>
        <v>55659.68</v>
      </c>
      <c r="L100" s="595">
        <f>VLOOKUP(A100,[4]CFR20152016_BenchMarkDataReport!$B$3:$BO$99,26,0)</f>
        <v>4083.09</v>
      </c>
      <c r="M100" s="595">
        <f>VLOOKUP(A100,[4]CFR20152016_BenchMarkDataReport!$B$3:$BO$99,27,0)</f>
        <v>24359.99</v>
      </c>
      <c r="N100" s="595">
        <f>VLOOKUP(A100,[4]CFR20152016_BenchMarkDataReport!$B$3:$BO$99,28,0)</f>
        <v>2994.04</v>
      </c>
      <c r="O100" s="595">
        <f>VLOOKUP(A100,[4]CFR20152016_BenchMarkDataReport!$B$3:$BO$99,29,0)</f>
        <v>4099.5</v>
      </c>
      <c r="P100" s="595">
        <f>VLOOKUP(A100,[4]CFR20152016_BenchMarkDataReport!$B$3:$BO$99,30,0)</f>
        <v>31367.599999999999</v>
      </c>
      <c r="Q100" s="595">
        <f>VLOOKUP(A100,[4]CFR20152016_BenchMarkDataReport!$B$3:$BO$99,31,0)</f>
        <v>42160</v>
      </c>
      <c r="R100" s="595">
        <f>VLOOKUP(A100,[4]CFR20152016_BenchMarkDataReport!$B$3:$BO$99,32,0)</f>
        <v>0</v>
      </c>
      <c r="S100" s="595">
        <f>VLOOKUP(A100,[4]CFR20152016_BenchMarkDataReport!$B$3:$BO$99,33,0)</f>
        <v>0</v>
      </c>
      <c r="T100" s="595">
        <f>VLOOKUP(A100,[4]CFR20152016_BenchMarkDataReport!$B$3:$BO$99,34,0)</f>
        <v>19951.93</v>
      </c>
      <c r="U100" s="595">
        <f>VLOOKUP(A100,[4]CFR20152016_BenchMarkDataReport!$B$3:$BO$99,35,0)</f>
        <v>1163660.55</v>
      </c>
      <c r="V100" s="595">
        <f>VLOOKUP(A100,[4]CFR20152016_BenchMarkDataReport!$B$3:$BO$99,36,0)</f>
        <v>0</v>
      </c>
      <c r="W100" s="595">
        <f>VLOOKUP(A100,[4]CFR20152016_BenchMarkDataReport!$B$3:$BO$99,37,0)</f>
        <v>1009862.99</v>
      </c>
      <c r="X100" s="595">
        <f>VLOOKUP(A100,[4]CFR20152016_BenchMarkDataReport!$B$3:$BO$99,38,0)</f>
        <v>40260.35</v>
      </c>
      <c r="Y100" s="595">
        <f>VLOOKUP(A100,[4]CFR20152016_BenchMarkDataReport!$B$3:$BO$99,39,0)</f>
        <v>68288.08</v>
      </c>
      <c r="Z100" s="595">
        <f>VLOOKUP(A100,[4]CFR20152016_BenchMarkDataReport!$B$3:$BO$99,40,0)</f>
        <v>0</v>
      </c>
      <c r="AA100" s="595">
        <f>VLOOKUP(A100,[4]CFR20152016_BenchMarkDataReport!$B$3:$BO$99,41,0)</f>
        <v>79726.070000000007</v>
      </c>
      <c r="AB100" s="595">
        <f>VLOOKUP(A100,[4]CFR20152016_BenchMarkDataReport!$B$3:$BO$99,42,0)</f>
        <v>22009.97</v>
      </c>
      <c r="AC100" s="595">
        <f>VLOOKUP(A100,[4]CFR20152016_BenchMarkDataReport!$B$3:$BO$99,43,0)</f>
        <v>20326.650000000001</v>
      </c>
      <c r="AD100" s="595">
        <f>VLOOKUP(A100,[4]CFR20152016_BenchMarkDataReport!$B$3:$BO$99,44,0)</f>
        <v>13731.23</v>
      </c>
      <c r="AE100" s="595">
        <f>VLOOKUP(A100,[4]CFR20152016_BenchMarkDataReport!$B$3:$BO$99,45,0)</f>
        <v>13819.59</v>
      </c>
      <c r="AF100" s="595">
        <f>VLOOKUP(A100,[4]CFR20152016_BenchMarkDataReport!$B$3:$BO$99,46,0)</f>
        <v>41019.46</v>
      </c>
      <c r="AG100" s="595">
        <f>VLOOKUP(A100,[4]CFR20152016_BenchMarkDataReport!$B$3:$BO$99,47,0)</f>
        <v>1068</v>
      </c>
      <c r="AH100" s="595">
        <f>VLOOKUP(A100,[4]CFR20152016_BenchMarkDataReport!$B$3:$BO$99,48,0)</f>
        <v>27959.64</v>
      </c>
      <c r="AI100" s="595">
        <f>VLOOKUP(A100,[4]CFR20152016_BenchMarkDataReport!$B$3:$BO$99,49,0)</f>
        <v>3507.89</v>
      </c>
      <c r="AJ100" s="595">
        <f>VLOOKUP(A100,[4]CFR20152016_BenchMarkDataReport!$B$3:$BO$99,50,0)</f>
        <v>25065.86</v>
      </c>
      <c r="AK100" s="595">
        <f>VLOOKUP(A100,[4]CFR20152016_BenchMarkDataReport!$B$3:$BO$99,51,0)</f>
        <v>0</v>
      </c>
      <c r="AL100" s="595">
        <f>VLOOKUP(A100,[4]CFR20152016_BenchMarkDataReport!$B$3:$BO$99,52,0)</f>
        <v>17550.84</v>
      </c>
      <c r="AM100" s="595">
        <f>VLOOKUP(A100,[4]CFR20152016_BenchMarkDataReport!$B$3:$BO$99,53,0)</f>
        <v>103544.7</v>
      </c>
      <c r="AN100" s="595">
        <f>VLOOKUP(A100,[4]CFR20152016_BenchMarkDataReport!$B$3:$BO$99,54,0)</f>
        <v>30829.74</v>
      </c>
      <c r="AO100" s="595">
        <f>VLOOKUP(A100,[4]CFR20152016_BenchMarkDataReport!$B$3:$BO$99,55,0)</f>
        <v>0</v>
      </c>
      <c r="AP100" s="595">
        <f>VLOOKUP(A100,[4]CFR20152016_BenchMarkDataReport!$B$3:$BO$99,56,0)</f>
        <v>21035.09</v>
      </c>
      <c r="AQ100" s="595">
        <f>VLOOKUP(A100,[4]CFR20152016_BenchMarkDataReport!$B$3:$BO$99,57,0)</f>
        <v>2742</v>
      </c>
      <c r="AR100" s="595">
        <f>VLOOKUP(A100,[4]CFR20152016_BenchMarkDataReport!$B$3:$BO$99,58,0)</f>
        <v>44941.48</v>
      </c>
      <c r="AS100" s="595">
        <f>VLOOKUP(A100,[4]CFR20152016_BenchMarkDataReport!$B$3:$BO$99,59,0)</f>
        <v>19565.599999999999</v>
      </c>
      <c r="AT100" s="595">
        <f>VLOOKUP(A100,[4]CFR20152016_BenchMarkDataReport!$B$3:$BO$99,60,0)</f>
        <v>34510</v>
      </c>
      <c r="AU100" s="595">
        <f>VLOOKUP(A100,[4]CFR20152016_BenchMarkDataReport!$B$3:$BO$99,61,0)</f>
        <v>347324.64</v>
      </c>
      <c r="AV100" s="595">
        <f>VLOOKUP(A100,[4]CFR20152016_BenchMarkDataReport!$B$3:$BO$99,62,0)</f>
        <v>44483.86</v>
      </c>
      <c r="AW100" s="595">
        <f>VLOOKUP(A100,[4]CFR20152016_BenchMarkDataReport!$B$3:$BO$99,63,0)</f>
        <v>0</v>
      </c>
      <c r="AX100" s="595">
        <f>VLOOKUP(A100,[4]CFR20152016_BenchMarkDataReport!$B$3:$BO$99,64,0)</f>
        <v>0</v>
      </c>
      <c r="AY100" s="595">
        <f>VLOOKUP(A100,[4]CFR20152016_BenchMarkDataReport!$B$3:$BO$99,65,0)</f>
        <v>0</v>
      </c>
      <c r="AZ100" s="595">
        <f>VLOOKUP(A100,[4]CFR20152016_BenchMarkDataReport!$B$3:$BO$99,66,0)</f>
        <v>0</v>
      </c>
      <c r="BA100" s="596">
        <f>SUM(D100:Q100)+T100</f>
        <v>3311626.2800000007</v>
      </c>
      <c r="BB100" s="595">
        <f>SUM(U100:AX100)</f>
        <v>3196834.2800000003</v>
      </c>
      <c r="BC100" s="600">
        <f t="shared" si="100"/>
        <v>114792.00000000047</v>
      </c>
      <c r="BD100" s="595">
        <f>VLOOKUP(A100,[4]CFR20152016_BenchMarkDataReport!$B$3:$BO$99,15,0)</f>
        <v>39521</v>
      </c>
      <c r="BE100" s="600">
        <f t="shared" si="101"/>
        <v>154313.00000000047</v>
      </c>
      <c r="BF100" s="76">
        <f>VLOOKUP(A100,'OCT 15 CENSUS'!$B$9:$U$132,20,0)</f>
        <v>122</v>
      </c>
      <c r="BG100" s="73">
        <f>VLOOKUP(A100,'[2]BUDGET SHARE inc ADJUSTMENTS'!$D$4:$M$139,10,0)</f>
        <v>2959721.5149999997</v>
      </c>
      <c r="BH100" s="76">
        <f>VLOOKUP(A100,'12-13 Pupil Data'!A:CI,81,0)</f>
        <v>1409</v>
      </c>
      <c r="BI100" t="s">
        <v>214</v>
      </c>
      <c r="BJ100" s="44">
        <f>D100/BA100</f>
        <v>0.41919955714326551</v>
      </c>
      <c r="BK100" s="45">
        <f>D100/BF100</f>
        <v>11378.953032786885</v>
      </c>
      <c r="BL100" s="44">
        <f>E100/BA100</f>
        <v>0</v>
      </c>
      <c r="BM100" s="45">
        <f>E100/BF100</f>
        <v>0</v>
      </c>
      <c r="BN100" s="44">
        <f>F100/BA100</f>
        <v>0.46130567607405254</v>
      </c>
      <c r="BO100" s="45">
        <f>F100/BF100</f>
        <v>12521.901639344262</v>
      </c>
      <c r="BP100" s="44">
        <f>G100/BA100</f>
        <v>0</v>
      </c>
      <c r="BQ100" s="45">
        <f>G100/BF100</f>
        <v>0</v>
      </c>
      <c r="BR100" s="44">
        <f>H100/BA100</f>
        <v>1.2930202981720507E-2</v>
      </c>
      <c r="BS100" s="45">
        <f>H100/BF100</f>
        <v>350.98360655737707</v>
      </c>
      <c r="BT100" s="44">
        <f>I100/BA100</f>
        <v>5.0617480907296085E-2</v>
      </c>
      <c r="BU100" s="45">
        <f>I100/BF100</f>
        <v>1373.9850819672131</v>
      </c>
      <c r="BV100" s="44">
        <f>J100/BA100</f>
        <v>1.8117986429314116E-4</v>
      </c>
      <c r="BW100" s="45">
        <f>J100/BF100</f>
        <v>4.918032786885246</v>
      </c>
      <c r="BX100" s="44">
        <f>K100/BA100</f>
        <v>1.680735544833277E-2</v>
      </c>
      <c r="BY100" s="45">
        <f>K100/BF100</f>
        <v>456.22688524590166</v>
      </c>
      <c r="BZ100" s="46">
        <f>O100/BA100</f>
        <v>1.237911422782887E-3</v>
      </c>
      <c r="CA100" s="47">
        <f>O100/BF100</f>
        <v>33.602459016393439</v>
      </c>
      <c r="CB100" s="44">
        <f>P100/BA100</f>
        <v>9.4719625186692243E-3</v>
      </c>
      <c r="CC100" s="48">
        <f>P100/BF100</f>
        <v>257.11147540983603</v>
      </c>
      <c r="CD100" s="46">
        <f>(U100+V100+AT100)/BG100</f>
        <v>0.40482543507138041</v>
      </c>
      <c r="CE100" s="49">
        <f>(U100+V100+AT100)/BA100</f>
        <v>0.36180729608173051</v>
      </c>
      <c r="CF100" s="49">
        <f>(U100+V100+AT100)/BB100</f>
        <v>0.37479908092076641</v>
      </c>
      <c r="CG100" s="47">
        <f>(U100+V100+AT100)/BF100</f>
        <v>9821.0700819672129</v>
      </c>
      <c r="CH100" s="44">
        <f>W100/BG100</f>
        <v>0.34120203028628526</v>
      </c>
      <c r="CI100" s="50">
        <f>W100/BA100</f>
        <v>0.30494473247144294</v>
      </c>
      <c r="CJ100" s="50">
        <f>W100/BB100</f>
        <v>0.31589469504812739</v>
      </c>
      <c r="CK100" s="45">
        <f t="shared" si="246"/>
        <v>8277.5654918032778</v>
      </c>
      <c r="CL100" s="46">
        <f t="shared" si="246"/>
        <v>1.3602749378939459E-2</v>
      </c>
      <c r="CM100" s="49">
        <f>X100/BA100</f>
        <v>1.2157274582323942E-2</v>
      </c>
      <c r="CN100" s="49">
        <f>X100/BB100</f>
        <v>1.2593818282003656E-2</v>
      </c>
      <c r="CO100" s="47">
        <f t="shared" si="247"/>
        <v>330.00286885245902</v>
      </c>
      <c r="CP100" s="44">
        <f t="shared" si="247"/>
        <v>2.3072468019005501E-2</v>
      </c>
      <c r="CQ100" s="50">
        <f>Y100/BA100</f>
        <v>2.0620708445398612E-2</v>
      </c>
      <c r="CR100" s="50">
        <f>Y100/BB100</f>
        <v>2.1361157325928071E-2</v>
      </c>
      <c r="CS100" s="45">
        <f>Y100/BF100</f>
        <v>559.73836065573767</v>
      </c>
      <c r="CT100" s="46">
        <f>(U100+V100+W100+X100+Y100+Z100+AA100)/BG100</f>
        <v>0.79797981939527185</v>
      </c>
      <c r="CU100" s="49">
        <f>(U100+V100+W100+X100+Y100+Z100+AA100)/BA100</f>
        <v>0.71318374729167799</v>
      </c>
      <c r="CV100" s="49">
        <f>(U100+V100+W100+X100+Y100+Z100+AA100)/BB100</f>
        <v>0.73879276594844312</v>
      </c>
      <c r="CW100" s="47">
        <f>(U100+V100+W100+X100+Y100+Z100+AA100)/BF100</f>
        <v>19359.000327868853</v>
      </c>
      <c r="CX100" s="44">
        <f>AF100/BG100</f>
        <v>1.3859229590389353E-2</v>
      </c>
      <c r="CY100" s="50">
        <f>AF100/BB100</f>
        <v>1.2831275070035847E-2</v>
      </c>
      <c r="CZ100" s="48">
        <f>AF100/BH100</f>
        <v>29.112462739531583</v>
      </c>
      <c r="DA100" s="45">
        <f>AF100/BF100</f>
        <v>336.2250819672131</v>
      </c>
      <c r="DB100" s="51">
        <f>AI100/BB100</f>
        <v>1.0973011713325345E-3</v>
      </c>
      <c r="DC100" s="52">
        <f t="shared" si="248"/>
        <v>28.753196721311475</v>
      </c>
      <c r="DD100" s="44">
        <f t="shared" si="248"/>
        <v>8.4689927322435955E-3</v>
      </c>
      <c r="DE100" s="50">
        <f>AJ100/BB100</f>
        <v>7.8408380931150427E-3</v>
      </c>
      <c r="DF100" s="48">
        <f>AJ100/BH100</f>
        <v>17.789822569198012</v>
      </c>
      <c r="DG100" s="45">
        <f>AJ100/BF100</f>
        <v>205.45786885245903</v>
      </c>
      <c r="DH100" s="46">
        <f>AL100/BG100</f>
        <v>5.9298957388563642E-3</v>
      </c>
      <c r="DI100" s="49">
        <f>AL100/BB100</f>
        <v>5.4900687563948416E-3</v>
      </c>
      <c r="DJ100" s="47">
        <f>AL100/BH100</f>
        <v>12.456238466997871</v>
      </c>
      <c r="DK100" s="44">
        <f>AM100/BG100</f>
        <v>3.4984609016500662E-2</v>
      </c>
      <c r="DL100" s="50">
        <f>AM100/BA100</f>
        <v>3.1267024490456687E-2</v>
      </c>
      <c r="DM100" s="50">
        <f>AM100/BB100</f>
        <v>3.2389761536215755E-2</v>
      </c>
      <c r="DN100" s="45">
        <f>AM100/BF100</f>
        <v>848.72704918032787</v>
      </c>
      <c r="DO100" s="46">
        <f>AP100/BG100</f>
        <v>7.1071179816726785E-3</v>
      </c>
      <c r="DP100" s="49">
        <f>AP100/BB100</f>
        <v>6.5799751121287395E-3</v>
      </c>
      <c r="DQ100" s="47">
        <f>AP100/BF100</f>
        <v>172.41877049180329</v>
      </c>
      <c r="DR100" s="53">
        <f>AS100/BB100</f>
        <v>6.1203047409764373E-3</v>
      </c>
      <c r="DS100" s="45">
        <f>AS100/BF100</f>
        <v>160.37377049180327</v>
      </c>
      <c r="DT100" s="46">
        <f>DY100/BG100</f>
        <v>1.0473958391994188E-5</v>
      </c>
      <c r="DU100" s="49">
        <f>DY100/BA100</f>
        <v>9.3609596551456258E-6</v>
      </c>
      <c r="DV100" s="49">
        <f>DY100/BB100</f>
        <v>9.6970932131020562E-6</v>
      </c>
      <c r="DW100" s="47">
        <f>DY100/BF100</f>
        <v>0.25409836065573771</v>
      </c>
      <c r="DY100" s="54">
        <f>VLOOKUP(A100,'[3]Barnet Schools'!$E$8:$V$130,17,0)</f>
        <v>31</v>
      </c>
    </row>
    <row r="101" spans="1:256" s="244" customFormat="1" ht="16.5" thickBot="1">
      <c r="A101" s="239">
        <v>7999</v>
      </c>
      <c r="B101" s="240"/>
      <c r="C101" s="241" t="s">
        <v>215</v>
      </c>
      <c r="D101" s="599">
        <f>AVERAGE(D97:D100)</f>
        <v>1009850.99</v>
      </c>
      <c r="E101" s="599">
        <f t="shared" ref="E101:AZ101" si="249">AVERAGE(E97:E100)</f>
        <v>181625</v>
      </c>
      <c r="F101" s="599">
        <f t="shared" si="249"/>
        <v>1451422.9325000001</v>
      </c>
      <c r="G101" s="599">
        <f t="shared" si="249"/>
        <v>0</v>
      </c>
      <c r="H101" s="599">
        <f t="shared" si="249"/>
        <v>46146.380000000005</v>
      </c>
      <c r="I101" s="599">
        <f t="shared" si="249"/>
        <v>59165.464999999997</v>
      </c>
      <c r="J101" s="599">
        <f t="shared" si="249"/>
        <v>87527.5</v>
      </c>
      <c r="K101" s="599">
        <f t="shared" si="249"/>
        <v>47010.539999999994</v>
      </c>
      <c r="L101" s="599">
        <f t="shared" si="249"/>
        <v>12409.532499999998</v>
      </c>
      <c r="M101" s="599">
        <f t="shared" si="249"/>
        <v>12762.522499999999</v>
      </c>
      <c r="N101" s="599">
        <f t="shared" si="249"/>
        <v>6965.8924999999999</v>
      </c>
      <c r="O101" s="599">
        <f t="shared" si="249"/>
        <v>5609.6624999999995</v>
      </c>
      <c r="P101" s="599">
        <f t="shared" si="249"/>
        <v>20965.842499999999</v>
      </c>
      <c r="Q101" s="599">
        <f t="shared" si="249"/>
        <v>10540</v>
      </c>
      <c r="R101" s="599">
        <f t="shared" si="249"/>
        <v>0</v>
      </c>
      <c r="S101" s="599">
        <f t="shared" si="249"/>
        <v>15135.125</v>
      </c>
      <c r="T101" s="599">
        <f t="shared" si="249"/>
        <v>11941.377500000001</v>
      </c>
      <c r="U101" s="599">
        <f t="shared" si="249"/>
        <v>1220763.2475000001</v>
      </c>
      <c r="V101" s="599">
        <f t="shared" si="249"/>
        <v>0</v>
      </c>
      <c r="W101" s="599">
        <f t="shared" si="249"/>
        <v>884573.58749999991</v>
      </c>
      <c r="X101" s="599">
        <f t="shared" si="249"/>
        <v>48115.567499999997</v>
      </c>
      <c r="Y101" s="599">
        <f t="shared" si="249"/>
        <v>79455.414999999994</v>
      </c>
      <c r="Z101" s="599">
        <f t="shared" si="249"/>
        <v>1969.0025000000001</v>
      </c>
      <c r="AA101" s="599">
        <f t="shared" si="249"/>
        <v>65385.255000000005</v>
      </c>
      <c r="AB101" s="599">
        <f t="shared" si="249"/>
        <v>21625.535</v>
      </c>
      <c r="AC101" s="599">
        <f t="shared" si="249"/>
        <v>20590.18</v>
      </c>
      <c r="AD101" s="599">
        <f t="shared" si="249"/>
        <v>14873.947499999998</v>
      </c>
      <c r="AE101" s="599">
        <f t="shared" si="249"/>
        <v>3785.51</v>
      </c>
      <c r="AF101" s="599">
        <f t="shared" si="249"/>
        <v>39287.252499999995</v>
      </c>
      <c r="AG101" s="599">
        <f t="shared" si="249"/>
        <v>2636.4449999999997</v>
      </c>
      <c r="AH101" s="599">
        <f t="shared" si="249"/>
        <v>18637.897499999999</v>
      </c>
      <c r="AI101" s="599">
        <f t="shared" si="249"/>
        <v>5228.7474999999995</v>
      </c>
      <c r="AJ101" s="599">
        <f t="shared" si="249"/>
        <v>30604.235000000004</v>
      </c>
      <c r="AK101" s="599">
        <f t="shared" si="249"/>
        <v>0</v>
      </c>
      <c r="AL101" s="599">
        <f t="shared" si="249"/>
        <v>11213.174999999999</v>
      </c>
      <c r="AM101" s="599">
        <f t="shared" si="249"/>
        <v>79357.607499999998</v>
      </c>
      <c r="AN101" s="599">
        <f t="shared" si="249"/>
        <v>19456.77</v>
      </c>
      <c r="AO101" s="599">
        <f t="shared" si="249"/>
        <v>1811.9075</v>
      </c>
      <c r="AP101" s="599">
        <f t="shared" si="249"/>
        <v>13316.5975</v>
      </c>
      <c r="AQ101" s="599">
        <f t="shared" si="249"/>
        <v>8656.77</v>
      </c>
      <c r="AR101" s="599">
        <f t="shared" si="249"/>
        <v>14641.755000000001</v>
      </c>
      <c r="AS101" s="599">
        <f t="shared" si="249"/>
        <v>28507.379999999997</v>
      </c>
      <c r="AT101" s="599">
        <f t="shared" si="249"/>
        <v>22591.5</v>
      </c>
      <c r="AU101" s="599">
        <f t="shared" si="249"/>
        <v>265681.38750000001</v>
      </c>
      <c r="AV101" s="599">
        <f t="shared" si="249"/>
        <v>36548.5</v>
      </c>
      <c r="AW101" s="599">
        <f t="shared" si="249"/>
        <v>0</v>
      </c>
      <c r="AX101" s="599">
        <f t="shared" si="249"/>
        <v>0</v>
      </c>
      <c r="AY101" s="599">
        <f t="shared" si="249"/>
        <v>17454.084999999999</v>
      </c>
      <c r="AZ101" s="599">
        <f t="shared" si="249"/>
        <v>6105.2524999999996</v>
      </c>
      <c r="BA101" s="599">
        <f t="shared" ref="BA101:BH101" si="250">AVERAGE(BA97:BA100)</f>
        <v>2963943.6375000002</v>
      </c>
      <c r="BB101" s="599">
        <f t="shared" si="250"/>
        <v>2959315.1749999998</v>
      </c>
      <c r="BC101" s="599">
        <f t="shared" si="250"/>
        <v>4628.4625000002561</v>
      </c>
      <c r="BD101" s="599">
        <f t="shared" si="250"/>
        <v>127971.75</v>
      </c>
      <c r="BE101" s="599">
        <f t="shared" si="250"/>
        <v>132600.21250000026</v>
      </c>
      <c r="BF101" s="243">
        <f t="shared" si="250"/>
        <v>114</v>
      </c>
      <c r="BG101" s="243">
        <f t="shared" si="250"/>
        <v>2633822.3820833331</v>
      </c>
      <c r="BH101" s="243">
        <f t="shared" si="250"/>
        <v>2319.75</v>
      </c>
      <c r="BI101" s="244" t="s">
        <v>214</v>
      </c>
      <c r="BJ101" s="245">
        <f t="shared" ref="BJ101:BW101" si="251">AVERAGE(BJ97:BJ100)</f>
        <v>0.34363517420957446</v>
      </c>
      <c r="BK101" s="246">
        <f t="shared" si="251"/>
        <v>8933.4771740184915</v>
      </c>
      <c r="BL101" s="245">
        <f t="shared" si="251"/>
        <v>5.5009626317469099E-2</v>
      </c>
      <c r="BM101" s="246">
        <f t="shared" si="251"/>
        <v>1544.4231327358088</v>
      </c>
      <c r="BN101" s="245">
        <f t="shared" si="251"/>
        <v>0.50137418211413665</v>
      </c>
      <c r="BO101" s="246">
        <f t="shared" si="251"/>
        <v>13730.703678101501</v>
      </c>
      <c r="BP101" s="245">
        <f t="shared" si="251"/>
        <v>0</v>
      </c>
      <c r="BQ101" s="246">
        <f t="shared" si="251"/>
        <v>0</v>
      </c>
      <c r="BR101" s="245">
        <f t="shared" si="251"/>
        <v>1.6517522349337614E-2</v>
      </c>
      <c r="BS101" s="246">
        <f t="shared" si="251"/>
        <v>417.79970101568892</v>
      </c>
      <c r="BT101" s="245">
        <f t="shared" si="251"/>
        <v>1.874075124720205E-2</v>
      </c>
      <c r="BU101" s="246">
        <f t="shared" si="251"/>
        <v>498.58862263714286</v>
      </c>
      <c r="BV101" s="245">
        <f t="shared" si="251"/>
        <v>2.2524460103362509E-2</v>
      </c>
      <c r="BW101" s="246">
        <f t="shared" si="251"/>
        <v>552.89849310182296</v>
      </c>
      <c r="BX101" s="245">
        <f t="shared" ref="BX101:CC101" si="252">AVERAGE(BX97:BX100)</f>
        <v>1.5834608371013442E-2</v>
      </c>
      <c r="BY101" s="246">
        <f t="shared" si="252"/>
        <v>396.07593976287643</v>
      </c>
      <c r="BZ101" s="247">
        <f t="shared" si="252"/>
        <v>1.4666223198397605E-3</v>
      </c>
      <c r="CA101" s="248">
        <f t="shared" si="252"/>
        <v>36.285097255165368</v>
      </c>
      <c r="CB101" s="249">
        <f t="shared" si="252"/>
        <v>5.7925352557987708E-3</v>
      </c>
      <c r="CC101" s="250">
        <f t="shared" si="252"/>
        <v>149.07697993889101</v>
      </c>
      <c r="CD101" s="247">
        <f t="shared" ref="CD101:CJ101" si="253">AVERAGE(CD97:CD100)</f>
        <v>0.46406871336070665</v>
      </c>
      <c r="CE101" s="251">
        <f t="shared" si="253"/>
        <v>0.41357162179756601</v>
      </c>
      <c r="CF101" s="251">
        <f t="shared" si="253"/>
        <v>0.41281293919002354</v>
      </c>
      <c r="CG101" s="248">
        <f t="shared" si="253"/>
        <v>11102.886784088534</v>
      </c>
      <c r="CH101" s="249">
        <f t="shared" si="253"/>
        <v>0.35099463798243813</v>
      </c>
      <c r="CI101" s="249">
        <f t="shared" si="253"/>
        <v>0.31523146207878255</v>
      </c>
      <c r="CJ101" s="249">
        <f t="shared" si="253"/>
        <v>0.31436107354536452</v>
      </c>
      <c r="CK101" s="252">
        <f t="shared" ref="CK101:CR101" si="254">AVERAGE(CK97:CK100)</f>
        <v>8660.3248866520735</v>
      </c>
      <c r="CL101" s="247">
        <f t="shared" si="254"/>
        <v>1.8234291774044738E-2</v>
      </c>
      <c r="CM101" s="251">
        <f t="shared" si="254"/>
        <v>1.6251191981452438E-2</v>
      </c>
      <c r="CN101" s="251">
        <f t="shared" si="254"/>
        <v>1.6147630587445873E-2</v>
      </c>
      <c r="CO101" s="248">
        <f t="shared" si="254"/>
        <v>447.63784481421919</v>
      </c>
      <c r="CP101" s="249">
        <f t="shared" si="254"/>
        <v>2.8606125126706867E-2</v>
      </c>
      <c r="CQ101" s="249">
        <f t="shared" si="254"/>
        <v>2.5404522314453899E-2</v>
      </c>
      <c r="CR101" s="249">
        <f t="shared" si="254"/>
        <v>2.5449415921340181E-2</v>
      </c>
      <c r="CS101" s="252">
        <f t="shared" ref="CS101:CX101" si="255">AVERAGE(CS97:CS100)</f>
        <v>654.21557959619906</v>
      </c>
      <c r="CT101" s="247">
        <f t="shared" si="255"/>
        <v>0.87871323353461483</v>
      </c>
      <c r="CU101" s="251">
        <f t="shared" si="255"/>
        <v>0.78538482301509083</v>
      </c>
      <c r="CV101" s="251">
        <f t="shared" si="255"/>
        <v>0.78351654984132491</v>
      </c>
      <c r="CW101" s="248">
        <f t="shared" si="255"/>
        <v>21302.566510349196</v>
      </c>
      <c r="CX101" s="249">
        <f t="shared" si="255"/>
        <v>1.6159253436985252E-2</v>
      </c>
      <c r="CY101" s="249">
        <f t="shared" ref="CY101:DY101" si="256">AVERAGE(CY97:CY100)</f>
        <v>1.4667397896556364E-2</v>
      </c>
      <c r="CZ101" s="250">
        <f t="shared" si="256"/>
        <v>18.296217536535845</v>
      </c>
      <c r="DA101" s="252">
        <f t="shared" si="256"/>
        <v>377.09707516616982</v>
      </c>
      <c r="DB101" s="247">
        <f t="shared" si="256"/>
        <v>1.8169922831009328E-3</v>
      </c>
      <c r="DC101" s="248">
        <f t="shared" si="256"/>
        <v>49.343476952589135</v>
      </c>
      <c r="DD101" s="249">
        <f t="shared" si="256"/>
        <v>1.2569652839358337E-2</v>
      </c>
      <c r="DE101" s="249">
        <f t="shared" si="256"/>
        <v>1.1382959657100032E-2</v>
      </c>
      <c r="DF101" s="250">
        <f t="shared" si="256"/>
        <v>13.613172680015854</v>
      </c>
      <c r="DG101" s="252">
        <f t="shared" si="256"/>
        <v>290.77859723131922</v>
      </c>
      <c r="DH101" s="247">
        <f t="shared" si="256"/>
        <v>4.2641520149719484E-3</v>
      </c>
      <c r="DI101" s="251">
        <f t="shared" si="256"/>
        <v>3.8181473996755496E-3</v>
      </c>
      <c r="DJ101" s="248">
        <f t="shared" si="256"/>
        <v>6.1269033076259785</v>
      </c>
      <c r="DK101" s="249">
        <f t="shared" si="256"/>
        <v>2.8639226259621873E-2</v>
      </c>
      <c r="DL101" s="253">
        <f t="shared" si="256"/>
        <v>2.5434986786083427E-2</v>
      </c>
      <c r="DM101" s="253">
        <f t="shared" si="256"/>
        <v>2.5457213306185372E-2</v>
      </c>
      <c r="DN101" s="252">
        <f t="shared" si="256"/>
        <v>691.37908626051956</v>
      </c>
      <c r="DO101" s="247">
        <f t="shared" si="256"/>
        <v>4.8413964427847624E-3</v>
      </c>
      <c r="DP101" s="251">
        <f t="shared" si="256"/>
        <v>4.3473605586976955E-3</v>
      </c>
      <c r="DQ101" s="248">
        <f t="shared" si="256"/>
        <v>114.28302138339227</v>
      </c>
      <c r="DR101" s="254">
        <f t="shared" si="256"/>
        <v>9.8137583108194888E-3</v>
      </c>
      <c r="DS101" s="255">
        <f t="shared" si="256"/>
        <v>257.47193316795244</v>
      </c>
      <c r="DT101" s="55">
        <f t="shared" si="256"/>
        <v>1.5659523140599918E-5</v>
      </c>
      <c r="DU101" s="55">
        <f t="shared" si="256"/>
        <v>1.4060817546844068E-5</v>
      </c>
      <c r="DV101" s="55">
        <f t="shared" si="256"/>
        <v>1.4072834923679724E-5</v>
      </c>
      <c r="DW101" s="56">
        <f t="shared" si="256"/>
        <v>0.36189206775676408</v>
      </c>
      <c r="DY101" s="56">
        <f t="shared" si="256"/>
        <v>40</v>
      </c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14" customFormat="1" ht="15.75" thickTop="1">
      <c r="A102" s="591">
        <v>1102</v>
      </c>
      <c r="B102" s="592">
        <v>10185</v>
      </c>
      <c r="C102" s="610" t="s">
        <v>453</v>
      </c>
      <c r="D102" s="595">
        <f>VLOOKUP(A102,[4]CFR20152016_BenchMarkDataReport!$B$3:$BO$99,18,0)</f>
        <v>391673</v>
      </c>
      <c r="E102" s="595">
        <f>VLOOKUP(A102,[4]CFR20152016_BenchMarkDataReport!$B$3:$BO$99,19,0)</f>
        <v>0</v>
      </c>
      <c r="F102" s="595">
        <f>VLOOKUP(A102,[4]CFR20152016_BenchMarkDataReport!$B$3:$BO$99,20,0)</f>
        <v>29491</v>
      </c>
      <c r="G102" s="595">
        <f>VLOOKUP(A102,[4]CFR20152016_BenchMarkDataReport!$B$3:$BO$99,21,0)</f>
        <v>0</v>
      </c>
      <c r="H102" s="595">
        <f>VLOOKUP(A102,[4]CFR20152016_BenchMarkDataReport!$B$3:$BO$99,22,0)</f>
        <v>18232.39</v>
      </c>
      <c r="I102" s="595">
        <f>VLOOKUP(A102,[4]CFR20152016_BenchMarkDataReport!$B$3:$BO$99,23,0)</f>
        <v>144226.78</v>
      </c>
      <c r="J102" s="595">
        <f>VLOOKUP(A102,[4]CFR20152016_BenchMarkDataReport!$B$3:$BO$99,24,0)</f>
        <v>5671</v>
      </c>
      <c r="K102" s="595">
        <f>VLOOKUP(A102,[4]CFR20152016_BenchMarkDataReport!$B$3:$BO$99,25,0)</f>
        <v>2354.0500000000002</v>
      </c>
      <c r="L102" s="595">
        <f>VLOOKUP(A102,[4]CFR20152016_BenchMarkDataReport!$B$3:$BO$99,26,0)</f>
        <v>0</v>
      </c>
      <c r="M102" s="595">
        <f>VLOOKUP(A102,[4]CFR20152016_BenchMarkDataReport!$B$3:$BO$99,27,0)</f>
        <v>0</v>
      </c>
      <c r="N102" s="595">
        <f>VLOOKUP(A102,[4]CFR20152016_BenchMarkDataReport!$B$3:$BO$99,28,0)</f>
        <v>0</v>
      </c>
      <c r="O102" s="595">
        <f>VLOOKUP(A102,[4]CFR20152016_BenchMarkDataReport!$B$3:$BO$99,29,0)</f>
        <v>0</v>
      </c>
      <c r="P102" s="595">
        <f>VLOOKUP(A102,[4]CFR20152016_BenchMarkDataReport!$B$3:$BO$99,30,0)</f>
        <v>1103.5899999999999</v>
      </c>
      <c r="Q102" s="595">
        <f>VLOOKUP(A102,[4]CFR20152016_BenchMarkDataReport!$B$3:$BO$99,31,0)</f>
        <v>0</v>
      </c>
      <c r="R102" s="595">
        <f>VLOOKUP(A102,[4]CFR20152016_BenchMarkDataReport!$B$3:$BO$99,32,0)</f>
        <v>0</v>
      </c>
      <c r="S102" s="595">
        <f>VLOOKUP(A102,[4]CFR20152016_BenchMarkDataReport!$B$3:$BO$99,33,0)</f>
        <v>0</v>
      </c>
      <c r="T102" s="595">
        <f>VLOOKUP(A102,[4]CFR20152016_BenchMarkDataReport!$B$3:$BO$99,34,0)</f>
        <v>0</v>
      </c>
      <c r="U102" s="595">
        <f>VLOOKUP(A102,[4]CFR20152016_BenchMarkDataReport!$B$3:$BO$99,35,0)</f>
        <v>301378.96000000002</v>
      </c>
      <c r="V102" s="595">
        <f>VLOOKUP(A102,[4]CFR20152016_BenchMarkDataReport!$B$3:$BO$99,36,0)</f>
        <v>0</v>
      </c>
      <c r="W102" s="595">
        <f>VLOOKUP(A102,[4]CFR20152016_BenchMarkDataReport!$B$3:$BO$99,37,0)</f>
        <v>43109.59</v>
      </c>
      <c r="X102" s="595">
        <f>VLOOKUP(A102,[4]CFR20152016_BenchMarkDataReport!$B$3:$BO$99,38,0)</f>
        <v>0</v>
      </c>
      <c r="Y102" s="595">
        <f>VLOOKUP(A102,[4]CFR20152016_BenchMarkDataReport!$B$3:$BO$99,39,0)</f>
        <v>81899.86</v>
      </c>
      <c r="Z102" s="595">
        <f>VLOOKUP(A102,[4]CFR20152016_BenchMarkDataReport!$B$3:$BO$99,40,0)</f>
        <v>0</v>
      </c>
      <c r="AA102" s="595">
        <f>VLOOKUP(A102,[4]CFR20152016_BenchMarkDataReport!$B$3:$BO$99,41,0)</f>
        <v>0</v>
      </c>
      <c r="AB102" s="595">
        <f>VLOOKUP(A102,[4]CFR20152016_BenchMarkDataReport!$B$3:$BO$99,42,0)</f>
        <v>1453.42</v>
      </c>
      <c r="AC102" s="595">
        <f>VLOOKUP(A102,[4]CFR20152016_BenchMarkDataReport!$B$3:$BO$99,43,0)</f>
        <v>929.5</v>
      </c>
      <c r="AD102" s="595">
        <f>VLOOKUP(A102,[4]CFR20152016_BenchMarkDataReport!$B$3:$BO$99,44,0)</f>
        <v>0</v>
      </c>
      <c r="AE102" s="595">
        <f>VLOOKUP(A102,[4]CFR20152016_BenchMarkDataReport!$B$3:$BO$99,45,0)</f>
        <v>0</v>
      </c>
      <c r="AF102" s="595">
        <f>VLOOKUP(A102,[4]CFR20152016_BenchMarkDataReport!$B$3:$BO$99,46,0)</f>
        <v>3681.77</v>
      </c>
      <c r="AG102" s="595">
        <f>VLOOKUP(A102,[4]CFR20152016_BenchMarkDataReport!$B$3:$BO$99,47,0)</f>
        <v>0</v>
      </c>
      <c r="AH102" s="595">
        <f>VLOOKUP(A102,[4]CFR20152016_BenchMarkDataReport!$B$3:$BO$99,48,0)</f>
        <v>0</v>
      </c>
      <c r="AI102" s="595">
        <f>VLOOKUP(A102,[4]CFR20152016_BenchMarkDataReport!$B$3:$BO$99,49,0)</f>
        <v>0</v>
      </c>
      <c r="AJ102" s="595">
        <f>VLOOKUP(A102,[4]CFR20152016_BenchMarkDataReport!$B$3:$BO$99,50,0)</f>
        <v>0</v>
      </c>
      <c r="AK102" s="595">
        <f>VLOOKUP(A102,[4]CFR20152016_BenchMarkDataReport!$B$3:$BO$99,51,0)</f>
        <v>0</v>
      </c>
      <c r="AL102" s="595">
        <f>VLOOKUP(A102,[4]CFR20152016_BenchMarkDataReport!$B$3:$BO$99,52,0)</f>
        <v>2950</v>
      </c>
      <c r="AM102" s="595">
        <f>VLOOKUP(A102,[4]CFR20152016_BenchMarkDataReport!$B$3:$BO$99,53,0)</f>
        <v>3093.71</v>
      </c>
      <c r="AN102" s="595">
        <f>VLOOKUP(A102,[4]CFR20152016_BenchMarkDataReport!$B$3:$BO$99,54,0)</f>
        <v>5691.76</v>
      </c>
      <c r="AO102" s="595">
        <f>VLOOKUP(A102,[4]CFR20152016_BenchMarkDataReport!$B$3:$BO$99,55,0)</f>
        <v>525.54999999999995</v>
      </c>
      <c r="AP102" s="595">
        <f>VLOOKUP(A102,[4]CFR20152016_BenchMarkDataReport!$B$3:$BO$99,56,0)</f>
        <v>5864.69</v>
      </c>
      <c r="AQ102" s="595">
        <f>VLOOKUP(A102,[4]CFR20152016_BenchMarkDataReport!$B$3:$BO$99,57,0)</f>
        <v>1000</v>
      </c>
      <c r="AR102" s="595">
        <f>VLOOKUP(A102,[4]CFR20152016_BenchMarkDataReport!$B$3:$BO$99,58,0)</f>
        <v>5550</v>
      </c>
      <c r="AS102" s="595">
        <f>VLOOKUP(A102,[4]CFR20152016_BenchMarkDataReport!$B$3:$BO$99,59,0)</f>
        <v>931</v>
      </c>
      <c r="AT102" s="595">
        <f>VLOOKUP(A102,[4]CFR20152016_BenchMarkDataReport!$B$3:$BO$99,60,0)</f>
        <v>29560</v>
      </c>
      <c r="AU102" s="595">
        <f>VLOOKUP(A102,[4]CFR20152016_BenchMarkDataReport!$B$3:$BO$99,61,0)</f>
        <v>16229.58</v>
      </c>
      <c r="AV102" s="595">
        <f>VLOOKUP(A102,[4]CFR20152016_BenchMarkDataReport!$B$3:$BO$99,62,0)</f>
        <v>16243.42</v>
      </c>
      <c r="AW102" s="595">
        <f>VLOOKUP(A102,[4]CFR20152016_BenchMarkDataReport!$B$3:$BO$99,63,0)</f>
        <v>0</v>
      </c>
      <c r="AX102" s="595">
        <f>VLOOKUP(A102,[4]CFR20152016_BenchMarkDataReport!$B$3:$BO$99,64,0)</f>
        <v>0</v>
      </c>
      <c r="AY102" s="595">
        <f>VLOOKUP(A102,[4]CFR20152016_BenchMarkDataReport!$B$3:$BO$99,65,0)</f>
        <v>0</v>
      </c>
      <c r="AZ102" s="595">
        <f>VLOOKUP(A102,[4]CFR20152016_BenchMarkDataReport!$B$3:$BO$99,66,0)</f>
        <v>0</v>
      </c>
      <c r="BA102" s="598">
        <f>SUM(D102:Q102)+T102</f>
        <v>592751.81000000006</v>
      </c>
      <c r="BB102" s="597">
        <f>SUM(U102:AX102)</f>
        <v>520092.81000000006</v>
      </c>
      <c r="BC102" s="603">
        <f>BA102-BB102</f>
        <v>72659</v>
      </c>
      <c r="BD102" s="595">
        <f>VLOOKUP(A102,[4]CFR20152016_BenchMarkDataReport!$B$3:$BO$99,15,0)</f>
        <v>186</v>
      </c>
      <c r="BE102" s="603">
        <f>SUM(BC102:BD102)</f>
        <v>72845</v>
      </c>
      <c r="BF102" s="76">
        <f>VLOOKUP(A102,'OCT 15 CENSUS'!$B$9:$U$132,20,0)</f>
        <v>20</v>
      </c>
      <c r="BG102" s="579">
        <f>VLOOKUP(A102,'[2]BUDGET SHARE inc ADJUSTMENTS'!$D$4:$M$139,10,0)</f>
        <v>424647.25000000012</v>
      </c>
      <c r="BH102" s="593"/>
      <c r="BI102" s="429" t="s">
        <v>695</v>
      </c>
      <c r="BJ102" s="53">
        <f>D102/BA102</f>
        <v>0.66077065205418772</v>
      </c>
      <c r="BK102" s="581">
        <f>D102/BF102</f>
        <v>19583.650000000001</v>
      </c>
      <c r="BL102" s="53">
        <f>E102/BA102</f>
        <v>0</v>
      </c>
      <c r="BM102" s="581">
        <f>E102/BF102</f>
        <v>0</v>
      </c>
      <c r="BN102" s="53">
        <f>F102/BA102</f>
        <v>4.9752694977009009E-2</v>
      </c>
      <c r="BO102" s="581">
        <f>F102/BF102</f>
        <v>1474.55</v>
      </c>
      <c r="BP102" s="53">
        <f>G102/BA102</f>
        <v>0</v>
      </c>
      <c r="BQ102" s="581">
        <f>G102/BF102</f>
        <v>0</v>
      </c>
      <c r="BR102" s="53">
        <f>H102/BA102</f>
        <v>3.0758893844626132E-2</v>
      </c>
      <c r="BS102" s="581">
        <f>H102/BF102</f>
        <v>911.61950000000002</v>
      </c>
      <c r="BT102" s="53">
        <f>I102/BA102</f>
        <v>0.24331731690536718</v>
      </c>
      <c r="BU102" s="581">
        <f>I102/BF102</f>
        <v>7211.3389999999999</v>
      </c>
      <c r="BV102" s="53">
        <f>J102/BA102</f>
        <v>9.5672419794044991E-3</v>
      </c>
      <c r="BW102" s="581">
        <f>J102/BF102</f>
        <v>283.55</v>
      </c>
      <c r="BX102" s="53">
        <f>K102/BA102</f>
        <v>3.9713923437871912E-3</v>
      </c>
      <c r="BY102" s="581">
        <f>K102/BF102</f>
        <v>117.70250000000001</v>
      </c>
      <c r="BZ102" s="582">
        <f>O102/BA102</f>
        <v>0</v>
      </c>
      <c r="CA102" s="583">
        <f>O102/BF102</f>
        <v>0</v>
      </c>
      <c r="CB102" s="53">
        <f>P102/BA102</f>
        <v>1.861807895618235E-3</v>
      </c>
      <c r="CC102" s="584">
        <f>P102/BF102</f>
        <v>55.179499999999997</v>
      </c>
      <c r="CD102" s="582">
        <f>(U102+V102+AT102)/BG102</f>
        <v>0.77932674708243121</v>
      </c>
      <c r="CE102" s="585">
        <f>(U102+V102+AT102)/BA102</f>
        <v>0.55830948875550457</v>
      </c>
      <c r="CF102" s="585">
        <f>(U102+V102+AT102)/BB102</f>
        <v>0.63630750826953364</v>
      </c>
      <c r="CG102" s="583">
        <f>(U102+V102+AT102)/BF102</f>
        <v>16546.948</v>
      </c>
      <c r="CH102" s="53">
        <f>W102/BG102</f>
        <v>0.10151858984133298</v>
      </c>
      <c r="CI102" s="65">
        <f>W102/BA102</f>
        <v>7.2727892640260333E-2</v>
      </c>
      <c r="CJ102" s="65">
        <f>W102/BB102</f>
        <v>8.2888263731236728E-2</v>
      </c>
      <c r="CK102" s="581">
        <f>W102/BF102</f>
        <v>2155.4794999999999</v>
      </c>
      <c r="CL102" s="582">
        <f>X102/BG102</f>
        <v>0</v>
      </c>
      <c r="CM102" s="585">
        <f>X102/BA102</f>
        <v>0</v>
      </c>
      <c r="CN102" s="585">
        <f>X102/BB102</f>
        <v>0</v>
      </c>
      <c r="CO102" s="583">
        <f>X102/BF102</f>
        <v>0</v>
      </c>
      <c r="CP102" s="53">
        <f>Y102/BG102</f>
        <v>0.19286563141525107</v>
      </c>
      <c r="CQ102" s="65">
        <f>Y102/BA102</f>
        <v>0.13816889061882409</v>
      </c>
      <c r="CR102" s="65">
        <f>Y102/BB102</f>
        <v>0.15747162511244867</v>
      </c>
      <c r="CS102" s="581">
        <f>Y102/BF102</f>
        <v>4094.9929999999999</v>
      </c>
      <c r="CT102" s="582">
        <f>(U102+V102+W102+X102+Y102+Z102+AA102)/BG102</f>
        <v>1.0041002502665446</v>
      </c>
      <c r="CU102" s="585">
        <f>(U102+V102+W102+X102+Y102+Z102+AA102)/BA102</f>
        <v>0.71933717081353155</v>
      </c>
      <c r="CV102" s="585">
        <f>(U102+V102+W102+X102+Y102+Z102+AA102)/BB102</f>
        <v>0.81983138740179851</v>
      </c>
      <c r="CW102" s="583">
        <f>(U102+V102+W102+X102+Y102+Z102+AA102)/BF102</f>
        <v>21319.4205</v>
      </c>
      <c r="CX102" s="53">
        <f>AF102/BG102</f>
        <v>8.6701844884195037E-3</v>
      </c>
      <c r="CY102" s="65">
        <f>AF102/BB102</f>
        <v>7.079063446387578E-3</v>
      </c>
      <c r="CZ102" s="584" t="e">
        <f>AF102/BH102</f>
        <v>#DIV/0!</v>
      </c>
      <c r="DA102" s="581">
        <f>AF102/BF102</f>
        <v>184.08850000000001</v>
      </c>
      <c r="DB102" s="586">
        <f>AI102/BB102</f>
        <v>0</v>
      </c>
      <c r="DC102" s="587">
        <f>AI102/BF102</f>
        <v>0</v>
      </c>
      <c r="DD102" s="53">
        <f>AJ102/BG102</f>
        <v>0</v>
      </c>
      <c r="DE102" s="65">
        <f>AJ102/BB102</f>
        <v>0</v>
      </c>
      <c r="DF102" s="584" t="e">
        <f>AJ102/BH102</f>
        <v>#DIV/0!</v>
      </c>
      <c r="DG102" s="581">
        <f>AJ102/BF102</f>
        <v>0</v>
      </c>
      <c r="DH102" s="582">
        <f>AL102/BG102</f>
        <v>6.9469424328074637E-3</v>
      </c>
      <c r="DI102" s="585">
        <f>AL102/BB102</f>
        <v>5.6720645686295871E-3</v>
      </c>
      <c r="DJ102" s="583" t="e">
        <f>AL102/BH102</f>
        <v>#DIV/0!</v>
      </c>
      <c r="DK102" s="53">
        <f>AM102/BG102</f>
        <v>7.2853644995934845E-3</v>
      </c>
      <c r="DL102" s="65">
        <f>AM102/BA102</f>
        <v>5.2192333246523529E-3</v>
      </c>
      <c r="DM102" s="65">
        <f>AM102/BB102</f>
        <v>5.948380636140691E-3</v>
      </c>
      <c r="DN102" s="581">
        <f>AM102/BF102</f>
        <v>154.68549999999999</v>
      </c>
      <c r="DO102" s="582">
        <f>AP102/BG102</f>
        <v>1.3810733497037831E-2</v>
      </c>
      <c r="DP102" s="585">
        <f>AP102/BB102</f>
        <v>1.1276237408473305E-2</v>
      </c>
      <c r="DQ102" s="583">
        <f>AP102/BF102</f>
        <v>293.23449999999997</v>
      </c>
      <c r="DR102" s="53">
        <f>AS102/BB102</f>
        <v>1.7900651231844561E-3</v>
      </c>
      <c r="DS102" s="581">
        <f>AS102/BF102</f>
        <v>46.55</v>
      </c>
      <c r="DT102" s="582">
        <f>DY102/BG102</f>
        <v>2.0016613789445233E-5</v>
      </c>
      <c r="DU102" s="585">
        <f>DY102/BA102</f>
        <v>1.4339897165392038E-5</v>
      </c>
      <c r="DV102" s="585">
        <f>DY102/BB102</f>
        <v>1.6343236892661523E-5</v>
      </c>
      <c r="DW102" s="583">
        <f>DY102/BF102</f>
        <v>0.42499999999999999</v>
      </c>
      <c r="DY102" s="588">
        <f>VLOOKUP(A102,'[3]Barnet Schools'!$E$8:$V$130,17,0)</f>
        <v>8.5</v>
      </c>
    </row>
    <row r="103" spans="1:256">
      <c r="A103" s="402">
        <v>1100</v>
      </c>
      <c r="B103" s="59">
        <v>10188</v>
      </c>
      <c r="C103" s="610" t="s">
        <v>451</v>
      </c>
      <c r="D103" s="595">
        <f>VLOOKUP(A103,[4]CFR20152016_BenchMarkDataReport!$B$3:$BO$99,18,0)</f>
        <v>1261087</v>
      </c>
      <c r="E103" s="595">
        <f>VLOOKUP(A103,[4]CFR20152016_BenchMarkDataReport!$B$3:$BO$99,19,0)</f>
        <v>0</v>
      </c>
      <c r="F103" s="595">
        <f>VLOOKUP(A103,[4]CFR20152016_BenchMarkDataReport!$B$3:$BO$99,20,0)</f>
        <v>876123</v>
      </c>
      <c r="G103" s="595">
        <f>VLOOKUP(A103,[4]CFR20152016_BenchMarkDataReport!$B$3:$BO$99,21,0)</f>
        <v>0</v>
      </c>
      <c r="H103" s="595">
        <f>VLOOKUP(A103,[4]CFR20152016_BenchMarkDataReport!$B$3:$BO$99,22,0)</f>
        <v>146037.74</v>
      </c>
      <c r="I103" s="595">
        <f>VLOOKUP(A103,[4]CFR20152016_BenchMarkDataReport!$B$3:$BO$99,23,0)</f>
        <v>68667.509999999995</v>
      </c>
      <c r="J103" s="595">
        <f>VLOOKUP(A103,[4]CFR20152016_BenchMarkDataReport!$B$3:$BO$99,24,0)</f>
        <v>23670.84</v>
      </c>
      <c r="K103" s="595">
        <f>VLOOKUP(A103,[4]CFR20152016_BenchMarkDataReport!$B$3:$BO$99,25,0)</f>
        <v>74510.73</v>
      </c>
      <c r="L103" s="595">
        <f>VLOOKUP(A103,[4]CFR20152016_BenchMarkDataReport!$B$3:$BO$99,26,0)</f>
        <v>185</v>
      </c>
      <c r="M103" s="595">
        <f>VLOOKUP(A103,[4]CFR20152016_BenchMarkDataReport!$B$3:$BO$99,27,0)</f>
        <v>23940</v>
      </c>
      <c r="N103" s="595">
        <f>VLOOKUP(A103,[4]CFR20152016_BenchMarkDataReport!$B$3:$BO$99,28,0)</f>
        <v>1365</v>
      </c>
      <c r="O103" s="595">
        <f>VLOOKUP(A103,[4]CFR20152016_BenchMarkDataReport!$B$3:$BO$99,29,0)</f>
        <v>40</v>
      </c>
      <c r="P103" s="595">
        <f>VLOOKUP(A103,[4]CFR20152016_BenchMarkDataReport!$B$3:$BO$99,30,0)</f>
        <v>200</v>
      </c>
      <c r="Q103" s="595">
        <f>VLOOKUP(A103,[4]CFR20152016_BenchMarkDataReport!$B$3:$BO$99,31,0)</f>
        <v>0</v>
      </c>
      <c r="R103" s="595">
        <f>VLOOKUP(A103,[4]CFR20152016_BenchMarkDataReport!$B$3:$BO$99,32,0)</f>
        <v>0</v>
      </c>
      <c r="S103" s="595">
        <f>VLOOKUP(A103,[4]CFR20152016_BenchMarkDataReport!$B$3:$BO$99,33,0)</f>
        <v>0</v>
      </c>
      <c r="T103" s="595">
        <f>VLOOKUP(A103,[4]CFR20152016_BenchMarkDataReport!$B$3:$BO$99,34,0)</f>
        <v>5186</v>
      </c>
      <c r="U103" s="595">
        <f>VLOOKUP(A103,[4]CFR20152016_BenchMarkDataReport!$B$3:$BO$99,35,0)</f>
        <v>1385219.72</v>
      </c>
      <c r="V103" s="595">
        <f>VLOOKUP(A103,[4]CFR20152016_BenchMarkDataReport!$B$3:$BO$99,36,0)</f>
        <v>48095.8</v>
      </c>
      <c r="W103" s="595">
        <f>VLOOKUP(A103,[4]CFR20152016_BenchMarkDataReport!$B$3:$BO$99,37,0)</f>
        <v>316713</v>
      </c>
      <c r="X103" s="595">
        <f>VLOOKUP(A103,[4]CFR20152016_BenchMarkDataReport!$B$3:$BO$99,38,0)</f>
        <v>32756.880000000001</v>
      </c>
      <c r="Y103" s="595">
        <f>VLOOKUP(A103,[4]CFR20152016_BenchMarkDataReport!$B$3:$BO$99,39,0)</f>
        <v>22692.68</v>
      </c>
      <c r="Z103" s="595">
        <f>VLOOKUP(A103,[4]CFR20152016_BenchMarkDataReport!$B$3:$BO$99,40,0)</f>
        <v>0</v>
      </c>
      <c r="AA103" s="595">
        <f>VLOOKUP(A103,[4]CFR20152016_BenchMarkDataReport!$B$3:$BO$99,41,0)</f>
        <v>0</v>
      </c>
      <c r="AB103" s="595">
        <f>VLOOKUP(A103,[4]CFR20152016_BenchMarkDataReport!$B$3:$BO$99,42,0)</f>
        <v>13690.15</v>
      </c>
      <c r="AC103" s="595">
        <f>VLOOKUP(A103,[4]CFR20152016_BenchMarkDataReport!$B$3:$BO$99,43,0)</f>
        <v>7347.42</v>
      </c>
      <c r="AD103" s="595">
        <f>VLOOKUP(A103,[4]CFR20152016_BenchMarkDataReport!$B$3:$BO$99,44,0)</f>
        <v>10246.11</v>
      </c>
      <c r="AE103" s="595">
        <f>VLOOKUP(A103,[4]CFR20152016_BenchMarkDataReport!$B$3:$BO$99,45,0)</f>
        <v>1229</v>
      </c>
      <c r="AF103" s="595">
        <f>VLOOKUP(A103,[4]CFR20152016_BenchMarkDataReport!$B$3:$BO$99,46,0)</f>
        <v>9485.33</v>
      </c>
      <c r="AG103" s="595">
        <f>VLOOKUP(A103,[4]CFR20152016_BenchMarkDataReport!$B$3:$BO$99,47,0)</f>
        <v>3407.5</v>
      </c>
      <c r="AH103" s="595">
        <f>VLOOKUP(A103,[4]CFR20152016_BenchMarkDataReport!$B$3:$BO$99,48,0)</f>
        <v>14215.3</v>
      </c>
      <c r="AI103" s="595">
        <f>VLOOKUP(A103,[4]CFR20152016_BenchMarkDataReport!$B$3:$BO$99,49,0)</f>
        <v>1351.42</v>
      </c>
      <c r="AJ103" s="595">
        <f>VLOOKUP(A103,[4]CFR20152016_BenchMarkDataReport!$B$3:$BO$99,50,0)</f>
        <v>11838.18</v>
      </c>
      <c r="AK103" s="595">
        <f>VLOOKUP(A103,[4]CFR20152016_BenchMarkDataReport!$B$3:$BO$99,51,0)</f>
        <v>0</v>
      </c>
      <c r="AL103" s="595">
        <f>VLOOKUP(A103,[4]CFR20152016_BenchMarkDataReport!$B$3:$BO$99,52,0)</f>
        <v>12321.68</v>
      </c>
      <c r="AM103" s="595">
        <f>VLOOKUP(A103,[4]CFR20152016_BenchMarkDataReport!$B$3:$BO$99,53,0)</f>
        <v>38066.5</v>
      </c>
      <c r="AN103" s="595">
        <f>VLOOKUP(A103,[4]CFR20152016_BenchMarkDataReport!$B$3:$BO$99,54,0)</f>
        <v>22635.8</v>
      </c>
      <c r="AO103" s="595">
        <f>VLOOKUP(A103,[4]CFR20152016_BenchMarkDataReport!$B$3:$BO$99,55,0)</f>
        <v>14667.61</v>
      </c>
      <c r="AP103" s="595">
        <f>VLOOKUP(A103,[4]CFR20152016_BenchMarkDataReport!$B$3:$BO$99,56,0)</f>
        <v>21484.38</v>
      </c>
      <c r="AQ103" s="595">
        <f>VLOOKUP(A103,[4]CFR20152016_BenchMarkDataReport!$B$3:$BO$99,57,0)</f>
        <v>927</v>
      </c>
      <c r="AR103" s="595">
        <f>VLOOKUP(A103,[4]CFR20152016_BenchMarkDataReport!$B$3:$BO$99,58,0)</f>
        <v>8582.99</v>
      </c>
      <c r="AS103" s="595">
        <f>VLOOKUP(A103,[4]CFR20152016_BenchMarkDataReport!$B$3:$BO$99,59,0)</f>
        <v>30798.32</v>
      </c>
      <c r="AT103" s="595">
        <f>VLOOKUP(A103,[4]CFR20152016_BenchMarkDataReport!$B$3:$BO$99,60,0)</f>
        <v>152728.09</v>
      </c>
      <c r="AU103" s="595">
        <f>VLOOKUP(A103,[4]CFR20152016_BenchMarkDataReport!$B$3:$BO$99,61,0)</f>
        <v>57700.54</v>
      </c>
      <c r="AV103" s="595">
        <f>VLOOKUP(A103,[4]CFR20152016_BenchMarkDataReport!$B$3:$BO$99,62,0)</f>
        <v>37261.42</v>
      </c>
      <c r="AW103" s="595">
        <f>VLOOKUP(A103,[4]CFR20152016_BenchMarkDataReport!$B$3:$BO$99,63,0)</f>
        <v>0</v>
      </c>
      <c r="AX103" s="595">
        <f>VLOOKUP(A103,[4]CFR20152016_BenchMarkDataReport!$B$3:$BO$99,64,0)</f>
        <v>0</v>
      </c>
      <c r="AY103" s="595">
        <f>VLOOKUP(A103,[4]CFR20152016_BenchMarkDataReport!$B$3:$BO$99,65,0)</f>
        <v>0</v>
      </c>
      <c r="AZ103" s="595">
        <f>VLOOKUP(A103,[4]CFR20152016_BenchMarkDataReport!$B$3:$BO$99,66,0)</f>
        <v>0</v>
      </c>
      <c r="BA103" s="596">
        <f>SUM(D103:Q103)+T103</f>
        <v>2481012.8199999998</v>
      </c>
      <c r="BB103" s="595">
        <f>SUM(U103:AX103)</f>
        <v>2275462.8199999998</v>
      </c>
      <c r="BC103" s="600">
        <f>BA103-BB103</f>
        <v>205550</v>
      </c>
      <c r="BD103" s="595">
        <f>VLOOKUP(A103,[4]CFR20152016_BenchMarkDataReport!$B$3:$BO$99,15,0)</f>
        <v>55241</v>
      </c>
      <c r="BE103" s="600">
        <f>SUM(BC103:BD103)</f>
        <v>260791</v>
      </c>
      <c r="BF103" s="76">
        <f>VLOOKUP(A103,'OCT 15 CENSUS'!$B$9:$U$132,20,0)</f>
        <v>90</v>
      </c>
      <c r="BG103" s="73">
        <f>VLOOKUP(A103,'[2]BUDGET SHARE inc ADJUSTMENTS'!$D$4:$M$139,10,0)</f>
        <v>2236521.69</v>
      </c>
      <c r="BH103" s="60"/>
      <c r="BI103" s="429" t="s">
        <v>695</v>
      </c>
      <c r="BJ103" s="44">
        <f>D103/BA103</f>
        <v>0.50829523726523917</v>
      </c>
      <c r="BK103" s="45">
        <f>D103/BF103</f>
        <v>14012.077777777778</v>
      </c>
      <c r="BL103" s="44">
        <f>E103/BA103</f>
        <v>0</v>
      </c>
      <c r="BM103" s="45">
        <f>E103/BF103</f>
        <v>0</v>
      </c>
      <c r="BN103" s="44">
        <f>F103/BA103</f>
        <v>0.35313118615807881</v>
      </c>
      <c r="BO103" s="45">
        <f>F103/BF103</f>
        <v>9734.7000000000007</v>
      </c>
      <c r="BP103" s="44">
        <f>G103/BA103</f>
        <v>0</v>
      </c>
      <c r="BQ103" s="45">
        <f>G103/BF103</f>
        <v>0</v>
      </c>
      <c r="BR103" s="44">
        <f>H103/BA103</f>
        <v>5.8862146468070246E-2</v>
      </c>
      <c r="BS103" s="45">
        <f>H103/BF103</f>
        <v>1622.6415555555554</v>
      </c>
      <c r="BT103" s="44">
        <f>I103/BA103</f>
        <v>2.7677208858598319E-2</v>
      </c>
      <c r="BU103" s="45">
        <f>I103/BF103</f>
        <v>762.97233333333327</v>
      </c>
      <c r="BV103" s="44">
        <f>J103/BA103</f>
        <v>9.540797133003126E-3</v>
      </c>
      <c r="BW103" s="45">
        <f>J103/BF103</f>
        <v>263.00933333333336</v>
      </c>
      <c r="BX103" s="44">
        <f>K103/BA103</f>
        <v>3.0032384113194546E-2</v>
      </c>
      <c r="BY103" s="45">
        <f>K103/BF103</f>
        <v>827.89699999999993</v>
      </c>
      <c r="BZ103" s="46">
        <f>O103/BA103</f>
        <v>1.6122447928342427E-5</v>
      </c>
      <c r="CA103" s="47">
        <f>O103/BF103</f>
        <v>0.44444444444444442</v>
      </c>
      <c r="CB103" s="44">
        <f>P103/BA103</f>
        <v>8.0612239641712134E-5</v>
      </c>
      <c r="CC103" s="48">
        <f>P103/BF103</f>
        <v>2.2222222222222223</v>
      </c>
      <c r="CD103" s="46">
        <f>(U103+V103+AT103)/BG103</f>
        <v>0.70915637308216772</v>
      </c>
      <c r="CE103" s="49">
        <f>(U103+V103+AT103)/BA103</f>
        <v>0.63927263785763111</v>
      </c>
      <c r="CF103" s="49">
        <f>(U103+V103+AT103)/BB103</f>
        <v>0.6970202264170593</v>
      </c>
      <c r="CG103" s="47">
        <f>(U103+V103+AT103)/BF103</f>
        <v>17622.706777777777</v>
      </c>
      <c r="CH103" s="44">
        <f>W103/BG103</f>
        <v>0.1416096259723732</v>
      </c>
      <c r="CI103" s="50">
        <f>W103/BA103</f>
        <v>0.12765472126822788</v>
      </c>
      <c r="CJ103" s="50">
        <f>W103/BB103</f>
        <v>0.13918618982313236</v>
      </c>
      <c r="CK103" s="45">
        <f>W103/BF103</f>
        <v>3519.0333333333333</v>
      </c>
      <c r="CL103" s="46">
        <f>X103/BG103</f>
        <v>1.4646350243980867E-2</v>
      </c>
      <c r="CM103" s="49">
        <f>X103/BA103</f>
        <v>1.3203027302374038E-2</v>
      </c>
      <c r="CN103" s="49">
        <f>X103/BB103</f>
        <v>1.4395699948197793E-2</v>
      </c>
      <c r="CO103" s="47">
        <f>X103/BF103</f>
        <v>363.96533333333332</v>
      </c>
      <c r="CP103" s="44">
        <f>Y103/BG103</f>
        <v>1.0146416241552301E-2</v>
      </c>
      <c r="CQ103" s="50">
        <f>Y103/BA103</f>
        <v>9.146538791363441E-3</v>
      </c>
      <c r="CR103" s="50">
        <f>Y103/BB103</f>
        <v>9.9727755604462048E-3</v>
      </c>
      <c r="CS103" s="45">
        <f>Y103/BF103</f>
        <v>252.1408888888889</v>
      </c>
      <c r="CT103" s="46">
        <f>(U103+V103+W103+X103+Y103+Z103+AA103)/BG103</f>
        <v>0.80727054339455118</v>
      </c>
      <c r="CU103" s="49">
        <f>(U103+V103+W103+X103+Y103+Z103+AA103)/BA103</f>
        <v>0.72771815826409147</v>
      </c>
      <c r="CV103" s="49">
        <f>(U103+V103+W103+X103+Y103+Z103+AA103)/BB103</f>
        <v>0.79345532000386632</v>
      </c>
      <c r="CW103" s="47">
        <f>(U103+V103+W103+X103+Y103+Z103+AA103)/BF103</f>
        <v>20060.867555555553</v>
      </c>
      <c r="CX103" s="44">
        <f>AF103/BG103</f>
        <v>4.2411079858563766E-3</v>
      </c>
      <c r="CY103" s="50">
        <f>AF103/BB103</f>
        <v>4.1685277898761714E-3</v>
      </c>
      <c r="CZ103" s="48" t="e">
        <f>AF103/BH103</f>
        <v>#DIV/0!</v>
      </c>
      <c r="DA103" s="45">
        <f>AF103/BF103</f>
        <v>105.39255555555556</v>
      </c>
      <c r="DB103" s="51">
        <f>AI103/BB103</f>
        <v>5.939099457577603E-4</v>
      </c>
      <c r="DC103" s="52">
        <f>AI103/BF103</f>
        <v>15.015777777777778</v>
      </c>
      <c r="DD103" s="44">
        <f>AJ103/BG103</f>
        <v>5.2931210338496648E-3</v>
      </c>
      <c r="DE103" s="50">
        <f>AJ103/BB103</f>
        <v>5.202537213945777E-3</v>
      </c>
      <c r="DF103" s="48" t="e">
        <f>AJ103/BH103</f>
        <v>#DIV/0!</v>
      </c>
      <c r="DG103" s="45">
        <f>AJ103/BF103</f>
        <v>131.53533333333334</v>
      </c>
      <c r="DH103" s="46">
        <f>AL103/BG103</f>
        <v>5.509304942175634E-3</v>
      </c>
      <c r="DI103" s="49">
        <f>AL103/BB103</f>
        <v>5.4150214592387849E-3</v>
      </c>
      <c r="DJ103" s="47" t="e">
        <f>AL103/BH103</f>
        <v>#DIV/0!</v>
      </c>
      <c r="DK103" s="44">
        <f>AM103/BG103</f>
        <v>1.7020402784468414E-2</v>
      </c>
      <c r="DL103" s="50">
        <f>AM103/BA103</f>
        <v>1.5343129101606175E-2</v>
      </c>
      <c r="DM103" s="50">
        <f>AM103/BB103</f>
        <v>1.6729124143632462E-2</v>
      </c>
      <c r="DN103" s="45">
        <f>AM103/BF103</f>
        <v>422.96111111111111</v>
      </c>
      <c r="DO103" s="46">
        <f>AP103/BG103</f>
        <v>9.6061576760295142E-3</v>
      </c>
      <c r="DP103" s="49">
        <f>AP103/BB103</f>
        <v>9.4417627091793136E-3</v>
      </c>
      <c r="DQ103" s="47">
        <f>AP103/BF103</f>
        <v>238.71533333333335</v>
      </c>
      <c r="DR103" s="53">
        <f>AS103/BB103</f>
        <v>1.3534969558412737E-2</v>
      </c>
      <c r="DS103" s="45">
        <f>AS103/BF103</f>
        <v>342.20355555555557</v>
      </c>
      <c r="DT103" s="46" t="e">
        <f>DY103/BG103</f>
        <v>#VALUE!</v>
      </c>
      <c r="DU103" s="49" t="e">
        <f>DY103/BA103</f>
        <v>#VALUE!</v>
      </c>
      <c r="DV103" s="49" t="e">
        <f>DY103/BB103</f>
        <v>#VALUE!</v>
      </c>
      <c r="DW103" s="47" t="e">
        <f>DY103/BF103</f>
        <v>#VALUE!</v>
      </c>
      <c r="DY103" s="54" t="str">
        <f>VLOOKUP(A103,'[3]Barnet Schools'!$E$8:$V$130,17,0)</f>
        <v>x</v>
      </c>
    </row>
    <row r="104" spans="1:256" ht="16.5" thickBot="1">
      <c r="A104" s="239">
        <v>8999</v>
      </c>
      <c r="B104" s="240"/>
      <c r="C104" s="420" t="s">
        <v>693</v>
      </c>
      <c r="D104" s="599">
        <f t="shared" ref="D104:AZ104" si="257">AVERAGE(D102:D103)</f>
        <v>826380</v>
      </c>
      <c r="E104" s="599">
        <f t="shared" si="257"/>
        <v>0</v>
      </c>
      <c r="F104" s="599">
        <f t="shared" si="257"/>
        <v>452807</v>
      </c>
      <c r="G104" s="599">
        <f t="shared" si="257"/>
        <v>0</v>
      </c>
      <c r="H104" s="599">
        <f t="shared" si="257"/>
        <v>82135.065000000002</v>
      </c>
      <c r="I104" s="599">
        <f t="shared" si="257"/>
        <v>106447.14499999999</v>
      </c>
      <c r="J104" s="599">
        <f t="shared" si="257"/>
        <v>14670.92</v>
      </c>
      <c r="K104" s="599">
        <f t="shared" si="257"/>
        <v>38432.39</v>
      </c>
      <c r="L104" s="599">
        <f t="shared" si="257"/>
        <v>92.5</v>
      </c>
      <c r="M104" s="599">
        <f t="shared" si="257"/>
        <v>11970</v>
      </c>
      <c r="N104" s="599">
        <f t="shared" si="257"/>
        <v>682.5</v>
      </c>
      <c r="O104" s="599">
        <f t="shared" si="257"/>
        <v>20</v>
      </c>
      <c r="P104" s="599">
        <f t="shared" si="257"/>
        <v>651.79499999999996</v>
      </c>
      <c r="Q104" s="599">
        <f t="shared" si="257"/>
        <v>0</v>
      </c>
      <c r="R104" s="599">
        <f t="shared" si="257"/>
        <v>0</v>
      </c>
      <c r="S104" s="599">
        <f t="shared" si="257"/>
        <v>0</v>
      </c>
      <c r="T104" s="599">
        <f t="shared" si="257"/>
        <v>2593</v>
      </c>
      <c r="U104" s="599">
        <f t="shared" si="257"/>
        <v>843299.34</v>
      </c>
      <c r="V104" s="599">
        <f t="shared" si="257"/>
        <v>24047.9</v>
      </c>
      <c r="W104" s="599">
        <f t="shared" si="257"/>
        <v>179911.29499999998</v>
      </c>
      <c r="X104" s="599">
        <f t="shared" si="257"/>
        <v>16378.44</v>
      </c>
      <c r="Y104" s="599">
        <f t="shared" si="257"/>
        <v>52296.270000000004</v>
      </c>
      <c r="Z104" s="599">
        <f t="shared" si="257"/>
        <v>0</v>
      </c>
      <c r="AA104" s="599">
        <f t="shared" si="257"/>
        <v>0</v>
      </c>
      <c r="AB104" s="599">
        <f t="shared" si="257"/>
        <v>7571.7849999999999</v>
      </c>
      <c r="AC104" s="599">
        <f t="shared" si="257"/>
        <v>4138.46</v>
      </c>
      <c r="AD104" s="599">
        <f t="shared" si="257"/>
        <v>5123.0550000000003</v>
      </c>
      <c r="AE104" s="599">
        <f t="shared" si="257"/>
        <v>614.5</v>
      </c>
      <c r="AF104" s="599">
        <f t="shared" si="257"/>
        <v>6583.55</v>
      </c>
      <c r="AG104" s="599">
        <f t="shared" si="257"/>
        <v>1703.75</v>
      </c>
      <c r="AH104" s="599">
        <f t="shared" si="257"/>
        <v>7107.65</v>
      </c>
      <c r="AI104" s="599">
        <f t="shared" si="257"/>
        <v>675.71</v>
      </c>
      <c r="AJ104" s="599">
        <f t="shared" si="257"/>
        <v>5919.09</v>
      </c>
      <c r="AK104" s="599">
        <f t="shared" si="257"/>
        <v>0</v>
      </c>
      <c r="AL104" s="599">
        <f t="shared" si="257"/>
        <v>7635.84</v>
      </c>
      <c r="AM104" s="599">
        <f t="shared" si="257"/>
        <v>20580.105</v>
      </c>
      <c r="AN104" s="599">
        <f t="shared" si="257"/>
        <v>14163.779999999999</v>
      </c>
      <c r="AO104" s="599">
        <f t="shared" si="257"/>
        <v>7596.58</v>
      </c>
      <c r="AP104" s="599">
        <f t="shared" si="257"/>
        <v>13674.535</v>
      </c>
      <c r="AQ104" s="599">
        <f t="shared" si="257"/>
        <v>963.5</v>
      </c>
      <c r="AR104" s="599">
        <f t="shared" si="257"/>
        <v>7066.4949999999999</v>
      </c>
      <c r="AS104" s="599">
        <f t="shared" si="257"/>
        <v>15864.66</v>
      </c>
      <c r="AT104" s="599">
        <f t="shared" si="257"/>
        <v>91144.044999999998</v>
      </c>
      <c r="AU104" s="599">
        <f t="shared" si="257"/>
        <v>36965.06</v>
      </c>
      <c r="AV104" s="599">
        <f t="shared" si="257"/>
        <v>26752.42</v>
      </c>
      <c r="AW104" s="599">
        <f t="shared" si="257"/>
        <v>0</v>
      </c>
      <c r="AX104" s="599">
        <f t="shared" si="257"/>
        <v>0</v>
      </c>
      <c r="AY104" s="599">
        <f t="shared" si="257"/>
        <v>0</v>
      </c>
      <c r="AZ104" s="599">
        <f t="shared" si="257"/>
        <v>0</v>
      </c>
      <c r="BA104" s="599">
        <f t="shared" ref="BA104:BG104" si="258">AVERAGE(BA102:BA103)</f>
        <v>1536882.3149999999</v>
      </c>
      <c r="BB104" s="599">
        <f t="shared" si="258"/>
        <v>1397777.8149999999</v>
      </c>
      <c r="BC104" s="599">
        <f t="shared" si="258"/>
        <v>139104.5</v>
      </c>
      <c r="BD104" s="599">
        <f t="shared" si="258"/>
        <v>27713.5</v>
      </c>
      <c r="BE104" s="599">
        <f t="shared" si="258"/>
        <v>166818</v>
      </c>
      <c r="BF104" s="242">
        <f t="shared" si="258"/>
        <v>55</v>
      </c>
      <c r="BG104" s="242">
        <f t="shared" si="258"/>
        <v>1330584.47</v>
      </c>
      <c r="BH104" s="242" t="s">
        <v>1549</v>
      </c>
      <c r="BI104" s="242"/>
      <c r="BJ104" s="245">
        <f t="shared" ref="BJ104:CY104" si="259">AVERAGE(BJ102:BJ103)</f>
        <v>0.58453294465971339</v>
      </c>
      <c r="BK104" s="246">
        <f t="shared" si="259"/>
        <v>16797.863888888889</v>
      </c>
      <c r="BL104" s="245">
        <f t="shared" si="259"/>
        <v>0</v>
      </c>
      <c r="BM104" s="246">
        <f t="shared" si="259"/>
        <v>0</v>
      </c>
      <c r="BN104" s="245">
        <f t="shared" si="259"/>
        <v>0.20144194056754391</v>
      </c>
      <c r="BO104" s="246">
        <f t="shared" si="259"/>
        <v>5604.625</v>
      </c>
      <c r="BP104" s="245">
        <f t="shared" si="259"/>
        <v>0</v>
      </c>
      <c r="BQ104" s="246">
        <f t="shared" si="259"/>
        <v>0</v>
      </c>
      <c r="BR104" s="245">
        <f t="shared" si="259"/>
        <v>4.4810520156348191E-2</v>
      </c>
      <c r="BS104" s="246">
        <f t="shared" si="259"/>
        <v>1267.1305277777778</v>
      </c>
      <c r="BT104" s="245">
        <f t="shared" si="259"/>
        <v>0.13549726288198274</v>
      </c>
      <c r="BU104" s="246">
        <f t="shared" si="259"/>
        <v>3987.1556666666665</v>
      </c>
      <c r="BV104" s="245">
        <f t="shared" si="259"/>
        <v>9.5540195562038126E-3</v>
      </c>
      <c r="BW104" s="246">
        <f t="shared" si="259"/>
        <v>273.27966666666669</v>
      </c>
      <c r="BX104" s="245">
        <f t="shared" si="259"/>
        <v>1.7001888228490868E-2</v>
      </c>
      <c r="BY104" s="246">
        <f t="shared" si="259"/>
        <v>472.79974999999996</v>
      </c>
      <c r="BZ104" s="247">
        <f t="shared" si="259"/>
        <v>8.0612239641712134E-6</v>
      </c>
      <c r="CA104" s="248">
        <f t="shared" si="259"/>
        <v>0.22222222222222221</v>
      </c>
      <c r="CB104" s="249">
        <f t="shared" si="259"/>
        <v>9.7121006762997358E-4</v>
      </c>
      <c r="CC104" s="250">
        <f t="shared" si="259"/>
        <v>28.700861111111109</v>
      </c>
      <c r="CD104" s="247">
        <f t="shared" si="259"/>
        <v>0.74424156008229947</v>
      </c>
      <c r="CE104" s="251">
        <f t="shared" si="259"/>
        <v>0.59879106330656784</v>
      </c>
      <c r="CF104" s="251">
        <f t="shared" si="259"/>
        <v>0.66666386734329652</v>
      </c>
      <c r="CG104" s="248">
        <f t="shared" si="259"/>
        <v>17084.827388888887</v>
      </c>
      <c r="CH104" s="249">
        <f t="shared" si="259"/>
        <v>0.1215641079068531</v>
      </c>
      <c r="CI104" s="249">
        <f t="shared" si="259"/>
        <v>0.10019130695424411</v>
      </c>
      <c r="CJ104" s="249">
        <f t="shared" si="259"/>
        <v>0.11103722677718454</v>
      </c>
      <c r="CK104" s="252">
        <f t="shared" si="259"/>
        <v>2837.2564166666666</v>
      </c>
      <c r="CL104" s="247">
        <f t="shared" si="259"/>
        <v>7.3231751219904337E-3</v>
      </c>
      <c r="CM104" s="251">
        <f t="shared" si="259"/>
        <v>6.6015136511870191E-3</v>
      </c>
      <c r="CN104" s="251">
        <f t="shared" si="259"/>
        <v>7.1978499740988963E-3</v>
      </c>
      <c r="CO104" s="248">
        <f t="shared" si="259"/>
        <v>181.98266666666666</v>
      </c>
      <c r="CP104" s="249">
        <f t="shared" si="259"/>
        <v>0.10150602382840168</v>
      </c>
      <c r="CQ104" s="249">
        <f t="shared" si="259"/>
        <v>7.365771470509376E-2</v>
      </c>
      <c r="CR104" s="249">
        <f t="shared" si="259"/>
        <v>8.3722200336447436E-2</v>
      </c>
      <c r="CS104" s="252">
        <f t="shared" si="259"/>
        <v>2173.5669444444443</v>
      </c>
      <c r="CT104" s="247">
        <f t="shared" si="259"/>
        <v>0.90568539683054783</v>
      </c>
      <c r="CU104" s="251">
        <f t="shared" si="259"/>
        <v>0.72352766453881157</v>
      </c>
      <c r="CV104" s="251">
        <f t="shared" si="259"/>
        <v>0.80664335370283236</v>
      </c>
      <c r="CW104" s="248">
        <f t="shared" si="259"/>
        <v>20690.144027777777</v>
      </c>
      <c r="CX104" s="249">
        <f t="shared" si="259"/>
        <v>6.4556462371379401E-3</v>
      </c>
      <c r="CY104" s="249">
        <f t="shared" si="259"/>
        <v>5.6237956181318747E-3</v>
      </c>
      <c r="CZ104" s="242" t="s">
        <v>1549</v>
      </c>
      <c r="DA104" s="252">
        <f>AVERAGE(DA102:DA103)</f>
        <v>144.7405277777778</v>
      </c>
      <c r="DB104" s="247">
        <f>AVERAGE(DB102:DB103)</f>
        <v>2.9695497287888015E-4</v>
      </c>
      <c r="DC104" s="248">
        <f>AVERAGE(DC102:DC103)</f>
        <v>7.5078888888888891</v>
      </c>
      <c r="DD104" s="249">
        <f>AVERAGE(DD102:DD103)</f>
        <v>2.6465605169248324E-3</v>
      </c>
      <c r="DE104" s="249">
        <f>AVERAGE(DE102:DE103)</f>
        <v>2.6012686069728885E-3</v>
      </c>
      <c r="DF104" s="242" t="s">
        <v>1549</v>
      </c>
      <c r="DG104" s="252">
        <f>AVERAGE(DG102:DG103)</f>
        <v>65.76766666666667</v>
      </c>
      <c r="DH104" s="247">
        <f>AVERAGE(DH102:DH103)</f>
        <v>6.2281236874915484E-3</v>
      </c>
      <c r="DI104" s="251">
        <f>AVERAGE(DI102:DI103)</f>
        <v>5.543543013934186E-3</v>
      </c>
      <c r="DJ104" s="242" t="s">
        <v>1549</v>
      </c>
      <c r="DK104" s="249">
        <f t="shared" ref="DK104:DY104" si="260">AVERAGE(DK102:DK103)</f>
        <v>1.2152883642030949E-2</v>
      </c>
      <c r="DL104" s="253">
        <f t="shared" si="260"/>
        <v>1.0281181213129265E-2</v>
      </c>
      <c r="DM104" s="253">
        <f t="shared" si="260"/>
        <v>1.1338752389886577E-2</v>
      </c>
      <c r="DN104" s="252">
        <f t="shared" si="260"/>
        <v>288.82330555555552</v>
      </c>
      <c r="DO104" s="247">
        <f t="shared" si="260"/>
        <v>1.1708445586533674E-2</v>
      </c>
      <c r="DP104" s="251">
        <f t="shared" si="260"/>
        <v>1.0359000058826309E-2</v>
      </c>
      <c r="DQ104" s="248">
        <f t="shared" si="260"/>
        <v>265.97491666666667</v>
      </c>
      <c r="DR104" s="254">
        <f t="shared" si="260"/>
        <v>7.6625173407985966E-3</v>
      </c>
      <c r="DS104" s="255">
        <f t="shared" si="260"/>
        <v>194.37677777777779</v>
      </c>
      <c r="DT104" s="55" t="e">
        <f t="shared" si="260"/>
        <v>#VALUE!</v>
      </c>
      <c r="DU104" s="55" t="e">
        <f t="shared" si="260"/>
        <v>#VALUE!</v>
      </c>
      <c r="DV104" s="55" t="e">
        <f t="shared" si="260"/>
        <v>#VALUE!</v>
      </c>
      <c r="DW104" s="56" t="e">
        <f t="shared" si="260"/>
        <v>#VALUE!</v>
      </c>
      <c r="DX104" s="242"/>
      <c r="DY104" s="56">
        <f t="shared" si="260"/>
        <v>8.5</v>
      </c>
    </row>
    <row r="105" spans="1:256" ht="13.5" thickTop="1">
      <c r="D105" s="604"/>
      <c r="E105" s="604"/>
      <c r="F105" s="604"/>
      <c r="G105" s="604"/>
      <c r="H105" s="604"/>
      <c r="I105" s="604"/>
      <c r="J105" s="604"/>
      <c r="K105" s="604"/>
      <c r="L105" s="604"/>
      <c r="M105" s="604"/>
      <c r="N105" s="604"/>
      <c r="O105" s="604"/>
      <c r="P105" s="604"/>
      <c r="Q105" s="604"/>
      <c r="R105" s="604"/>
      <c r="S105" s="604"/>
      <c r="T105" s="604"/>
      <c r="U105" s="604"/>
      <c r="V105" s="604"/>
      <c r="W105" s="604"/>
      <c r="X105" s="604"/>
      <c r="Y105" s="604"/>
      <c r="Z105" s="604"/>
      <c r="AA105" s="604"/>
      <c r="AB105" s="604"/>
      <c r="AC105" s="604"/>
      <c r="AD105" s="604"/>
      <c r="AE105" s="604"/>
      <c r="AF105" s="604"/>
      <c r="AG105" s="604"/>
      <c r="AH105" s="604"/>
      <c r="AI105" s="604"/>
      <c r="AJ105" s="604"/>
      <c r="AK105" s="604"/>
      <c r="AL105" s="604"/>
      <c r="AM105" s="604"/>
      <c r="AN105" s="604"/>
      <c r="AO105" s="604"/>
      <c r="AP105" s="604"/>
      <c r="AQ105" s="604"/>
      <c r="AR105" s="604"/>
      <c r="AS105" s="604"/>
      <c r="AT105" s="604"/>
      <c r="AU105" s="604"/>
      <c r="AV105" s="604"/>
      <c r="AW105" s="604"/>
      <c r="AX105" s="604"/>
      <c r="AY105" s="604"/>
      <c r="AZ105" s="604"/>
      <c r="BA105" s="604"/>
      <c r="BB105" s="604"/>
      <c r="BC105" s="604"/>
      <c r="BD105" s="604"/>
      <c r="BE105" s="604"/>
      <c r="BF105" s="60"/>
      <c r="BG105" s="60"/>
      <c r="BH105" s="60"/>
      <c r="DY105" s="63"/>
    </row>
    <row r="106" spans="1:256">
      <c r="C106" s="612" t="s">
        <v>410</v>
      </c>
      <c r="D106" s="605">
        <f t="shared" ref="D106:AI106" si="261">SUM(D4:D7)</f>
        <v>1644892</v>
      </c>
      <c r="E106" s="605">
        <f t="shared" si="261"/>
        <v>0</v>
      </c>
      <c r="F106" s="605">
        <f t="shared" si="261"/>
        <v>3492</v>
      </c>
      <c r="G106" s="605">
        <f t="shared" si="261"/>
        <v>0</v>
      </c>
      <c r="H106" s="605">
        <f t="shared" si="261"/>
        <v>2000</v>
      </c>
      <c r="I106" s="605">
        <f t="shared" si="261"/>
        <v>152431.79999999999</v>
      </c>
      <c r="J106" s="605">
        <f t="shared" si="261"/>
        <v>17423.25</v>
      </c>
      <c r="K106" s="605">
        <f t="shared" si="261"/>
        <v>709215.35</v>
      </c>
      <c r="L106" s="605">
        <f t="shared" si="261"/>
        <v>29120.52</v>
      </c>
      <c r="M106" s="605">
        <f t="shared" si="261"/>
        <v>25579.379999999997</v>
      </c>
      <c r="N106" s="605">
        <f t="shared" si="261"/>
        <v>10184.280000000001</v>
      </c>
      <c r="O106" s="605">
        <f t="shared" si="261"/>
        <v>1263.29</v>
      </c>
      <c r="P106" s="605">
        <f t="shared" si="261"/>
        <v>17099.560000000001</v>
      </c>
      <c r="Q106" s="605">
        <f t="shared" si="261"/>
        <v>0</v>
      </c>
      <c r="R106" s="605">
        <f t="shared" si="261"/>
        <v>278841</v>
      </c>
      <c r="S106" s="605">
        <f t="shared" si="261"/>
        <v>2629.5299999999997</v>
      </c>
      <c r="T106" s="605">
        <f t="shared" si="261"/>
        <v>0</v>
      </c>
      <c r="U106" s="605">
        <f t="shared" si="261"/>
        <v>794767.54</v>
      </c>
      <c r="V106" s="605">
        <f t="shared" si="261"/>
        <v>7429.8600000000006</v>
      </c>
      <c r="W106" s="605">
        <f t="shared" si="261"/>
        <v>1188265.96</v>
      </c>
      <c r="X106" s="605">
        <f t="shared" si="261"/>
        <v>100231.65999999999</v>
      </c>
      <c r="Y106" s="605">
        <f t="shared" si="261"/>
        <v>148550.65000000002</v>
      </c>
      <c r="Z106" s="605">
        <f t="shared" si="261"/>
        <v>0</v>
      </c>
      <c r="AA106" s="605">
        <f t="shared" si="261"/>
        <v>85847.6</v>
      </c>
      <c r="AB106" s="605">
        <f t="shared" si="261"/>
        <v>12093.08</v>
      </c>
      <c r="AC106" s="605">
        <f t="shared" si="261"/>
        <v>14147.140000000001</v>
      </c>
      <c r="AD106" s="605">
        <f t="shared" si="261"/>
        <v>21146.010000000002</v>
      </c>
      <c r="AE106" s="605">
        <f t="shared" si="261"/>
        <v>6511.1900000000005</v>
      </c>
      <c r="AF106" s="605">
        <f t="shared" si="261"/>
        <v>24439.95</v>
      </c>
      <c r="AG106" s="605">
        <f t="shared" si="261"/>
        <v>7884.18</v>
      </c>
      <c r="AH106" s="605">
        <f t="shared" si="261"/>
        <v>4486.99</v>
      </c>
      <c r="AI106" s="605">
        <f t="shared" si="261"/>
        <v>4390.84</v>
      </c>
      <c r="AJ106" s="605">
        <f t="shared" ref="AJ106:BH106" si="262">SUM(AJ4:AJ7)</f>
        <v>17366.21</v>
      </c>
      <c r="AK106" s="605">
        <f t="shared" si="262"/>
        <v>27168.5</v>
      </c>
      <c r="AL106" s="605">
        <f t="shared" si="262"/>
        <v>15230.07</v>
      </c>
      <c r="AM106" s="605">
        <f t="shared" si="262"/>
        <v>59725.95</v>
      </c>
      <c r="AN106" s="605">
        <f t="shared" si="262"/>
        <v>27645.57</v>
      </c>
      <c r="AO106" s="605">
        <f t="shared" si="262"/>
        <v>0</v>
      </c>
      <c r="AP106" s="605">
        <f t="shared" si="262"/>
        <v>29304.78</v>
      </c>
      <c r="AQ106" s="605">
        <f t="shared" si="262"/>
        <v>4417.3099999999995</v>
      </c>
      <c r="AR106" s="605">
        <f t="shared" si="262"/>
        <v>12639.69</v>
      </c>
      <c r="AS106" s="605">
        <f t="shared" si="262"/>
        <v>41671.86</v>
      </c>
      <c r="AT106" s="605">
        <f t="shared" si="262"/>
        <v>12590.42</v>
      </c>
      <c r="AU106" s="605">
        <f t="shared" si="262"/>
        <v>22862.949999999997</v>
      </c>
      <c r="AV106" s="605">
        <f t="shared" si="262"/>
        <v>70595.040000000008</v>
      </c>
      <c r="AW106" s="605">
        <f t="shared" si="262"/>
        <v>0</v>
      </c>
      <c r="AX106" s="605">
        <f t="shared" si="262"/>
        <v>49099</v>
      </c>
      <c r="AY106" s="605">
        <f t="shared" si="262"/>
        <v>220900.71</v>
      </c>
      <c r="AZ106" s="605">
        <f t="shared" si="262"/>
        <v>44056.09</v>
      </c>
      <c r="BA106" s="605">
        <f t="shared" si="262"/>
        <v>2612701.4300000002</v>
      </c>
      <c r="BB106" s="605">
        <f t="shared" si="262"/>
        <v>2810510</v>
      </c>
      <c r="BC106" s="605">
        <f t="shared" si="262"/>
        <v>-197808.56999999972</v>
      </c>
      <c r="BD106" s="605">
        <f t="shared" si="262"/>
        <v>894791</v>
      </c>
      <c r="BE106" s="605">
        <f t="shared" si="262"/>
        <v>696982.43000000028</v>
      </c>
      <c r="BF106" s="123">
        <f t="shared" si="262"/>
        <v>407</v>
      </c>
      <c r="BG106" s="123">
        <f t="shared" si="262"/>
        <v>1642113.9051999017</v>
      </c>
      <c r="BH106" s="123">
        <f t="shared" si="262"/>
        <v>2074.64</v>
      </c>
      <c r="BI106" t="s">
        <v>208</v>
      </c>
      <c r="BJ106" s="50">
        <f t="shared" ref="BJ106:CO106" si="263">BJ8</f>
        <v>0.62777685029894781</v>
      </c>
      <c r="BK106" s="48">
        <f t="shared" si="263"/>
        <v>4091.5664126016259</v>
      </c>
      <c r="BL106" s="50">
        <f t="shared" si="263"/>
        <v>0</v>
      </c>
      <c r="BM106" s="48">
        <f t="shared" si="263"/>
        <v>0</v>
      </c>
      <c r="BN106" s="50">
        <f t="shared" si="263"/>
        <v>1.1916241679071342E-3</v>
      </c>
      <c r="BO106" s="48">
        <f t="shared" si="263"/>
        <v>7.0975609756097562</v>
      </c>
      <c r="BP106" s="50">
        <f t="shared" si="263"/>
        <v>0</v>
      </c>
      <c r="BQ106" s="48">
        <f t="shared" si="263"/>
        <v>0</v>
      </c>
      <c r="BR106" s="50">
        <f t="shared" si="263"/>
        <v>8.0338088384108617E-4</v>
      </c>
      <c r="BS106" s="48">
        <f t="shared" si="263"/>
        <v>6.0975609756097562</v>
      </c>
      <c r="BT106" s="50">
        <f t="shared" si="263"/>
        <v>6.3889785140785263E-2</v>
      </c>
      <c r="BU106" s="48">
        <f t="shared" si="263"/>
        <v>437.73461890243897</v>
      </c>
      <c r="BV106" s="50">
        <f t="shared" si="263"/>
        <v>7.6577030671390843E-3</v>
      </c>
      <c r="BW106" s="48">
        <f t="shared" si="263"/>
        <v>52.782723577235771</v>
      </c>
      <c r="BX106" s="50">
        <f t="shared" si="263"/>
        <v>0.26842698624144706</v>
      </c>
      <c r="BY106" s="48">
        <f t="shared" si="263"/>
        <v>1749.3691742886181</v>
      </c>
      <c r="BZ106" s="49">
        <f t="shared" si="263"/>
        <v>5.0745151837380288E-4</v>
      </c>
      <c r="CA106" s="64">
        <f t="shared" si="263"/>
        <v>3.8514939024390245</v>
      </c>
      <c r="CB106" s="50">
        <f t="shared" si="263"/>
        <v>6.7233075372590901E-3</v>
      </c>
      <c r="CC106" s="48">
        <f t="shared" si="263"/>
        <v>44.549674288617879</v>
      </c>
      <c r="CD106" s="49">
        <f t="shared" si="263"/>
        <v>0.49624946060736175</v>
      </c>
      <c r="CE106" s="49">
        <f t="shared" si="263"/>
        <v>0.3112093462044031</v>
      </c>
      <c r="CF106" s="49">
        <f t="shared" si="263"/>
        <v>0.29189884383901987</v>
      </c>
      <c r="CG106" s="64">
        <f t="shared" si="263"/>
        <v>2037.2342230691058</v>
      </c>
      <c r="CH106" s="50">
        <f t="shared" si="263"/>
        <v>0.72556951040202711</v>
      </c>
      <c r="CI106" s="50">
        <f t="shared" si="263"/>
        <v>0.45500453162437104</v>
      </c>
      <c r="CJ106" s="50">
        <f t="shared" si="263"/>
        <v>0.42023254461896276</v>
      </c>
      <c r="CK106" s="48">
        <f t="shared" si="263"/>
        <v>2998.6487698170731</v>
      </c>
      <c r="CL106" s="49">
        <f t="shared" si="263"/>
        <v>6.1865010463981567E-2</v>
      </c>
      <c r="CM106" s="49">
        <f t="shared" si="263"/>
        <v>3.8729366163563608E-2</v>
      </c>
      <c r="CN106" s="49">
        <f t="shared" si="263"/>
        <v>3.6023017012864485E-2</v>
      </c>
      <c r="CO106" s="64">
        <f t="shared" si="263"/>
        <v>256.31569918699188</v>
      </c>
      <c r="CP106" s="50">
        <f t="shared" ref="CP106:DW106" si="264">CP8</f>
        <v>9.1944558161031018E-2</v>
      </c>
      <c r="CQ106" s="50">
        <f t="shared" si="264"/>
        <v>5.7611557301534264E-2</v>
      </c>
      <c r="CR106" s="50">
        <f t="shared" si="264"/>
        <v>5.3828756139901478E-2</v>
      </c>
      <c r="CS106" s="48">
        <f t="shared" si="264"/>
        <v>378.29858079268297</v>
      </c>
      <c r="CT106" s="49">
        <f t="shared" si="264"/>
        <v>1.4192938122427152</v>
      </c>
      <c r="CU106" s="49">
        <f t="shared" si="264"/>
        <v>0.89009092567565262</v>
      </c>
      <c r="CV106" s="49">
        <f t="shared" si="264"/>
        <v>0.82822507308675342</v>
      </c>
      <c r="CW106" s="64">
        <f t="shared" si="264"/>
        <v>5844.5018749999999</v>
      </c>
      <c r="CX106" s="50">
        <f t="shared" si="264"/>
        <v>1.5121147127581598E-2</v>
      </c>
      <c r="CY106" s="50">
        <f t="shared" si="264"/>
        <v>8.7642924231686563E-3</v>
      </c>
      <c r="CZ106" s="48">
        <f t="shared" si="264"/>
        <v>15.55103655341785</v>
      </c>
      <c r="DA106" s="48">
        <f t="shared" si="264"/>
        <v>62.660232215447152</v>
      </c>
      <c r="DB106" s="49">
        <f t="shared" si="264"/>
        <v>1.5348270341859426E-3</v>
      </c>
      <c r="DC106" s="64">
        <f t="shared" si="264"/>
        <v>11.172918191056912</v>
      </c>
      <c r="DD106" s="50">
        <f t="shared" si="264"/>
        <v>1.0164059746095761E-2</v>
      </c>
      <c r="DE106" s="50">
        <f t="shared" si="264"/>
        <v>5.8921324351089979E-3</v>
      </c>
      <c r="DF106" s="48">
        <f t="shared" si="264"/>
        <v>8.374736106890353</v>
      </c>
      <c r="DG106" s="48">
        <f t="shared" si="264"/>
        <v>41.606029979674794</v>
      </c>
      <c r="DH106" s="49">
        <f t="shared" si="264"/>
        <v>9.5131066772831535E-3</v>
      </c>
      <c r="DI106" s="49">
        <f t="shared" si="264"/>
        <v>5.3625794898640791E-3</v>
      </c>
      <c r="DJ106" s="64">
        <f t="shared" si="264"/>
        <v>9.821466901945044</v>
      </c>
      <c r="DK106" s="50">
        <f t="shared" si="264"/>
        <v>3.7081425683757704E-2</v>
      </c>
      <c r="DL106" s="50">
        <f t="shared" si="264"/>
        <v>2.3190581647979561E-2</v>
      </c>
      <c r="DM106" s="50">
        <f t="shared" si="264"/>
        <v>2.1121937885792797E-2</v>
      </c>
      <c r="DN106" s="48">
        <f t="shared" si="264"/>
        <v>155.62491209349591</v>
      </c>
      <c r="DO106" s="49">
        <f t="shared" si="264"/>
        <v>1.8167272302645376E-2</v>
      </c>
      <c r="DP106" s="49">
        <f t="shared" si="264"/>
        <v>1.0525513538087975E-2</v>
      </c>
      <c r="DQ106" s="64">
        <f t="shared" si="264"/>
        <v>74.951894817073168</v>
      </c>
      <c r="DR106" s="65">
        <f t="shared" si="264"/>
        <v>1.4005916719890021E-2</v>
      </c>
      <c r="DS106" s="48">
        <f t="shared" si="264"/>
        <v>98.077457317073168</v>
      </c>
      <c r="DT106" s="49" t="e">
        <f t="shared" si="264"/>
        <v>#N/A</v>
      </c>
      <c r="DU106" s="49" t="e">
        <f t="shared" si="264"/>
        <v>#N/A</v>
      </c>
      <c r="DV106" s="49" t="e">
        <f t="shared" si="264"/>
        <v>#N/A</v>
      </c>
      <c r="DW106" s="64" t="e">
        <f t="shared" si="264"/>
        <v>#N/A</v>
      </c>
      <c r="DY106" s="64" t="e">
        <f>DY8</f>
        <v>#N/A</v>
      </c>
    </row>
    <row r="107" spans="1:256">
      <c r="C107" s="612" t="s">
        <v>411</v>
      </c>
      <c r="D107" s="605">
        <f t="shared" ref="D107:AI107" si="265">SUM(D9:D87)</f>
        <v>121068084.10999997</v>
      </c>
      <c r="E107" s="605">
        <f t="shared" si="265"/>
        <v>0</v>
      </c>
      <c r="F107" s="605">
        <f t="shared" si="265"/>
        <v>6720375.2400000002</v>
      </c>
      <c r="G107" s="605">
        <f t="shared" si="265"/>
        <v>0</v>
      </c>
      <c r="H107" s="605">
        <f t="shared" si="265"/>
        <v>9066463.3000000007</v>
      </c>
      <c r="I107" s="605">
        <f t="shared" si="265"/>
        <v>447017.60000000003</v>
      </c>
      <c r="J107" s="605">
        <f t="shared" si="265"/>
        <v>551517.61</v>
      </c>
      <c r="K107" s="605">
        <f t="shared" si="265"/>
        <v>3184842.4299999997</v>
      </c>
      <c r="L107" s="605">
        <f t="shared" si="265"/>
        <v>2724437.4299999997</v>
      </c>
      <c r="M107" s="605">
        <f t="shared" si="265"/>
        <v>754658.37999999989</v>
      </c>
      <c r="N107" s="605">
        <f t="shared" si="265"/>
        <v>287160.26999999996</v>
      </c>
      <c r="O107" s="605">
        <f t="shared" si="265"/>
        <v>2340715.3300000005</v>
      </c>
      <c r="P107" s="605">
        <f t="shared" si="265"/>
        <v>2544252.5000000014</v>
      </c>
      <c r="Q107" s="605">
        <f t="shared" si="265"/>
        <v>14004.68</v>
      </c>
      <c r="R107" s="605">
        <f t="shared" si="265"/>
        <v>1864723.1600000001</v>
      </c>
      <c r="S107" s="605">
        <f t="shared" si="265"/>
        <v>271825.58</v>
      </c>
      <c r="T107" s="605">
        <f t="shared" si="265"/>
        <v>4387000.68</v>
      </c>
      <c r="U107" s="605">
        <f t="shared" si="265"/>
        <v>65770022.960000008</v>
      </c>
      <c r="V107" s="605">
        <f t="shared" si="265"/>
        <v>417858.16000000015</v>
      </c>
      <c r="W107" s="605">
        <f t="shared" si="265"/>
        <v>30351521.739999995</v>
      </c>
      <c r="X107" s="605">
        <f t="shared" si="265"/>
        <v>3460355.5000000009</v>
      </c>
      <c r="Y107" s="605">
        <f t="shared" si="265"/>
        <v>5990708.8199999994</v>
      </c>
      <c r="Z107" s="605">
        <f t="shared" si="265"/>
        <v>309328.62</v>
      </c>
      <c r="AA107" s="605">
        <f t="shared" si="265"/>
        <v>3324496.6899999995</v>
      </c>
      <c r="AB107" s="605">
        <f t="shared" si="265"/>
        <v>1033806.7199999999</v>
      </c>
      <c r="AC107" s="605">
        <f t="shared" si="265"/>
        <v>745770.62999999966</v>
      </c>
      <c r="AD107" s="605">
        <f t="shared" si="265"/>
        <v>991731.49000000011</v>
      </c>
      <c r="AE107" s="605">
        <f t="shared" si="265"/>
        <v>245086.88999999998</v>
      </c>
      <c r="AF107" s="605">
        <f t="shared" si="265"/>
        <v>2563824.8200000008</v>
      </c>
      <c r="AG107" s="605">
        <f t="shared" si="265"/>
        <v>404303.01</v>
      </c>
      <c r="AH107" s="605">
        <f t="shared" si="265"/>
        <v>1795736.6300000004</v>
      </c>
      <c r="AI107" s="605">
        <f t="shared" si="265"/>
        <v>325001.56000000006</v>
      </c>
      <c r="AJ107" s="605">
        <f t="shared" ref="AJ107:BH107" si="266">SUM(AJ9:AJ87)</f>
        <v>1805341.0300000003</v>
      </c>
      <c r="AK107" s="605">
        <f t="shared" si="266"/>
        <v>720457.55999999994</v>
      </c>
      <c r="AL107" s="605">
        <f t="shared" si="266"/>
        <v>1022731.0499999997</v>
      </c>
      <c r="AM107" s="605">
        <f t="shared" si="266"/>
        <v>6465584.9900000002</v>
      </c>
      <c r="AN107" s="605">
        <f t="shared" si="266"/>
        <v>1530543.6399999994</v>
      </c>
      <c r="AO107" s="605">
        <f t="shared" si="266"/>
        <v>0</v>
      </c>
      <c r="AP107" s="605">
        <f t="shared" si="266"/>
        <v>1201692.6699999997</v>
      </c>
      <c r="AQ107" s="605">
        <f t="shared" si="266"/>
        <v>636726.84999999986</v>
      </c>
      <c r="AR107" s="605">
        <f t="shared" si="266"/>
        <v>911828.8899999999</v>
      </c>
      <c r="AS107" s="605">
        <f t="shared" si="266"/>
        <v>7365235.1099999994</v>
      </c>
      <c r="AT107" s="605">
        <f t="shared" si="266"/>
        <v>4828735.4300000006</v>
      </c>
      <c r="AU107" s="605">
        <f t="shared" si="266"/>
        <v>7099539.6299999999</v>
      </c>
      <c r="AV107" s="605">
        <f t="shared" si="266"/>
        <v>2895925.81</v>
      </c>
      <c r="AW107" s="605">
        <f t="shared" si="266"/>
        <v>0</v>
      </c>
      <c r="AX107" s="605">
        <f t="shared" si="266"/>
        <v>828249.67</v>
      </c>
      <c r="AY107" s="605">
        <f t="shared" si="266"/>
        <v>1690882.85</v>
      </c>
      <c r="AZ107" s="605">
        <f t="shared" si="266"/>
        <v>299846.98</v>
      </c>
      <c r="BA107" s="605">
        <f t="shared" si="266"/>
        <v>154090529.56</v>
      </c>
      <c r="BB107" s="605">
        <f t="shared" si="266"/>
        <v>155042146.56999999</v>
      </c>
      <c r="BC107" s="605">
        <f t="shared" si="266"/>
        <v>-951617.01000000257</v>
      </c>
      <c r="BD107" s="605">
        <f t="shared" si="266"/>
        <v>9654398</v>
      </c>
      <c r="BE107" s="605">
        <f t="shared" si="266"/>
        <v>8702780.9899999946</v>
      </c>
      <c r="BF107" s="605">
        <f t="shared" si="266"/>
        <v>28744</v>
      </c>
      <c r="BG107" s="123">
        <f t="shared" si="266"/>
        <v>141002120.11787745</v>
      </c>
      <c r="BH107" s="123">
        <f t="shared" si="266"/>
        <v>154327.50000000003</v>
      </c>
      <c r="BI107" t="s">
        <v>210</v>
      </c>
      <c r="BJ107" s="50">
        <f t="shared" ref="BJ107:CO107" si="267">BJ88</f>
        <v>0.78595470938385747</v>
      </c>
      <c r="BK107" s="48">
        <f t="shared" si="267"/>
        <v>4229.1507746862753</v>
      </c>
      <c r="BL107" s="50">
        <f t="shared" si="267"/>
        <v>0</v>
      </c>
      <c r="BM107" s="48">
        <f t="shared" si="267"/>
        <v>0</v>
      </c>
      <c r="BN107" s="50">
        <f t="shared" si="267"/>
        <v>4.0789270530019621E-2</v>
      </c>
      <c r="BO107" s="48">
        <f t="shared" si="267"/>
        <v>229.27327974081265</v>
      </c>
      <c r="BP107" s="50">
        <f t="shared" si="267"/>
        <v>0</v>
      </c>
      <c r="BQ107" s="48">
        <f t="shared" si="267"/>
        <v>0</v>
      </c>
      <c r="BR107" s="50">
        <f t="shared" si="267"/>
        <v>5.2707699730701212E-2</v>
      </c>
      <c r="BS107" s="48">
        <f t="shared" si="267"/>
        <v>293.66680316691287</v>
      </c>
      <c r="BT107" s="50">
        <f t="shared" si="267"/>
        <v>3.228423437149153E-3</v>
      </c>
      <c r="BU107" s="48">
        <f t="shared" si="267"/>
        <v>18.161250345060242</v>
      </c>
      <c r="BV107" s="50">
        <f t="shared" si="267"/>
        <v>4.0231184974941292E-3</v>
      </c>
      <c r="BW107" s="48">
        <f t="shared" si="267"/>
        <v>22.339121878273257</v>
      </c>
      <c r="BX107" s="50">
        <f t="shared" si="267"/>
        <v>2.0595346441591205E-2</v>
      </c>
      <c r="BY107" s="48">
        <f t="shared" si="267"/>
        <v>111.37675916377165</v>
      </c>
      <c r="BZ107" s="49">
        <f t="shared" si="267"/>
        <v>1.6447487468895284E-2</v>
      </c>
      <c r="CA107" s="64">
        <f t="shared" si="267"/>
        <v>86.749103812524567</v>
      </c>
      <c r="CB107" s="50">
        <f t="shared" si="267"/>
        <v>1.9826669359033797E-2</v>
      </c>
      <c r="CC107" s="48">
        <f t="shared" si="267"/>
        <v>107.03416705985134</v>
      </c>
      <c r="CD107" s="49">
        <f t="shared" si="267"/>
        <v>0.51579329198957347</v>
      </c>
      <c r="CE107" s="49">
        <f t="shared" si="267"/>
        <v>0.46700656859306872</v>
      </c>
      <c r="CF107" s="49">
        <f t="shared" si="267"/>
        <v>0.46429060623010765</v>
      </c>
      <c r="CG107" s="64">
        <f t="shared" si="267"/>
        <v>2507.1053880875706</v>
      </c>
      <c r="CH107" s="50">
        <f t="shared" si="267"/>
        <v>0.21136484376283995</v>
      </c>
      <c r="CI107" s="50">
        <f t="shared" si="267"/>
        <v>0.19171591544411376</v>
      </c>
      <c r="CJ107" s="50">
        <f t="shared" si="267"/>
        <v>0.1907564564814308</v>
      </c>
      <c r="CK107" s="48">
        <f t="shared" si="267"/>
        <v>1050.2888168968625</v>
      </c>
      <c r="CL107" s="49">
        <f t="shared" si="267"/>
        <v>2.5019535187101403E-2</v>
      </c>
      <c r="CM107" s="49">
        <f t="shared" si="267"/>
        <v>2.2661358357920342E-2</v>
      </c>
      <c r="CN107" s="49">
        <f t="shared" si="267"/>
        <v>2.2493684702538156E-2</v>
      </c>
      <c r="CO107" s="64">
        <f t="shared" si="267"/>
        <v>122.51714761669676</v>
      </c>
      <c r="CP107" s="50">
        <f t="shared" ref="CP107:DW107" si="268">CP88</f>
        <v>4.2881747739083105E-2</v>
      </c>
      <c r="CQ107" s="50">
        <f t="shared" si="268"/>
        <v>3.8617884869801264E-2</v>
      </c>
      <c r="CR107" s="50">
        <f t="shared" si="268"/>
        <v>3.8421118063075847E-2</v>
      </c>
      <c r="CS107" s="48">
        <f t="shared" si="268"/>
        <v>206.84616772152282</v>
      </c>
      <c r="CT107" s="49">
        <f t="shared" si="268"/>
        <v>0.78549919285101333</v>
      </c>
      <c r="CU107" s="49">
        <f t="shared" si="268"/>
        <v>0.71125389516488702</v>
      </c>
      <c r="CV107" s="49">
        <f t="shared" si="268"/>
        <v>0.70733319526421867</v>
      </c>
      <c r="CW107" s="64">
        <f t="shared" si="268"/>
        <v>3835.8568581271184</v>
      </c>
      <c r="CX107" s="50">
        <f t="shared" si="268"/>
        <v>1.8293819552963751E-2</v>
      </c>
      <c r="CY107" s="50">
        <f t="shared" si="268"/>
        <v>1.6483267673050653E-2</v>
      </c>
      <c r="CZ107" s="48">
        <f t="shared" si="268"/>
        <v>16.50206460700505</v>
      </c>
      <c r="DA107" s="48">
        <f t="shared" si="268"/>
        <v>90.237804233146903</v>
      </c>
      <c r="DB107" s="49">
        <f t="shared" si="268"/>
        <v>2.1333785455868877E-3</v>
      </c>
      <c r="DC107" s="64">
        <f t="shared" si="268"/>
        <v>11.549310841096805</v>
      </c>
      <c r="DD107" s="50">
        <f t="shared" si="268"/>
        <v>1.262720184678323E-2</v>
      </c>
      <c r="DE107" s="50">
        <f t="shared" si="268"/>
        <v>1.1375136162930621E-2</v>
      </c>
      <c r="DF107" s="48">
        <f t="shared" si="268"/>
        <v>11.658396458053126</v>
      </c>
      <c r="DG107" s="48">
        <f t="shared" si="268"/>
        <v>61.690628872840684</v>
      </c>
      <c r="DH107" s="49">
        <f t="shared" si="268"/>
        <v>7.9761913579932953E-3</v>
      </c>
      <c r="DI107" s="49">
        <f t="shared" si="268"/>
        <v>6.8041693358312826E-3</v>
      </c>
      <c r="DJ107" s="64">
        <f t="shared" si="268"/>
        <v>6.7428854199265418</v>
      </c>
      <c r="DK107" s="50">
        <f t="shared" si="268"/>
        <v>4.7953477901073557E-2</v>
      </c>
      <c r="DL107" s="50">
        <f t="shared" si="268"/>
        <v>4.3083195796938999E-2</v>
      </c>
      <c r="DM107" s="50">
        <f t="shared" si="268"/>
        <v>4.2877992421180733E-2</v>
      </c>
      <c r="DN107" s="48">
        <f t="shared" si="268"/>
        <v>231.01066426996567</v>
      </c>
      <c r="DO107" s="49">
        <f t="shared" si="268"/>
        <v>8.3921802673015862E-3</v>
      </c>
      <c r="DP107" s="49">
        <f t="shared" si="268"/>
        <v>7.6000816459437142E-3</v>
      </c>
      <c r="DQ107" s="64">
        <f t="shared" si="268"/>
        <v>41.230751577018765</v>
      </c>
      <c r="DR107" s="65">
        <f t="shared" si="268"/>
        <v>4.9309007374992969E-2</v>
      </c>
      <c r="DS107" s="48">
        <f t="shared" si="268"/>
        <v>263.87756976180827</v>
      </c>
      <c r="DT107" s="49" t="e">
        <f t="shared" si="268"/>
        <v>#VALUE!</v>
      </c>
      <c r="DU107" s="49" t="e">
        <f t="shared" si="268"/>
        <v>#VALUE!</v>
      </c>
      <c r="DV107" s="49" t="e">
        <f t="shared" si="268"/>
        <v>#VALUE!</v>
      </c>
      <c r="DW107" s="64" t="e">
        <f t="shared" si="268"/>
        <v>#VALUE!</v>
      </c>
      <c r="DY107" s="64">
        <f>DY88</f>
        <v>85.58552631578948</v>
      </c>
    </row>
    <row r="108" spans="1:256">
      <c r="C108" s="612" t="s">
        <v>412</v>
      </c>
      <c r="D108" s="605">
        <f t="shared" ref="D108:AI108" si="269">SUM(D89:D95)</f>
        <v>27248327.059999999</v>
      </c>
      <c r="E108" s="605">
        <f t="shared" si="269"/>
        <v>5811262</v>
      </c>
      <c r="F108" s="605">
        <f t="shared" si="269"/>
        <v>1850353.4700000002</v>
      </c>
      <c r="G108" s="605">
        <f t="shared" si="269"/>
        <v>0</v>
      </c>
      <c r="H108" s="605">
        <f t="shared" si="269"/>
        <v>1177607.02</v>
      </c>
      <c r="I108" s="605">
        <f t="shared" si="269"/>
        <v>552468.47999999998</v>
      </c>
      <c r="J108" s="605">
        <f t="shared" si="269"/>
        <v>37156.230000000003</v>
      </c>
      <c r="K108" s="605">
        <f t="shared" si="269"/>
        <v>317435.75000000006</v>
      </c>
      <c r="L108" s="605">
        <f t="shared" si="269"/>
        <v>475267.47000000003</v>
      </c>
      <c r="M108" s="605">
        <f t="shared" si="269"/>
        <v>25137</v>
      </c>
      <c r="N108" s="605">
        <f t="shared" si="269"/>
        <v>6580.03</v>
      </c>
      <c r="O108" s="605">
        <f t="shared" si="269"/>
        <v>1189367.2999999998</v>
      </c>
      <c r="P108" s="605">
        <f t="shared" si="269"/>
        <v>1204200.3099999998</v>
      </c>
      <c r="Q108" s="605">
        <f t="shared" si="269"/>
        <v>0</v>
      </c>
      <c r="R108" s="605">
        <f t="shared" si="269"/>
        <v>0</v>
      </c>
      <c r="S108" s="605">
        <f t="shared" si="269"/>
        <v>0</v>
      </c>
      <c r="T108" s="605">
        <f t="shared" si="269"/>
        <v>173009.37</v>
      </c>
      <c r="U108" s="605">
        <f t="shared" si="269"/>
        <v>21685286.689999998</v>
      </c>
      <c r="V108" s="605">
        <f t="shared" si="269"/>
        <v>103225.68000000001</v>
      </c>
      <c r="W108" s="605">
        <f t="shared" si="269"/>
        <v>4371795.5599999996</v>
      </c>
      <c r="X108" s="605">
        <f t="shared" si="269"/>
        <v>757910.84</v>
      </c>
      <c r="Y108" s="605">
        <f t="shared" si="269"/>
        <v>2724058.1599999997</v>
      </c>
      <c r="Z108" s="605">
        <f t="shared" si="269"/>
        <v>68133.84</v>
      </c>
      <c r="AA108" s="605">
        <f t="shared" si="269"/>
        <v>207199.33</v>
      </c>
      <c r="AB108" s="605">
        <f t="shared" si="269"/>
        <v>340097.48</v>
      </c>
      <c r="AC108" s="605">
        <f t="shared" si="269"/>
        <v>237785.69</v>
      </c>
      <c r="AD108" s="605">
        <f t="shared" si="269"/>
        <v>55533.599999999999</v>
      </c>
      <c r="AE108" s="605">
        <f t="shared" si="269"/>
        <v>32133.610000000004</v>
      </c>
      <c r="AF108" s="605">
        <f t="shared" si="269"/>
        <v>739114.80999999994</v>
      </c>
      <c r="AG108" s="605">
        <f t="shared" si="269"/>
        <v>107673.41999999998</v>
      </c>
      <c r="AH108" s="605">
        <f t="shared" si="269"/>
        <v>566735.38</v>
      </c>
      <c r="AI108" s="605">
        <f t="shared" si="269"/>
        <v>49754.5</v>
      </c>
      <c r="AJ108" s="605">
        <f t="shared" ref="AJ108:BH108" si="270">SUM(AJ89:AJ95)</f>
        <v>664749.32999999996</v>
      </c>
      <c r="AK108" s="605">
        <f t="shared" si="270"/>
        <v>54891</v>
      </c>
      <c r="AL108" s="605">
        <f t="shared" si="270"/>
        <v>354023.67000000004</v>
      </c>
      <c r="AM108" s="605">
        <f t="shared" si="270"/>
        <v>1706291.1099999999</v>
      </c>
      <c r="AN108" s="605">
        <f t="shared" si="270"/>
        <v>572428.18000000005</v>
      </c>
      <c r="AO108" s="605">
        <f t="shared" si="270"/>
        <v>735866.0199999999</v>
      </c>
      <c r="AP108" s="605">
        <f t="shared" si="270"/>
        <v>498636.45</v>
      </c>
      <c r="AQ108" s="605">
        <f t="shared" si="270"/>
        <v>265210.71000000002</v>
      </c>
      <c r="AR108" s="605">
        <f t="shared" si="270"/>
        <v>5414.0300000000007</v>
      </c>
      <c r="AS108" s="605">
        <f t="shared" si="270"/>
        <v>625167.3600000001</v>
      </c>
      <c r="AT108" s="605">
        <f t="shared" si="270"/>
        <v>621288.84000000008</v>
      </c>
      <c r="AU108" s="605">
        <f t="shared" si="270"/>
        <v>810750.45</v>
      </c>
      <c r="AV108" s="605">
        <f t="shared" si="270"/>
        <v>944829.01</v>
      </c>
      <c r="AW108" s="605">
        <f t="shared" si="270"/>
        <v>0</v>
      </c>
      <c r="AX108" s="605">
        <f t="shared" si="270"/>
        <v>559762.74</v>
      </c>
      <c r="AY108" s="605">
        <f t="shared" si="270"/>
        <v>0</v>
      </c>
      <c r="AZ108" s="605">
        <f t="shared" si="270"/>
        <v>0</v>
      </c>
      <c r="BA108" s="605">
        <f t="shared" si="270"/>
        <v>40068171.490000002</v>
      </c>
      <c r="BB108" s="605">
        <f t="shared" si="270"/>
        <v>40465747.490000002</v>
      </c>
      <c r="BC108" s="605">
        <f t="shared" si="270"/>
        <v>-397576.00000000279</v>
      </c>
      <c r="BD108" s="605">
        <f t="shared" si="270"/>
        <v>1772874</v>
      </c>
      <c r="BE108" s="605">
        <f t="shared" si="270"/>
        <v>1375297.9999999972</v>
      </c>
      <c r="BF108" s="123">
        <f t="shared" si="270"/>
        <v>5718</v>
      </c>
      <c r="BG108" s="123">
        <f t="shared" si="270"/>
        <v>34952667.651835524</v>
      </c>
      <c r="BH108" s="123">
        <f t="shared" si="270"/>
        <v>63482</v>
      </c>
      <c r="BI108" t="s">
        <v>212</v>
      </c>
      <c r="BJ108" s="50">
        <f t="shared" ref="BJ108:CO108" si="271">BJ96</f>
        <v>0.69599692868099194</v>
      </c>
      <c r="BK108" s="48">
        <f t="shared" si="271"/>
        <v>5956.0323645181807</v>
      </c>
      <c r="BL108" s="50">
        <f t="shared" si="271"/>
        <v>0.1458198419852971</v>
      </c>
      <c r="BM108" s="48">
        <f t="shared" si="271"/>
        <v>1067.4937682955617</v>
      </c>
      <c r="BN108" s="50">
        <f t="shared" si="271"/>
        <v>3.6823137119607073E-2</v>
      </c>
      <c r="BO108" s="48">
        <f t="shared" si="271"/>
        <v>308.3427293979089</v>
      </c>
      <c r="BP108" s="50">
        <f t="shared" si="271"/>
        <v>0</v>
      </c>
      <c r="BQ108" s="48">
        <f t="shared" si="271"/>
        <v>0</v>
      </c>
      <c r="BR108" s="50">
        <f t="shared" si="271"/>
        <v>3.3656938003154287E-2</v>
      </c>
      <c r="BS108" s="48">
        <f t="shared" si="271"/>
        <v>310.33302085712046</v>
      </c>
      <c r="BT108" s="50">
        <f t="shared" si="271"/>
        <v>1.2117593740279512E-2</v>
      </c>
      <c r="BU108" s="48">
        <f t="shared" si="271"/>
        <v>92.150245485995029</v>
      </c>
      <c r="BV108" s="50">
        <f t="shared" si="271"/>
        <v>9.5311630866545371E-4</v>
      </c>
      <c r="BW108" s="48">
        <f t="shared" si="271"/>
        <v>6.5427426460873521</v>
      </c>
      <c r="BX108" s="50">
        <f t="shared" si="271"/>
        <v>1.2809710997373571E-2</v>
      </c>
      <c r="BY108" s="48">
        <f t="shared" si="271"/>
        <v>159.42874290060462</v>
      </c>
      <c r="BZ108" s="49">
        <f t="shared" si="271"/>
        <v>2.0335342434073606E-2</v>
      </c>
      <c r="CA108" s="64">
        <f t="shared" si="271"/>
        <v>163.09390117716381</v>
      </c>
      <c r="CB108" s="50">
        <f t="shared" si="271"/>
        <v>2.530073253226597E-2</v>
      </c>
      <c r="CC108" s="48">
        <f t="shared" si="271"/>
        <v>200.35559170937094</v>
      </c>
      <c r="CD108" s="49">
        <f t="shared" si="271"/>
        <v>0.64315849047056772</v>
      </c>
      <c r="CE108" s="49">
        <f t="shared" si="271"/>
        <v>0.57198634585752495</v>
      </c>
      <c r="CF108" s="49">
        <f t="shared" si="271"/>
        <v>0.55898944469674683</v>
      </c>
      <c r="CG108" s="64">
        <f t="shared" si="271"/>
        <v>4791.0901642813133</v>
      </c>
      <c r="CH108" s="50">
        <f t="shared" si="271"/>
        <v>0.1141480165013269</v>
      </c>
      <c r="CI108" s="50">
        <f t="shared" si="271"/>
        <v>0.10004803982635178</v>
      </c>
      <c r="CJ108" s="50">
        <f t="shared" si="271"/>
        <v>9.8544052176427185E-2</v>
      </c>
      <c r="CK108" s="48">
        <f t="shared" si="271"/>
        <v>818.45806537163423</v>
      </c>
      <c r="CL108" s="49">
        <f t="shared" si="271"/>
        <v>2.5646233920913728E-2</v>
      </c>
      <c r="CM108" s="49">
        <f t="shared" si="271"/>
        <v>2.307765015190788E-2</v>
      </c>
      <c r="CN108" s="49">
        <f t="shared" si="271"/>
        <v>2.2186550631197677E-2</v>
      </c>
      <c r="CO108" s="64">
        <f t="shared" si="271"/>
        <v>228.66073318096483</v>
      </c>
      <c r="CP108" s="50">
        <f t="shared" ref="CP108:DW108" si="272">CP96</f>
        <v>8.0457682079999454E-2</v>
      </c>
      <c r="CQ108" s="50">
        <f t="shared" si="272"/>
        <v>7.1864214059329176E-2</v>
      </c>
      <c r="CR108" s="50">
        <f t="shared" si="272"/>
        <v>7.0095691029704893E-2</v>
      </c>
      <c r="CS108" s="48">
        <f t="shared" si="272"/>
        <v>603.72803458503427</v>
      </c>
      <c r="CT108" s="49">
        <f t="shared" si="272"/>
        <v>0.85452777752081099</v>
      </c>
      <c r="CU108" s="49">
        <f t="shared" si="272"/>
        <v>0.75906147350076447</v>
      </c>
      <c r="CV108" s="49">
        <f t="shared" si="272"/>
        <v>0.74204318793950752</v>
      </c>
      <c r="CW108" s="64">
        <f t="shared" si="272"/>
        <v>6371.9476910529293</v>
      </c>
      <c r="CX108" s="50">
        <f t="shared" si="272"/>
        <v>2.4089363562366829E-2</v>
      </c>
      <c r="CY108" s="50">
        <f t="shared" si="272"/>
        <v>2.0607317219904619E-2</v>
      </c>
      <c r="CZ108" s="48">
        <f t="shared" si="272"/>
        <v>11.553331331871011</v>
      </c>
      <c r="DA108" s="48">
        <f t="shared" si="272"/>
        <v>220.08235839477439</v>
      </c>
      <c r="DB108" s="49">
        <f t="shared" si="272"/>
        <v>1.8855914504794825E-3</v>
      </c>
      <c r="DC108" s="64">
        <f t="shared" si="272"/>
        <v>24.52928411745151</v>
      </c>
      <c r="DD108" s="50">
        <f t="shared" si="272"/>
        <v>1.9172357984341182E-2</v>
      </c>
      <c r="DE108" s="50">
        <f t="shared" si="272"/>
        <v>1.6615296920824123E-2</v>
      </c>
      <c r="DF108" s="48">
        <f t="shared" si="272"/>
        <v>10.442076688734064</v>
      </c>
      <c r="DG108" s="48">
        <f t="shared" si="272"/>
        <v>148.8988700396564</v>
      </c>
      <c r="DH108" s="49">
        <f t="shared" si="272"/>
        <v>1.0163964623626325E-2</v>
      </c>
      <c r="DI108" s="49">
        <f t="shared" si="272"/>
        <v>8.5570939570084395E-3</v>
      </c>
      <c r="DJ108" s="64">
        <f t="shared" si="272"/>
        <v>5.1948360166120997</v>
      </c>
      <c r="DK108" s="50">
        <f t="shared" si="272"/>
        <v>4.4459472746255592E-2</v>
      </c>
      <c r="DL108" s="50">
        <f t="shared" si="272"/>
        <v>3.7866366018709394E-2</v>
      </c>
      <c r="DM108" s="50">
        <f t="shared" si="272"/>
        <v>3.7115674909515298E-2</v>
      </c>
      <c r="DN108" s="48">
        <f t="shared" si="272"/>
        <v>315.47317842677319</v>
      </c>
      <c r="DO108" s="49">
        <f t="shared" si="272"/>
        <v>1.3366352475588594E-2</v>
      </c>
      <c r="DP108" s="49">
        <f t="shared" si="272"/>
        <v>1.1832209886939076E-2</v>
      </c>
      <c r="DQ108" s="64">
        <f t="shared" si="272"/>
        <v>94.07733853300256</v>
      </c>
      <c r="DR108" s="65">
        <f t="shared" si="272"/>
        <v>1.4562029650805783E-2</v>
      </c>
      <c r="DS108" s="48">
        <f t="shared" si="272"/>
        <v>108.62741864163104</v>
      </c>
      <c r="DT108" s="49">
        <f t="shared" si="272"/>
        <v>3.6931663885349251E-5</v>
      </c>
      <c r="DU108" s="49">
        <f t="shared" si="272"/>
        <v>3.41239130377353E-5</v>
      </c>
      <c r="DV108" s="49">
        <f t="shared" si="272"/>
        <v>3.3128292116216807E-5</v>
      </c>
      <c r="DW108" s="64">
        <f t="shared" si="272"/>
        <v>0.31525065011270359</v>
      </c>
      <c r="DY108" s="64">
        <f>DY96</f>
        <v>170.28571428571428</v>
      </c>
    </row>
    <row r="109" spans="1:256">
      <c r="C109" s="612" t="s">
        <v>413</v>
      </c>
      <c r="D109" s="605">
        <f t="shared" ref="D109:AI109" si="273">SUM(D97:D100)</f>
        <v>4039403.96</v>
      </c>
      <c r="E109" s="605">
        <f t="shared" si="273"/>
        <v>726500</v>
      </c>
      <c r="F109" s="605">
        <f t="shared" si="273"/>
        <v>5805691.7300000004</v>
      </c>
      <c r="G109" s="605">
        <f t="shared" si="273"/>
        <v>0</v>
      </c>
      <c r="H109" s="605">
        <f t="shared" si="273"/>
        <v>184585.52000000002</v>
      </c>
      <c r="I109" s="605">
        <f t="shared" si="273"/>
        <v>236661.86</v>
      </c>
      <c r="J109" s="605">
        <f t="shared" si="273"/>
        <v>350110</v>
      </c>
      <c r="K109" s="605">
        <f t="shared" si="273"/>
        <v>188042.15999999997</v>
      </c>
      <c r="L109" s="605">
        <f t="shared" si="273"/>
        <v>49638.12999999999</v>
      </c>
      <c r="M109" s="605">
        <f t="shared" si="273"/>
        <v>51050.09</v>
      </c>
      <c r="N109" s="605">
        <f t="shared" si="273"/>
        <v>27863.57</v>
      </c>
      <c r="O109" s="605">
        <f t="shared" si="273"/>
        <v>22438.649999999998</v>
      </c>
      <c r="P109" s="605">
        <f t="shared" si="273"/>
        <v>83863.37</v>
      </c>
      <c r="Q109" s="605">
        <f t="shared" si="273"/>
        <v>42160</v>
      </c>
      <c r="R109" s="605">
        <f t="shared" si="273"/>
        <v>0</v>
      </c>
      <c r="S109" s="605">
        <f t="shared" si="273"/>
        <v>60540.5</v>
      </c>
      <c r="T109" s="605">
        <f t="shared" si="273"/>
        <v>47765.51</v>
      </c>
      <c r="U109" s="605">
        <f t="shared" si="273"/>
        <v>4883052.99</v>
      </c>
      <c r="V109" s="605">
        <f t="shared" si="273"/>
        <v>0</v>
      </c>
      <c r="W109" s="605">
        <f t="shared" si="273"/>
        <v>3538294.3499999996</v>
      </c>
      <c r="X109" s="605">
        <f t="shared" si="273"/>
        <v>192462.27</v>
      </c>
      <c r="Y109" s="605">
        <f t="shared" si="273"/>
        <v>317821.65999999997</v>
      </c>
      <c r="Z109" s="605">
        <f t="shared" si="273"/>
        <v>7876.01</v>
      </c>
      <c r="AA109" s="605">
        <f t="shared" si="273"/>
        <v>261541.02000000002</v>
      </c>
      <c r="AB109" s="605">
        <f t="shared" si="273"/>
        <v>86502.14</v>
      </c>
      <c r="AC109" s="605">
        <f t="shared" si="273"/>
        <v>82360.72</v>
      </c>
      <c r="AD109" s="605">
        <f t="shared" si="273"/>
        <v>59495.789999999994</v>
      </c>
      <c r="AE109" s="605">
        <f t="shared" si="273"/>
        <v>15142.04</v>
      </c>
      <c r="AF109" s="605">
        <f t="shared" si="273"/>
        <v>157149.00999999998</v>
      </c>
      <c r="AG109" s="605">
        <f t="shared" si="273"/>
        <v>10545.779999999999</v>
      </c>
      <c r="AH109" s="605">
        <f t="shared" si="273"/>
        <v>74551.59</v>
      </c>
      <c r="AI109" s="605">
        <f t="shared" si="273"/>
        <v>20914.989999999998</v>
      </c>
      <c r="AJ109" s="605">
        <f t="shared" ref="AJ109:BH109" si="274">SUM(AJ97:AJ100)</f>
        <v>122416.94000000002</v>
      </c>
      <c r="AK109" s="605">
        <f t="shared" si="274"/>
        <v>0</v>
      </c>
      <c r="AL109" s="605">
        <f t="shared" si="274"/>
        <v>44852.7</v>
      </c>
      <c r="AM109" s="605">
        <f t="shared" si="274"/>
        <v>317430.43</v>
      </c>
      <c r="AN109" s="605">
        <f t="shared" si="274"/>
        <v>77827.08</v>
      </c>
      <c r="AO109" s="605">
        <f t="shared" si="274"/>
        <v>7247.63</v>
      </c>
      <c r="AP109" s="605">
        <f t="shared" si="274"/>
        <v>53266.39</v>
      </c>
      <c r="AQ109" s="605">
        <f t="shared" si="274"/>
        <v>34627.08</v>
      </c>
      <c r="AR109" s="605">
        <f t="shared" si="274"/>
        <v>58567.020000000004</v>
      </c>
      <c r="AS109" s="605">
        <f t="shared" si="274"/>
        <v>114029.51999999999</v>
      </c>
      <c r="AT109" s="605">
        <f t="shared" si="274"/>
        <v>90366</v>
      </c>
      <c r="AU109" s="605">
        <f t="shared" si="274"/>
        <v>1062725.55</v>
      </c>
      <c r="AV109" s="605">
        <f t="shared" si="274"/>
        <v>146194</v>
      </c>
      <c r="AW109" s="605">
        <f t="shared" si="274"/>
        <v>0</v>
      </c>
      <c r="AX109" s="605">
        <f t="shared" si="274"/>
        <v>0</v>
      </c>
      <c r="AY109" s="605">
        <f t="shared" si="274"/>
        <v>69816.34</v>
      </c>
      <c r="AZ109" s="605">
        <f t="shared" si="274"/>
        <v>24421.01</v>
      </c>
      <c r="BA109" s="605">
        <f t="shared" si="274"/>
        <v>11855774.550000001</v>
      </c>
      <c r="BB109" s="605">
        <f t="shared" si="274"/>
        <v>11837260.699999999</v>
      </c>
      <c r="BC109" s="605">
        <f t="shared" si="274"/>
        <v>18513.850000001024</v>
      </c>
      <c r="BD109" s="605">
        <f t="shared" si="274"/>
        <v>511887</v>
      </c>
      <c r="BE109" s="605">
        <f t="shared" si="274"/>
        <v>530400.85000000102</v>
      </c>
      <c r="BF109" s="123">
        <f t="shared" si="274"/>
        <v>456</v>
      </c>
      <c r="BG109" s="123">
        <f t="shared" si="274"/>
        <v>10535289.528333332</v>
      </c>
      <c r="BH109" s="123">
        <f t="shared" si="274"/>
        <v>9279</v>
      </c>
      <c r="BI109" t="s">
        <v>214</v>
      </c>
      <c r="BJ109" s="50">
        <f t="shared" ref="BJ109:CO109" si="275">BJ101</f>
        <v>0.34363517420957446</v>
      </c>
      <c r="BK109" s="48">
        <f t="shared" si="275"/>
        <v>8933.4771740184915</v>
      </c>
      <c r="BL109" s="50">
        <f t="shared" si="275"/>
        <v>5.5009626317469099E-2</v>
      </c>
      <c r="BM109" s="48">
        <f t="shared" si="275"/>
        <v>1544.4231327358088</v>
      </c>
      <c r="BN109" s="50">
        <f t="shared" si="275"/>
        <v>0.50137418211413665</v>
      </c>
      <c r="BO109" s="48">
        <f t="shared" si="275"/>
        <v>13730.703678101501</v>
      </c>
      <c r="BP109" s="50">
        <f t="shared" si="275"/>
        <v>0</v>
      </c>
      <c r="BQ109" s="48">
        <f t="shared" si="275"/>
        <v>0</v>
      </c>
      <c r="BR109" s="50">
        <f t="shared" si="275"/>
        <v>1.6517522349337614E-2</v>
      </c>
      <c r="BS109" s="48">
        <f t="shared" si="275"/>
        <v>417.79970101568892</v>
      </c>
      <c r="BT109" s="50">
        <f t="shared" si="275"/>
        <v>1.874075124720205E-2</v>
      </c>
      <c r="BU109" s="48">
        <f t="shared" si="275"/>
        <v>498.58862263714286</v>
      </c>
      <c r="BV109" s="50">
        <f t="shared" si="275"/>
        <v>2.2524460103362509E-2</v>
      </c>
      <c r="BW109" s="48">
        <f t="shared" si="275"/>
        <v>552.89849310182296</v>
      </c>
      <c r="BX109" s="50">
        <f t="shared" si="275"/>
        <v>1.5834608371013442E-2</v>
      </c>
      <c r="BY109" s="48">
        <f t="shared" si="275"/>
        <v>396.07593976287643</v>
      </c>
      <c r="BZ109" s="49">
        <f t="shared" si="275"/>
        <v>1.4666223198397605E-3</v>
      </c>
      <c r="CA109" s="64">
        <f t="shared" si="275"/>
        <v>36.285097255165368</v>
      </c>
      <c r="CB109" s="50">
        <f t="shared" si="275"/>
        <v>5.7925352557987708E-3</v>
      </c>
      <c r="CC109" s="48">
        <f t="shared" si="275"/>
        <v>149.07697993889101</v>
      </c>
      <c r="CD109" s="49">
        <f t="shared" si="275"/>
        <v>0.46406871336070665</v>
      </c>
      <c r="CE109" s="49">
        <f t="shared" si="275"/>
        <v>0.41357162179756601</v>
      </c>
      <c r="CF109" s="49">
        <f t="shared" si="275"/>
        <v>0.41281293919002354</v>
      </c>
      <c r="CG109" s="64">
        <f t="shared" si="275"/>
        <v>11102.886784088534</v>
      </c>
      <c r="CH109" s="50">
        <f t="shared" si="275"/>
        <v>0.35099463798243813</v>
      </c>
      <c r="CI109" s="50">
        <f t="shared" si="275"/>
        <v>0.31523146207878255</v>
      </c>
      <c r="CJ109" s="50">
        <f t="shared" si="275"/>
        <v>0.31436107354536452</v>
      </c>
      <c r="CK109" s="48">
        <f t="shared" si="275"/>
        <v>8660.3248866520735</v>
      </c>
      <c r="CL109" s="49">
        <f t="shared" si="275"/>
        <v>1.8234291774044738E-2</v>
      </c>
      <c r="CM109" s="49">
        <f t="shared" si="275"/>
        <v>1.6251191981452438E-2</v>
      </c>
      <c r="CN109" s="49">
        <f t="shared" si="275"/>
        <v>1.6147630587445873E-2</v>
      </c>
      <c r="CO109" s="64">
        <f t="shared" si="275"/>
        <v>447.63784481421919</v>
      </c>
      <c r="CP109" s="50">
        <f t="shared" ref="CP109:DW109" si="276">CP101</f>
        <v>2.8606125126706867E-2</v>
      </c>
      <c r="CQ109" s="50">
        <f t="shared" si="276"/>
        <v>2.5404522314453899E-2</v>
      </c>
      <c r="CR109" s="50">
        <f t="shared" si="276"/>
        <v>2.5449415921340181E-2</v>
      </c>
      <c r="CS109" s="48">
        <f t="shared" si="276"/>
        <v>654.21557959619906</v>
      </c>
      <c r="CT109" s="49">
        <f t="shared" si="276"/>
        <v>0.87871323353461483</v>
      </c>
      <c r="CU109" s="49">
        <f t="shared" si="276"/>
        <v>0.78538482301509083</v>
      </c>
      <c r="CV109" s="49">
        <f t="shared" si="276"/>
        <v>0.78351654984132491</v>
      </c>
      <c r="CW109" s="64">
        <f t="shared" si="276"/>
        <v>21302.566510349196</v>
      </c>
      <c r="CX109" s="50">
        <f t="shared" si="276"/>
        <v>1.6159253436985252E-2</v>
      </c>
      <c r="CY109" s="50">
        <f t="shared" si="276"/>
        <v>1.4667397896556364E-2</v>
      </c>
      <c r="CZ109" s="66">
        <f t="shared" si="276"/>
        <v>18.296217536535845</v>
      </c>
      <c r="DA109" s="66">
        <f t="shared" si="276"/>
        <v>377.09707516616982</v>
      </c>
      <c r="DB109" s="49">
        <f t="shared" si="276"/>
        <v>1.8169922831009328E-3</v>
      </c>
      <c r="DC109" s="67">
        <f t="shared" si="276"/>
        <v>49.343476952589135</v>
      </c>
      <c r="DD109" s="50">
        <f t="shared" si="276"/>
        <v>1.2569652839358337E-2</v>
      </c>
      <c r="DE109" s="50">
        <f t="shared" si="276"/>
        <v>1.1382959657100032E-2</v>
      </c>
      <c r="DF109" s="66">
        <f t="shared" si="276"/>
        <v>13.613172680015854</v>
      </c>
      <c r="DG109" s="66">
        <f t="shared" si="276"/>
        <v>290.77859723131922</v>
      </c>
      <c r="DH109" s="49">
        <f t="shared" si="276"/>
        <v>4.2641520149719484E-3</v>
      </c>
      <c r="DI109" s="49">
        <f t="shared" si="276"/>
        <v>3.8181473996755496E-3</v>
      </c>
      <c r="DJ109" s="67">
        <f t="shared" si="276"/>
        <v>6.1269033076259785</v>
      </c>
      <c r="DK109" s="50">
        <f t="shared" si="276"/>
        <v>2.8639226259621873E-2</v>
      </c>
      <c r="DL109" s="50">
        <f t="shared" si="276"/>
        <v>2.5434986786083427E-2</v>
      </c>
      <c r="DM109" s="50">
        <f t="shared" si="276"/>
        <v>2.5457213306185372E-2</v>
      </c>
      <c r="DN109" s="66">
        <f t="shared" si="276"/>
        <v>691.37908626051956</v>
      </c>
      <c r="DO109" s="49">
        <f t="shared" si="276"/>
        <v>4.8413964427847624E-3</v>
      </c>
      <c r="DP109" s="49">
        <f t="shared" si="276"/>
        <v>4.3473605586976955E-3</v>
      </c>
      <c r="DQ109" s="67">
        <f t="shared" si="276"/>
        <v>114.28302138339227</v>
      </c>
      <c r="DR109" s="50">
        <f t="shared" si="276"/>
        <v>9.8137583108194888E-3</v>
      </c>
      <c r="DS109" s="66">
        <f t="shared" si="276"/>
        <v>257.47193316795244</v>
      </c>
      <c r="DT109" s="49">
        <f t="shared" si="276"/>
        <v>1.5659523140599918E-5</v>
      </c>
      <c r="DU109" s="49">
        <f t="shared" si="276"/>
        <v>1.4060817546844068E-5</v>
      </c>
      <c r="DV109" s="49">
        <f t="shared" si="276"/>
        <v>1.4072834923679724E-5</v>
      </c>
      <c r="DW109" s="64">
        <f t="shared" si="276"/>
        <v>0.36189206775676408</v>
      </c>
      <c r="DY109" s="64">
        <f>DY101</f>
        <v>40</v>
      </c>
    </row>
    <row r="110" spans="1:256">
      <c r="C110" s="612" t="s">
        <v>692</v>
      </c>
      <c r="D110" s="605">
        <f t="shared" ref="D110:AI110" si="277">SUM(D102:D103)</f>
        <v>1652760</v>
      </c>
      <c r="E110" s="605">
        <f t="shared" si="277"/>
        <v>0</v>
      </c>
      <c r="F110" s="605">
        <f t="shared" si="277"/>
        <v>905614</v>
      </c>
      <c r="G110" s="605">
        <f t="shared" si="277"/>
        <v>0</v>
      </c>
      <c r="H110" s="605">
        <f t="shared" si="277"/>
        <v>164270.13</v>
      </c>
      <c r="I110" s="605">
        <f t="shared" si="277"/>
        <v>212894.28999999998</v>
      </c>
      <c r="J110" s="605">
        <f t="shared" si="277"/>
        <v>29341.84</v>
      </c>
      <c r="K110" s="605">
        <f t="shared" si="277"/>
        <v>76864.78</v>
      </c>
      <c r="L110" s="605">
        <f t="shared" si="277"/>
        <v>185</v>
      </c>
      <c r="M110" s="605">
        <f t="shared" si="277"/>
        <v>23940</v>
      </c>
      <c r="N110" s="605">
        <f t="shared" si="277"/>
        <v>1365</v>
      </c>
      <c r="O110" s="605">
        <f t="shared" si="277"/>
        <v>40</v>
      </c>
      <c r="P110" s="605">
        <f t="shared" si="277"/>
        <v>1303.5899999999999</v>
      </c>
      <c r="Q110" s="605">
        <f t="shared" si="277"/>
        <v>0</v>
      </c>
      <c r="R110" s="605">
        <f t="shared" si="277"/>
        <v>0</v>
      </c>
      <c r="S110" s="605">
        <f t="shared" si="277"/>
        <v>0</v>
      </c>
      <c r="T110" s="605">
        <f t="shared" si="277"/>
        <v>5186</v>
      </c>
      <c r="U110" s="605">
        <f t="shared" si="277"/>
        <v>1686598.68</v>
      </c>
      <c r="V110" s="605">
        <f t="shared" si="277"/>
        <v>48095.8</v>
      </c>
      <c r="W110" s="605">
        <f t="shared" si="277"/>
        <v>359822.58999999997</v>
      </c>
      <c r="X110" s="605">
        <f t="shared" si="277"/>
        <v>32756.880000000001</v>
      </c>
      <c r="Y110" s="605">
        <f t="shared" si="277"/>
        <v>104592.54000000001</v>
      </c>
      <c r="Z110" s="605">
        <f t="shared" si="277"/>
        <v>0</v>
      </c>
      <c r="AA110" s="605">
        <f t="shared" si="277"/>
        <v>0</v>
      </c>
      <c r="AB110" s="605">
        <f t="shared" si="277"/>
        <v>15143.57</v>
      </c>
      <c r="AC110" s="605">
        <f t="shared" si="277"/>
        <v>8276.92</v>
      </c>
      <c r="AD110" s="605">
        <f t="shared" si="277"/>
        <v>10246.11</v>
      </c>
      <c r="AE110" s="605">
        <f t="shared" si="277"/>
        <v>1229</v>
      </c>
      <c r="AF110" s="605">
        <f t="shared" si="277"/>
        <v>13167.1</v>
      </c>
      <c r="AG110" s="605">
        <f t="shared" si="277"/>
        <v>3407.5</v>
      </c>
      <c r="AH110" s="605">
        <f t="shared" si="277"/>
        <v>14215.3</v>
      </c>
      <c r="AI110" s="605">
        <f t="shared" si="277"/>
        <v>1351.42</v>
      </c>
      <c r="AJ110" s="605">
        <f t="shared" ref="AJ110:BH110" si="278">SUM(AJ102:AJ103)</f>
        <v>11838.18</v>
      </c>
      <c r="AK110" s="605">
        <f t="shared" si="278"/>
        <v>0</v>
      </c>
      <c r="AL110" s="605">
        <f t="shared" si="278"/>
        <v>15271.68</v>
      </c>
      <c r="AM110" s="605">
        <f t="shared" si="278"/>
        <v>41160.21</v>
      </c>
      <c r="AN110" s="605">
        <f t="shared" si="278"/>
        <v>28327.559999999998</v>
      </c>
      <c r="AO110" s="605">
        <f t="shared" si="278"/>
        <v>15193.16</v>
      </c>
      <c r="AP110" s="605">
        <f t="shared" si="278"/>
        <v>27349.07</v>
      </c>
      <c r="AQ110" s="605">
        <f t="shared" si="278"/>
        <v>1927</v>
      </c>
      <c r="AR110" s="605">
        <f t="shared" si="278"/>
        <v>14132.99</v>
      </c>
      <c r="AS110" s="605">
        <f t="shared" si="278"/>
        <v>31729.32</v>
      </c>
      <c r="AT110" s="605">
        <f t="shared" si="278"/>
        <v>182288.09</v>
      </c>
      <c r="AU110" s="605">
        <f t="shared" si="278"/>
        <v>73930.12</v>
      </c>
      <c r="AV110" s="605">
        <f t="shared" si="278"/>
        <v>53504.84</v>
      </c>
      <c r="AW110" s="605">
        <f t="shared" si="278"/>
        <v>0</v>
      </c>
      <c r="AX110" s="605">
        <f t="shared" si="278"/>
        <v>0</v>
      </c>
      <c r="AY110" s="605">
        <f t="shared" si="278"/>
        <v>0</v>
      </c>
      <c r="AZ110" s="605">
        <f t="shared" si="278"/>
        <v>0</v>
      </c>
      <c r="BA110" s="605">
        <f t="shared" si="278"/>
        <v>3073764.63</v>
      </c>
      <c r="BB110" s="605">
        <f t="shared" si="278"/>
        <v>2795555.63</v>
      </c>
      <c r="BC110" s="605">
        <f t="shared" si="278"/>
        <v>278209</v>
      </c>
      <c r="BD110" s="605">
        <f t="shared" si="278"/>
        <v>55427</v>
      </c>
      <c r="BE110" s="605">
        <f t="shared" si="278"/>
        <v>333636</v>
      </c>
      <c r="BF110" s="123">
        <f t="shared" si="278"/>
        <v>110</v>
      </c>
      <c r="BG110" s="123">
        <f t="shared" si="278"/>
        <v>2661168.94</v>
      </c>
      <c r="BH110" s="123">
        <f t="shared" si="278"/>
        <v>0</v>
      </c>
      <c r="BI110" s="238" t="s">
        <v>695</v>
      </c>
      <c r="BJ110" s="50">
        <f>+BJ104</f>
        <v>0.58453294465971339</v>
      </c>
      <c r="BK110" s="48">
        <f t="shared" ref="BK110:DV110" si="279">+BK104</f>
        <v>16797.863888888889</v>
      </c>
      <c r="BL110" s="50">
        <f t="shared" si="279"/>
        <v>0</v>
      </c>
      <c r="BM110" s="48">
        <f t="shared" si="279"/>
        <v>0</v>
      </c>
      <c r="BN110" s="50">
        <f t="shared" si="279"/>
        <v>0.20144194056754391</v>
      </c>
      <c r="BO110" s="48">
        <f t="shared" si="279"/>
        <v>5604.625</v>
      </c>
      <c r="BP110" s="50">
        <f t="shared" si="279"/>
        <v>0</v>
      </c>
      <c r="BQ110" s="48">
        <f t="shared" si="279"/>
        <v>0</v>
      </c>
      <c r="BR110" s="50">
        <f t="shared" si="279"/>
        <v>4.4810520156348191E-2</v>
      </c>
      <c r="BS110" s="48">
        <f t="shared" si="279"/>
        <v>1267.1305277777778</v>
      </c>
      <c r="BT110" s="50">
        <f t="shared" si="279"/>
        <v>0.13549726288198274</v>
      </c>
      <c r="BU110" s="48">
        <f t="shared" si="279"/>
        <v>3987.1556666666665</v>
      </c>
      <c r="BV110" s="50">
        <f t="shared" si="279"/>
        <v>9.5540195562038126E-3</v>
      </c>
      <c r="BW110" s="48">
        <f t="shared" si="279"/>
        <v>273.27966666666669</v>
      </c>
      <c r="BX110" s="50">
        <f t="shared" si="279"/>
        <v>1.7001888228490868E-2</v>
      </c>
      <c r="BY110" s="48">
        <f t="shared" si="279"/>
        <v>472.79974999999996</v>
      </c>
      <c r="BZ110" s="49">
        <f t="shared" si="279"/>
        <v>8.0612239641712134E-6</v>
      </c>
      <c r="CA110" s="64">
        <f t="shared" si="279"/>
        <v>0.22222222222222221</v>
      </c>
      <c r="CB110" s="50">
        <f t="shared" si="279"/>
        <v>9.7121006762997358E-4</v>
      </c>
      <c r="CC110" s="48">
        <f t="shared" si="279"/>
        <v>28.700861111111109</v>
      </c>
      <c r="CD110" s="49">
        <f t="shared" si="279"/>
        <v>0.74424156008229947</v>
      </c>
      <c r="CE110" s="49">
        <f t="shared" si="279"/>
        <v>0.59879106330656784</v>
      </c>
      <c r="CF110" s="49">
        <f t="shared" si="279"/>
        <v>0.66666386734329652</v>
      </c>
      <c r="CG110" s="64">
        <f t="shared" si="279"/>
        <v>17084.827388888887</v>
      </c>
      <c r="CH110" s="50">
        <f t="shared" si="279"/>
        <v>0.1215641079068531</v>
      </c>
      <c r="CI110" s="50">
        <f t="shared" si="279"/>
        <v>0.10019130695424411</v>
      </c>
      <c r="CJ110" s="50">
        <f t="shared" si="279"/>
        <v>0.11103722677718454</v>
      </c>
      <c r="CK110" s="48">
        <f t="shared" si="279"/>
        <v>2837.2564166666666</v>
      </c>
      <c r="CL110" s="49">
        <f t="shared" si="279"/>
        <v>7.3231751219904337E-3</v>
      </c>
      <c r="CM110" s="49">
        <f t="shared" si="279"/>
        <v>6.6015136511870191E-3</v>
      </c>
      <c r="CN110" s="49">
        <f t="shared" si="279"/>
        <v>7.1978499740988963E-3</v>
      </c>
      <c r="CO110" s="64">
        <f t="shared" si="279"/>
        <v>181.98266666666666</v>
      </c>
      <c r="CP110" s="50">
        <f t="shared" si="279"/>
        <v>0.10150602382840168</v>
      </c>
      <c r="CQ110" s="50">
        <f t="shared" si="279"/>
        <v>7.365771470509376E-2</v>
      </c>
      <c r="CR110" s="50">
        <f t="shared" si="279"/>
        <v>8.3722200336447436E-2</v>
      </c>
      <c r="CS110" s="48">
        <f t="shared" si="279"/>
        <v>2173.5669444444443</v>
      </c>
      <c r="CT110" s="49">
        <f t="shared" si="279"/>
        <v>0.90568539683054783</v>
      </c>
      <c r="CU110" s="49">
        <f t="shared" si="279"/>
        <v>0.72352766453881157</v>
      </c>
      <c r="CV110" s="49">
        <f t="shared" si="279"/>
        <v>0.80664335370283236</v>
      </c>
      <c r="CW110" s="64">
        <f t="shared" si="279"/>
        <v>20690.144027777777</v>
      </c>
      <c r="CX110" s="50">
        <f t="shared" si="279"/>
        <v>6.4556462371379401E-3</v>
      </c>
      <c r="CY110" s="50">
        <f t="shared" si="279"/>
        <v>5.6237956181318747E-3</v>
      </c>
      <c r="CZ110" s="66" t="str">
        <f t="shared" si="279"/>
        <v>No details available</v>
      </c>
      <c r="DA110" s="66">
        <f t="shared" si="279"/>
        <v>144.7405277777778</v>
      </c>
      <c r="DB110" s="49">
        <f t="shared" si="279"/>
        <v>2.9695497287888015E-4</v>
      </c>
      <c r="DC110" s="67">
        <f t="shared" si="279"/>
        <v>7.5078888888888891</v>
      </c>
      <c r="DD110" s="50">
        <f t="shared" si="279"/>
        <v>2.6465605169248324E-3</v>
      </c>
      <c r="DE110" s="50">
        <f t="shared" si="279"/>
        <v>2.6012686069728885E-3</v>
      </c>
      <c r="DF110" s="66" t="str">
        <f t="shared" si="279"/>
        <v>No details available</v>
      </c>
      <c r="DG110" s="66">
        <f t="shared" si="279"/>
        <v>65.76766666666667</v>
      </c>
      <c r="DH110" s="49">
        <f t="shared" si="279"/>
        <v>6.2281236874915484E-3</v>
      </c>
      <c r="DI110" s="49">
        <f t="shared" si="279"/>
        <v>5.543543013934186E-3</v>
      </c>
      <c r="DJ110" s="67" t="str">
        <f t="shared" si="279"/>
        <v>No details available</v>
      </c>
      <c r="DK110" s="50">
        <f t="shared" si="279"/>
        <v>1.2152883642030949E-2</v>
      </c>
      <c r="DL110" s="50">
        <f t="shared" si="279"/>
        <v>1.0281181213129265E-2</v>
      </c>
      <c r="DM110" s="50">
        <f t="shared" si="279"/>
        <v>1.1338752389886577E-2</v>
      </c>
      <c r="DN110" s="66">
        <f t="shared" si="279"/>
        <v>288.82330555555552</v>
      </c>
      <c r="DO110" s="49">
        <f t="shared" si="279"/>
        <v>1.1708445586533674E-2</v>
      </c>
      <c r="DP110" s="49">
        <f t="shared" si="279"/>
        <v>1.0359000058826309E-2</v>
      </c>
      <c r="DQ110" s="67">
        <f t="shared" si="279"/>
        <v>265.97491666666667</v>
      </c>
      <c r="DR110" s="50">
        <f t="shared" si="279"/>
        <v>7.6625173407985966E-3</v>
      </c>
      <c r="DS110" s="66">
        <f t="shared" si="279"/>
        <v>194.37677777777779</v>
      </c>
      <c r="DT110" s="49" t="e">
        <f t="shared" si="279"/>
        <v>#VALUE!</v>
      </c>
      <c r="DU110" s="49" t="e">
        <f t="shared" si="279"/>
        <v>#VALUE!</v>
      </c>
      <c r="DV110" s="49" t="e">
        <f t="shared" si="279"/>
        <v>#VALUE!</v>
      </c>
      <c r="DW110" s="64" t="e">
        <f>+DW104</f>
        <v>#VALUE!</v>
      </c>
      <c r="DX110">
        <f>+DX104</f>
        <v>0</v>
      </c>
      <c r="DY110" s="64">
        <f>+DY104</f>
        <v>8.5</v>
      </c>
    </row>
    <row r="111" spans="1:256" ht="13.5" thickBot="1">
      <c r="D111" s="421">
        <f>SUM(D106:D110)</f>
        <v>155653467.12999997</v>
      </c>
      <c r="E111" s="421">
        <f t="shared" ref="E111:BH111" si="280">SUM(E106:E110)</f>
        <v>6537762</v>
      </c>
      <c r="F111" s="421">
        <f t="shared" si="280"/>
        <v>15285526.440000001</v>
      </c>
      <c r="G111" s="421">
        <f t="shared" si="280"/>
        <v>0</v>
      </c>
      <c r="H111" s="421">
        <f t="shared" si="280"/>
        <v>10594925.970000001</v>
      </c>
      <c r="I111" s="421">
        <f t="shared" si="280"/>
        <v>1601474.0299999998</v>
      </c>
      <c r="J111" s="421">
        <f t="shared" si="280"/>
        <v>985548.92999999993</v>
      </c>
      <c r="K111" s="421">
        <f t="shared" si="280"/>
        <v>4476400.4700000007</v>
      </c>
      <c r="L111" s="421">
        <f t="shared" si="280"/>
        <v>3278648.55</v>
      </c>
      <c r="M111" s="421">
        <f t="shared" si="280"/>
        <v>880364.84999999986</v>
      </c>
      <c r="N111" s="421">
        <f t="shared" si="280"/>
        <v>333153.15000000002</v>
      </c>
      <c r="O111" s="421">
        <f t="shared" si="280"/>
        <v>3553824.5700000003</v>
      </c>
      <c r="P111" s="421">
        <f t="shared" si="280"/>
        <v>3850719.330000001</v>
      </c>
      <c r="Q111" s="421">
        <f t="shared" si="280"/>
        <v>56164.68</v>
      </c>
      <c r="R111" s="421">
        <f t="shared" si="280"/>
        <v>2143564.16</v>
      </c>
      <c r="S111" s="421">
        <f t="shared" si="280"/>
        <v>334995.61000000004</v>
      </c>
      <c r="T111" s="421">
        <f t="shared" si="280"/>
        <v>4612961.5599999996</v>
      </c>
      <c r="U111" s="421">
        <f t="shared" si="280"/>
        <v>94819728.859999999</v>
      </c>
      <c r="V111" s="421">
        <f t="shared" si="280"/>
        <v>576609.50000000023</v>
      </c>
      <c r="W111" s="421">
        <f t="shared" si="280"/>
        <v>39809700.200000003</v>
      </c>
      <c r="X111" s="421">
        <f t="shared" si="280"/>
        <v>4543717.1500000004</v>
      </c>
      <c r="Y111" s="421">
        <f t="shared" si="280"/>
        <v>9285731.8299999982</v>
      </c>
      <c r="Z111" s="421">
        <f t="shared" si="280"/>
        <v>385338.47</v>
      </c>
      <c r="AA111" s="421">
        <f t="shared" si="280"/>
        <v>3879084.6399999997</v>
      </c>
      <c r="AB111" s="421">
        <f t="shared" si="280"/>
        <v>1487642.9899999998</v>
      </c>
      <c r="AC111" s="421">
        <f t="shared" si="280"/>
        <v>1088341.0999999996</v>
      </c>
      <c r="AD111" s="421">
        <f t="shared" si="280"/>
        <v>1138153.0000000002</v>
      </c>
      <c r="AE111" s="421">
        <f t="shared" si="280"/>
        <v>300102.73</v>
      </c>
      <c r="AF111" s="421">
        <f t="shared" si="280"/>
        <v>3497695.6900000009</v>
      </c>
      <c r="AG111" s="421">
        <f t="shared" si="280"/>
        <v>533813.89</v>
      </c>
      <c r="AH111" s="421">
        <f t="shared" si="280"/>
        <v>2455725.89</v>
      </c>
      <c r="AI111" s="421">
        <f t="shared" si="280"/>
        <v>401413.31000000006</v>
      </c>
      <c r="AJ111" s="421">
        <f t="shared" si="280"/>
        <v>2621711.6900000004</v>
      </c>
      <c r="AK111" s="421">
        <f t="shared" si="280"/>
        <v>802517.05999999994</v>
      </c>
      <c r="AL111" s="421">
        <f t="shared" si="280"/>
        <v>1452109.1699999995</v>
      </c>
      <c r="AM111" s="421">
        <f t="shared" si="280"/>
        <v>8590192.6900000013</v>
      </c>
      <c r="AN111" s="421">
        <f t="shared" si="280"/>
        <v>2236772.0299999998</v>
      </c>
      <c r="AO111" s="421">
        <f t="shared" si="280"/>
        <v>758306.80999999994</v>
      </c>
      <c r="AP111" s="421">
        <f t="shared" si="280"/>
        <v>1810249.3599999996</v>
      </c>
      <c r="AQ111" s="421">
        <f t="shared" si="280"/>
        <v>942908.94999999984</v>
      </c>
      <c r="AR111" s="421">
        <f t="shared" si="280"/>
        <v>1002582.6199999999</v>
      </c>
      <c r="AS111" s="421">
        <f t="shared" si="280"/>
        <v>8177833.1699999999</v>
      </c>
      <c r="AT111" s="421">
        <f t="shared" si="280"/>
        <v>5735268.7800000003</v>
      </c>
      <c r="AU111" s="421">
        <f t="shared" si="280"/>
        <v>9069808.6999999993</v>
      </c>
      <c r="AV111" s="421">
        <f t="shared" si="280"/>
        <v>4111048.7</v>
      </c>
      <c r="AW111" s="421">
        <f t="shared" si="280"/>
        <v>0</v>
      </c>
      <c r="AX111" s="421">
        <f t="shared" si="280"/>
        <v>1437111.4100000001</v>
      </c>
      <c r="AY111" s="421">
        <f t="shared" si="280"/>
        <v>1981599.9000000001</v>
      </c>
      <c r="AZ111" s="421">
        <f t="shared" si="280"/>
        <v>368324.07999999996</v>
      </c>
      <c r="BA111" s="421">
        <f t="shared" si="280"/>
        <v>211700941.66000003</v>
      </c>
      <c r="BB111" s="421">
        <f t="shared" si="280"/>
        <v>212951220.38999999</v>
      </c>
      <c r="BC111" s="421">
        <f t="shared" si="280"/>
        <v>-1250278.7300000042</v>
      </c>
      <c r="BD111" s="421">
        <f t="shared" si="280"/>
        <v>12889377</v>
      </c>
      <c r="BE111" s="421">
        <f t="shared" si="280"/>
        <v>11639098.269999992</v>
      </c>
      <c r="BF111" s="421">
        <f t="shared" si="280"/>
        <v>35435</v>
      </c>
      <c r="BG111" s="421">
        <f t="shared" si="280"/>
        <v>190793360.14324623</v>
      </c>
      <c r="BH111" s="421">
        <f t="shared" si="280"/>
        <v>229163.14000000004</v>
      </c>
      <c r="DY111" s="63"/>
    </row>
    <row r="112" spans="1:256" ht="15.75" thickTop="1"/>
    <row r="113" spans="1:256" s="86" customFormat="1" ht="12.75">
      <c r="B113" s="87"/>
      <c r="D113" s="87"/>
      <c r="F113" s="87"/>
      <c r="H113" s="87"/>
      <c r="J113" s="87"/>
      <c r="L113" s="87"/>
      <c r="N113" s="87"/>
      <c r="P113" s="87"/>
      <c r="R113" s="87"/>
      <c r="U113" s="87"/>
      <c r="W113" s="87"/>
      <c r="Y113" s="87"/>
      <c r="AA113" s="87"/>
      <c r="AC113" s="87"/>
      <c r="AE113" s="87"/>
      <c r="AG113" s="87"/>
      <c r="AI113" s="87"/>
      <c r="AK113" s="87"/>
      <c r="AM113" s="87"/>
      <c r="AO113" s="87"/>
      <c r="AQ113" s="87"/>
      <c r="AS113" s="87"/>
      <c r="AU113" s="87"/>
      <c r="AW113" s="87"/>
      <c r="AY113" s="87"/>
      <c r="BA113" s="87"/>
      <c r="BC113" s="87"/>
      <c r="BE113" s="87"/>
      <c r="BG113" s="87"/>
      <c r="BI113" s="87"/>
      <c r="BK113" s="87"/>
      <c r="BM113" s="87"/>
      <c r="BO113" s="87"/>
      <c r="BQ113" s="87"/>
      <c r="BS113" s="87"/>
      <c r="BU113" s="87"/>
      <c r="BW113" s="87"/>
      <c r="BY113" s="87"/>
      <c r="CA113" s="87"/>
      <c r="CC113" s="87"/>
      <c r="CE113" s="87"/>
      <c r="CG113" s="87"/>
      <c r="CI113" s="87"/>
      <c r="CK113" s="87"/>
      <c r="CM113" s="87"/>
      <c r="CO113" s="87"/>
      <c r="CQ113" s="87"/>
      <c r="CS113" s="87"/>
      <c r="CU113" s="87"/>
      <c r="CW113" s="87"/>
      <c r="CY113" s="87"/>
      <c r="DA113" s="87"/>
      <c r="DC113" s="87"/>
      <c r="DE113" s="87"/>
      <c r="DG113" s="87"/>
      <c r="DI113" s="87"/>
      <c r="DK113" s="87"/>
      <c r="DM113" s="87"/>
      <c r="DO113" s="87"/>
      <c r="DQ113" s="87"/>
      <c r="DS113" s="87"/>
      <c r="DU113" s="87"/>
      <c r="DW113" s="87"/>
      <c r="DY113" s="87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5" spans="1:256" s="244" customFormat="1" ht="16.5" thickBot="1">
      <c r="A115" s="239"/>
      <c r="B115" s="240"/>
      <c r="C115" s="241" t="s">
        <v>458</v>
      </c>
      <c r="D115" s="242">
        <f>D111-[4]CFR20152016_BenchMarkDataReport!S101</f>
        <v>0</v>
      </c>
      <c r="E115" s="242">
        <f>E111-[4]CFR20152016_BenchMarkDataReport!T101</f>
        <v>0</v>
      </c>
      <c r="F115" s="242">
        <f>F111-[4]CFR20152016_BenchMarkDataReport!U101</f>
        <v>0</v>
      </c>
      <c r="G115" s="242">
        <f>G111-[4]CFR20152016_BenchMarkDataReport!V101</f>
        <v>0</v>
      </c>
      <c r="H115" s="242">
        <f>H111-[4]CFR20152016_BenchMarkDataReport!W101</f>
        <v>0</v>
      </c>
      <c r="I115" s="242">
        <f>I111-[4]CFR20152016_BenchMarkDataReport!X101</f>
        <v>0</v>
      </c>
      <c r="J115" s="242">
        <f>J111-[4]CFR20152016_BenchMarkDataReport!Y101</f>
        <v>0</v>
      </c>
      <c r="K115" s="242">
        <f>K111-[4]CFR20152016_BenchMarkDataReport!Z101</f>
        <v>0</v>
      </c>
      <c r="L115" s="242">
        <f>L111-[4]CFR20152016_BenchMarkDataReport!AA101</f>
        <v>0</v>
      </c>
      <c r="M115" s="242">
        <f>M111-[4]CFR20152016_BenchMarkDataReport!AB101</f>
        <v>0</v>
      </c>
      <c r="N115" s="242">
        <f>N111-[4]CFR20152016_BenchMarkDataReport!AC101</f>
        <v>0</v>
      </c>
      <c r="O115" s="242">
        <f>O111-[4]CFR20152016_BenchMarkDataReport!AD101</f>
        <v>0</v>
      </c>
      <c r="P115" s="242">
        <f>P111-[4]CFR20152016_BenchMarkDataReport!AE101</f>
        <v>0</v>
      </c>
      <c r="Q115" s="242">
        <f>Q111-[4]CFR20152016_BenchMarkDataReport!AF101</f>
        <v>0</v>
      </c>
      <c r="R115" s="242">
        <f>R111-[4]CFR20152016_BenchMarkDataReport!AG101</f>
        <v>0</v>
      </c>
      <c r="S115" s="242">
        <f>S111-[4]CFR20152016_BenchMarkDataReport!AH101</f>
        <v>0</v>
      </c>
      <c r="T115" s="242">
        <f>T111-[4]CFR20152016_BenchMarkDataReport!AI101</f>
        <v>0</v>
      </c>
      <c r="U115" s="242">
        <f>U111-[4]CFR20152016_BenchMarkDataReport!AJ101</f>
        <v>0</v>
      </c>
      <c r="V115" s="242">
        <f>V111-[4]CFR20152016_BenchMarkDataReport!AK101</f>
        <v>0</v>
      </c>
      <c r="W115" s="242">
        <f>W111-[4]CFR20152016_BenchMarkDataReport!AL101</f>
        <v>0</v>
      </c>
      <c r="X115" s="242">
        <f>X111-[4]CFR20152016_BenchMarkDataReport!AM101</f>
        <v>0</v>
      </c>
      <c r="Y115" s="242">
        <f>Y111-[4]CFR20152016_BenchMarkDataReport!AN101</f>
        <v>0</v>
      </c>
      <c r="Z115" s="242">
        <f>Z111-[4]CFR20152016_BenchMarkDataReport!AO101</f>
        <v>0</v>
      </c>
      <c r="AA115" s="242">
        <f>AA111-[4]CFR20152016_BenchMarkDataReport!AP101</f>
        <v>0</v>
      </c>
      <c r="AB115" s="242">
        <f>AB111-[4]CFR20152016_BenchMarkDataReport!AQ101</f>
        <v>0</v>
      </c>
      <c r="AC115" s="242">
        <f>AC111-[4]CFR20152016_BenchMarkDataReport!AR101</f>
        <v>0</v>
      </c>
      <c r="AD115" s="242">
        <f>AD111-[4]CFR20152016_BenchMarkDataReport!AS101</f>
        <v>0</v>
      </c>
      <c r="AE115" s="242">
        <f>AE111-[4]CFR20152016_BenchMarkDataReport!AT101</f>
        <v>0</v>
      </c>
      <c r="AF115" s="242">
        <f>AF111-[4]CFR20152016_BenchMarkDataReport!AU101</f>
        <v>0</v>
      </c>
      <c r="AG115" s="242">
        <f>AG111-[4]CFR20152016_BenchMarkDataReport!AV101</f>
        <v>0</v>
      </c>
      <c r="AH115" s="242">
        <f>AH111-[4]CFR20152016_BenchMarkDataReport!AW101</f>
        <v>0</v>
      </c>
      <c r="AI115" s="242">
        <f>AI111-[4]CFR20152016_BenchMarkDataReport!AX101</f>
        <v>0</v>
      </c>
      <c r="AJ115" s="242">
        <f>AJ111-[4]CFR20152016_BenchMarkDataReport!AY101</f>
        <v>0</v>
      </c>
      <c r="AK115" s="242">
        <f>AK111-[4]CFR20152016_BenchMarkDataReport!AZ101</f>
        <v>0</v>
      </c>
      <c r="AL115" s="242">
        <f>AL111-[4]CFR20152016_BenchMarkDataReport!BA101</f>
        <v>0</v>
      </c>
      <c r="AM115" s="242">
        <f>AM111-[4]CFR20152016_BenchMarkDataReport!BB101</f>
        <v>0</v>
      </c>
      <c r="AN115" s="242">
        <f>AN111-[4]CFR20152016_BenchMarkDataReport!BC101</f>
        <v>0</v>
      </c>
      <c r="AO115" s="242">
        <f>AO111-[4]CFR20152016_BenchMarkDataReport!BD101</f>
        <v>0</v>
      </c>
      <c r="AP115" s="242">
        <f>AP111-[4]CFR20152016_BenchMarkDataReport!BE101</f>
        <v>0</v>
      </c>
      <c r="AQ115" s="242">
        <f>AQ111-[4]CFR20152016_BenchMarkDataReport!BF101</f>
        <v>0</v>
      </c>
      <c r="AR115" s="242">
        <f>AR111-[4]CFR20152016_BenchMarkDataReport!BG101</f>
        <v>0</v>
      </c>
      <c r="AS115" s="242">
        <f>AS111-[4]CFR20152016_BenchMarkDataReport!BH101</f>
        <v>0</v>
      </c>
      <c r="AT115" s="242">
        <f>AT111-[4]CFR20152016_BenchMarkDataReport!BI101</f>
        <v>0</v>
      </c>
      <c r="AU115" s="242">
        <f>AU111-[4]CFR20152016_BenchMarkDataReport!BJ101</f>
        <v>0</v>
      </c>
      <c r="AV115" s="242">
        <f>AV111-[4]CFR20152016_BenchMarkDataReport!BK101</f>
        <v>0</v>
      </c>
      <c r="AW115" s="242">
        <f>AW111-[4]CFR20152016_BenchMarkDataReport!BL101</f>
        <v>0</v>
      </c>
      <c r="AX115" s="242">
        <f>AX111-[4]CFR20152016_BenchMarkDataReport!BM101</f>
        <v>0</v>
      </c>
      <c r="AY115" s="242">
        <f>AY111-[4]CFR20152016_BenchMarkDataReport!BN101</f>
        <v>0</v>
      </c>
      <c r="AZ115" s="242">
        <f>AZ111-[4]CFR20152016_BenchMarkDataReport!BO101</f>
        <v>0</v>
      </c>
      <c r="BA115" s="243"/>
      <c r="BB115" s="243"/>
      <c r="BC115" s="243"/>
      <c r="BD115" s="242">
        <f>BD111-[4]CFR20152016_BenchMarkDataReport!$P$101</f>
        <v>0</v>
      </c>
      <c r="BE115" s="243"/>
      <c r="BF115" s="243"/>
      <c r="BG115" s="243"/>
      <c r="BH115" s="243"/>
      <c r="BJ115" s="245"/>
      <c r="BK115" s="246"/>
      <c r="BL115" s="245"/>
      <c r="BM115" s="246"/>
      <c r="BN115" s="245"/>
      <c r="BO115" s="246"/>
      <c r="BP115" s="245"/>
      <c r="BQ115" s="246"/>
      <c r="BR115" s="245"/>
      <c r="BS115" s="246"/>
      <c r="BT115" s="245"/>
      <c r="BU115" s="246"/>
      <c r="BV115" s="245"/>
      <c r="BW115" s="246"/>
      <c r="BX115" s="245"/>
      <c r="BY115" s="246"/>
      <c r="BZ115" s="247"/>
      <c r="CA115" s="248"/>
      <c r="CB115" s="249"/>
      <c r="CC115" s="250"/>
      <c r="CD115" s="247"/>
      <c r="CE115" s="251"/>
      <c r="CF115" s="251"/>
      <c r="CG115" s="248"/>
      <c r="CH115" s="249"/>
      <c r="CI115" s="249"/>
      <c r="CJ115" s="249"/>
      <c r="CK115" s="252"/>
      <c r="CL115" s="247"/>
      <c r="CM115" s="251"/>
      <c r="CN115" s="251"/>
      <c r="CO115" s="248"/>
      <c r="CP115" s="249"/>
      <c r="CQ115" s="249"/>
      <c r="CR115" s="249"/>
      <c r="CS115" s="252"/>
      <c r="CT115" s="247"/>
      <c r="CU115" s="251"/>
      <c r="CV115" s="251"/>
      <c r="CW115" s="248"/>
      <c r="CX115" s="249"/>
      <c r="CY115" s="249"/>
      <c r="CZ115" s="250"/>
      <c r="DA115" s="252"/>
      <c r="DB115" s="247"/>
      <c r="DC115" s="248"/>
      <c r="DD115" s="249"/>
      <c r="DE115" s="249"/>
      <c r="DF115" s="250"/>
      <c r="DG115" s="252"/>
      <c r="DH115" s="247"/>
      <c r="DI115" s="251"/>
      <c r="DJ115" s="248"/>
      <c r="DK115" s="249"/>
      <c r="DL115" s="253"/>
      <c r="DM115" s="253"/>
      <c r="DN115" s="252"/>
      <c r="DO115" s="247"/>
      <c r="DP115" s="251"/>
      <c r="DQ115" s="248"/>
      <c r="DR115" s="254"/>
      <c r="DS115" s="255"/>
      <c r="DT115" s="55"/>
      <c r="DU115" s="55"/>
      <c r="DV115" s="55"/>
      <c r="DW115" s="56"/>
      <c r="DY115" s="57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.75" thickTop="1">
      <c r="BA116" s="93"/>
    </row>
  </sheetData>
  <sheetCalcPr fullCalcOnLoad="1"/>
  <mergeCells count="23">
    <mergeCell ref="DR2:DS2"/>
    <mergeCell ref="CT2:CW2"/>
    <mergeCell ref="CX2:DA2"/>
    <mergeCell ref="DB2:DC2"/>
    <mergeCell ref="DD2:DG2"/>
    <mergeCell ref="DH2:DJ2"/>
    <mergeCell ref="DK2:DN2"/>
    <mergeCell ref="CH2:CK2"/>
    <mergeCell ref="CL2:CO2"/>
    <mergeCell ref="CP2:CS2"/>
    <mergeCell ref="BZ2:CA2"/>
    <mergeCell ref="CB2:CC2"/>
    <mergeCell ref="DO2:DQ2"/>
    <mergeCell ref="DT2:DW2"/>
    <mergeCell ref="BJ2:BK2"/>
    <mergeCell ref="BL2:BM2"/>
    <mergeCell ref="BN2:BO2"/>
    <mergeCell ref="BP2:BQ2"/>
    <mergeCell ref="BR2:BS2"/>
    <mergeCell ref="BT2:BU2"/>
    <mergeCell ref="BV2:BW2"/>
    <mergeCell ref="BX2:BY2"/>
    <mergeCell ref="CD2:CG2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W4233"/>
  <sheetViews>
    <sheetView showGridLines="0" topLeftCell="C1" zoomScale="85" zoomScaleNormal="85" workbookViewId="0">
      <selection activeCell="J19" sqref="J19"/>
    </sheetView>
  </sheetViews>
  <sheetFormatPr defaultRowHeight="15"/>
  <cols>
    <col min="1" max="1" width="2.140625" style="519" hidden="1" customWidth="1"/>
    <col min="2" max="2" width="5.28515625" style="519" hidden="1" customWidth="1"/>
    <col min="3" max="3" width="3.28515625" style="557" customWidth="1"/>
    <col min="4" max="4" width="15.7109375" style="536" bestFit="1" customWidth="1"/>
    <col min="5" max="5" width="8.85546875" style="536" customWidth="1"/>
    <col min="6" max="6" width="43.85546875" style="519" customWidth="1"/>
    <col min="7" max="14" width="12.5703125" style="519" customWidth="1"/>
    <col min="15" max="15" width="12.5703125" style="519" bestFit="1" customWidth="1"/>
    <col min="16" max="16" width="9.5703125" style="519" customWidth="1"/>
    <col min="17" max="17" width="6.42578125" style="519" customWidth="1"/>
    <col min="18" max="18" width="9" style="519" customWidth="1"/>
    <col min="19" max="19" width="11.42578125" style="519" bestFit="1" customWidth="1"/>
    <col min="20" max="20" width="9.28515625" style="519" customWidth="1"/>
    <col min="21" max="21" width="9" style="519" customWidth="1"/>
    <col min="22" max="22" width="16.28515625" style="519" bestFit="1" customWidth="1"/>
    <col min="23" max="24" width="9" style="519" customWidth="1"/>
    <col min="25" max="25" width="10.5703125" style="519" bestFit="1" customWidth="1"/>
    <col min="26" max="26" width="10.140625" style="519" bestFit="1" customWidth="1"/>
    <col min="27" max="27" width="10.85546875" style="519" bestFit="1" customWidth="1"/>
    <col min="28" max="29" width="10.7109375" style="519" bestFit="1" customWidth="1"/>
    <col min="30" max="30" width="12.42578125" style="519" bestFit="1" customWidth="1"/>
    <col min="31" max="31" width="9.5703125" style="519" bestFit="1" customWidth="1"/>
    <col min="32" max="32" width="11.5703125" style="519" bestFit="1" customWidth="1"/>
    <col min="33" max="33" width="9" style="519" customWidth="1"/>
    <col min="34" max="34" width="9.42578125" style="519" bestFit="1" customWidth="1"/>
    <col min="35" max="35" width="13.42578125" style="519" bestFit="1" customWidth="1"/>
    <col min="36" max="36" width="11.85546875" style="519" bestFit="1" customWidth="1"/>
    <col min="37" max="37" width="13.42578125" style="519" bestFit="1" customWidth="1"/>
    <col min="38" max="38" width="11.85546875" style="519" bestFit="1" customWidth="1"/>
    <col min="39" max="39" width="10.7109375" style="519" bestFit="1" customWidth="1"/>
    <col min="40" max="40" width="10.5703125" style="519" bestFit="1" customWidth="1"/>
    <col min="41" max="41" width="10.42578125" style="519" bestFit="1" customWidth="1"/>
    <col min="42" max="43" width="9.85546875" style="519" bestFit="1" customWidth="1"/>
    <col min="44" max="44" width="14.5703125" style="519" bestFit="1" customWidth="1"/>
    <col min="45" max="45" width="15.140625" style="519" bestFit="1" customWidth="1"/>
    <col min="46" max="46" width="15.28515625" style="519" bestFit="1" customWidth="1"/>
    <col min="47" max="47" width="9.28515625" style="519" bestFit="1" customWidth="1"/>
    <col min="48" max="48" width="17.42578125" style="519" bestFit="1" customWidth="1"/>
    <col min="49" max="49" width="18.140625" style="519" bestFit="1" customWidth="1"/>
    <col min="50" max="50" width="13.7109375" style="519" bestFit="1" customWidth="1"/>
    <col min="51" max="53" width="10.5703125" style="519" bestFit="1" customWidth="1"/>
    <col min="54" max="54" width="16" style="519" bestFit="1" customWidth="1"/>
    <col min="55" max="55" width="11.85546875" style="519" bestFit="1" customWidth="1"/>
    <col min="56" max="56" width="10.42578125" style="519" bestFit="1" customWidth="1"/>
    <col min="57" max="57" width="11.5703125" style="519" bestFit="1" customWidth="1"/>
    <col min="58" max="58" width="10.5703125" style="519" bestFit="1" customWidth="1"/>
    <col min="59" max="59" width="11.5703125" style="519" bestFit="1" customWidth="1"/>
    <col min="60" max="60" width="10.42578125" style="519" bestFit="1" customWidth="1"/>
    <col min="61" max="62" width="10.5703125" style="519" bestFit="1" customWidth="1"/>
    <col min="63" max="63" width="9" style="519" customWidth="1"/>
    <col min="64" max="64" width="13.42578125" style="519" bestFit="1" customWidth="1"/>
    <col min="65" max="65" width="10.5703125" style="519" bestFit="1" customWidth="1"/>
    <col min="66" max="66" width="12.140625" style="519" bestFit="1" customWidth="1"/>
    <col min="67" max="67" width="12.28515625" style="519" bestFit="1" customWidth="1"/>
    <col min="68" max="68" width="11.5703125" style="519" bestFit="1" customWidth="1"/>
    <col min="69" max="69" width="9.28515625" style="519" customWidth="1"/>
    <col min="70" max="70" width="10.5703125" style="519" bestFit="1" customWidth="1"/>
    <col min="71" max="73" width="11" style="519" bestFit="1" customWidth="1"/>
    <col min="74" max="74" width="9" style="519" customWidth="1"/>
    <col min="75" max="75" width="16.42578125" style="519" bestFit="1" customWidth="1"/>
    <col min="76" max="76" width="15.7109375" style="519" bestFit="1" customWidth="1"/>
    <col min="77" max="77" width="16.7109375" style="519" bestFit="1" customWidth="1"/>
    <col min="78" max="78" width="14.140625" style="519" bestFit="1" customWidth="1"/>
    <col min="79" max="79" width="12.42578125" style="519" bestFit="1" customWidth="1"/>
    <col min="80" max="80" width="10.85546875" style="519" bestFit="1" customWidth="1"/>
    <col min="81" max="81" width="8.140625" style="519" customWidth="1"/>
    <col min="82" max="82" width="9.42578125" style="519" bestFit="1" customWidth="1"/>
    <col min="83" max="83" width="9" style="519" customWidth="1"/>
    <col min="84" max="84" width="10.5703125" style="519" bestFit="1" customWidth="1"/>
    <col min="85" max="85" width="9.28515625" style="519" bestFit="1" customWidth="1"/>
    <col min="86" max="86" width="17.7109375" style="519" bestFit="1" customWidth="1"/>
    <col min="87" max="87" width="9.85546875" style="519" bestFit="1" customWidth="1"/>
    <col min="88" max="88" width="10.28515625" style="519" bestFit="1" customWidth="1"/>
    <col min="89" max="89" width="9.5703125" style="519" bestFit="1" customWidth="1"/>
    <col min="90" max="90" width="11.42578125" style="519" bestFit="1" customWidth="1"/>
    <col min="91" max="91" width="9" style="519" customWidth="1"/>
    <col min="92" max="92" width="10.28515625" style="519" bestFit="1" customWidth="1"/>
    <col min="93" max="93" width="12.5703125" style="519" bestFit="1" customWidth="1"/>
    <col min="94" max="94" width="11.28515625" style="519" bestFit="1" customWidth="1"/>
    <col min="95" max="95" width="10.28515625" style="519" bestFit="1" customWidth="1"/>
    <col min="96" max="96" width="9" style="519" customWidth="1"/>
    <col min="97" max="97" width="11.42578125" style="519" bestFit="1" customWidth="1"/>
    <col min="98" max="98" width="10" style="519" bestFit="1" customWidth="1"/>
    <col min="99" max="99" width="23.5703125" style="519" bestFit="1" customWidth="1"/>
    <col min="100" max="100" width="8" style="519" customWidth="1"/>
    <col min="101" max="101" width="10.5703125" style="519" bestFit="1" customWidth="1"/>
    <col min="102" max="16384" width="9.140625" style="519"/>
  </cols>
  <sheetData>
    <row r="1" spans="1:101" ht="15.75" thickBot="1">
      <c r="C1" s="519"/>
      <c r="D1" s="519"/>
      <c r="E1" s="519"/>
      <c r="H1" s="520"/>
      <c r="J1" s="521"/>
      <c r="T1" s="520"/>
    </row>
    <row r="2" spans="1:101" ht="15.75" thickBot="1">
      <c r="A2" s="522"/>
      <c r="B2" s="522"/>
      <c r="C2" s="522"/>
      <c r="D2" s="522"/>
      <c r="E2" s="522"/>
      <c r="F2" s="522"/>
      <c r="G2" s="522"/>
      <c r="H2" s="523"/>
      <c r="I2" s="522"/>
      <c r="J2" s="524"/>
      <c r="K2" s="522"/>
      <c r="L2" s="522"/>
      <c r="M2" s="522"/>
      <c r="N2" s="522"/>
      <c r="O2" s="522"/>
      <c r="P2" s="522"/>
      <c r="Q2" s="522"/>
      <c r="R2" s="522"/>
      <c r="S2" s="522"/>
      <c r="T2" s="525"/>
    </row>
    <row r="3" spans="1:101" ht="21.75" thickBot="1">
      <c r="A3" s="526"/>
      <c r="B3" s="645" t="s">
        <v>1550</v>
      </c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7"/>
      <c r="S3" s="526"/>
      <c r="T3" s="527"/>
    </row>
    <row r="4" spans="1:101">
      <c r="A4" s="526"/>
      <c r="B4" s="526"/>
      <c r="C4" s="526"/>
      <c r="D4" s="526"/>
      <c r="E4" s="526"/>
      <c r="F4" s="526"/>
      <c r="G4" s="526"/>
      <c r="H4" s="528"/>
      <c r="I4" s="526"/>
      <c r="J4" s="529"/>
      <c r="K4" s="526"/>
      <c r="L4" s="526"/>
      <c r="M4" s="526"/>
      <c r="N4" s="526"/>
      <c r="O4" s="526"/>
      <c r="P4" s="526"/>
      <c r="Q4" s="526"/>
      <c r="R4" s="526"/>
      <c r="S4" s="526"/>
      <c r="T4" s="527"/>
    </row>
    <row r="5" spans="1:101" ht="28.5">
      <c r="A5" s="526"/>
      <c r="B5" s="648" t="s">
        <v>1551</v>
      </c>
      <c r="C5" s="648"/>
      <c r="D5" s="648"/>
      <c r="E5" s="648"/>
      <c r="F5" s="648"/>
      <c r="G5" s="649">
        <v>42088</v>
      </c>
      <c r="H5" s="650"/>
      <c r="I5" s="526"/>
      <c r="J5" s="651" t="s">
        <v>1552</v>
      </c>
      <c r="K5" s="652"/>
      <c r="L5" s="653"/>
      <c r="M5" s="530"/>
      <c r="N5" s="526"/>
      <c r="O5" s="657"/>
      <c r="P5" s="657"/>
      <c r="Q5" s="526"/>
      <c r="R5" s="526"/>
      <c r="S5" s="526"/>
      <c r="T5" s="527"/>
    </row>
    <row r="6" spans="1:101" ht="28.5">
      <c r="A6" s="526"/>
      <c r="B6" s="648" t="s">
        <v>1553</v>
      </c>
      <c r="C6" s="648"/>
      <c r="D6" s="648"/>
      <c r="E6" s="648"/>
      <c r="F6" s="648"/>
      <c r="G6" s="658">
        <v>42135.465150000004</v>
      </c>
      <c r="H6" s="659"/>
      <c r="I6" s="526"/>
      <c r="J6" s="654"/>
      <c r="K6" s="655"/>
      <c r="L6" s="656"/>
      <c r="M6" s="530"/>
      <c r="N6" s="526"/>
      <c r="O6" s="657"/>
      <c r="P6" s="657"/>
      <c r="Q6" s="526"/>
      <c r="R6" s="526"/>
      <c r="S6" s="526"/>
      <c r="T6" s="527"/>
    </row>
    <row r="7" spans="1:101" ht="15.75" thickBot="1">
      <c r="A7" s="531"/>
      <c r="B7" s="531"/>
      <c r="C7" s="531"/>
      <c r="D7" s="531"/>
      <c r="E7" s="531"/>
      <c r="F7" s="531"/>
      <c r="G7" s="531"/>
      <c r="H7" s="532"/>
      <c r="I7" s="531"/>
      <c r="J7" s="533"/>
      <c r="K7" s="531"/>
      <c r="L7" s="531"/>
      <c r="M7" s="531"/>
      <c r="N7" s="531"/>
      <c r="O7" s="531"/>
      <c r="P7" s="531"/>
      <c r="Q7" s="531"/>
      <c r="R7" s="531"/>
      <c r="S7" s="531"/>
      <c r="T7" s="534"/>
    </row>
    <row r="8" spans="1:101">
      <c r="C8" s="519"/>
      <c r="D8" s="519"/>
      <c r="E8" s="519"/>
      <c r="K8" s="520"/>
      <c r="N8" s="521"/>
      <c r="W8" s="520"/>
    </row>
    <row r="9" spans="1:101" ht="30" customHeight="1">
      <c r="C9" s="519"/>
      <c r="D9" s="642" t="s">
        <v>1554</v>
      </c>
      <c r="E9" s="643"/>
      <c r="F9" s="643"/>
      <c r="G9" s="643"/>
      <c r="H9" s="643"/>
      <c r="I9" s="643"/>
      <c r="J9" s="643"/>
      <c r="K9" s="643"/>
      <c r="L9" s="644"/>
      <c r="M9" s="535"/>
      <c r="N9" s="521"/>
      <c r="W9" s="520"/>
    </row>
    <row r="10" spans="1:101" s="536" customFormat="1">
      <c r="D10" s="519"/>
      <c r="E10" s="519"/>
      <c r="F10" s="519"/>
      <c r="G10" s="537"/>
    </row>
    <row r="11" spans="1:101" s="536" customFormat="1">
      <c r="D11" s="536" t="s">
        <v>1555</v>
      </c>
      <c r="F11" s="538" t="s">
        <v>1556</v>
      </c>
      <c r="G11" s="537"/>
    </row>
    <row r="12" spans="1:101" s="536" customFormat="1">
      <c r="G12" s="537"/>
    </row>
    <row r="13" spans="1:101" s="539" customFormat="1">
      <c r="D13" s="539" t="s">
        <v>1557</v>
      </c>
      <c r="E13" s="539">
        <v>1</v>
      </c>
      <c r="F13" s="539">
        <v>2</v>
      </c>
      <c r="G13" s="539">
        <v>3</v>
      </c>
      <c r="H13" s="539">
        <v>4</v>
      </c>
      <c r="I13" s="539">
        <v>5</v>
      </c>
      <c r="J13" s="539">
        <v>6</v>
      </c>
      <c r="K13" s="539">
        <v>7</v>
      </c>
      <c r="L13" s="539">
        <v>8</v>
      </c>
      <c r="M13" s="539">
        <v>9</v>
      </c>
      <c r="N13" s="539">
        <v>10</v>
      </c>
      <c r="O13" s="539">
        <v>11</v>
      </c>
      <c r="P13" s="519"/>
      <c r="Q13" s="519"/>
      <c r="R13" s="519"/>
      <c r="S13" s="519"/>
      <c r="T13" s="519"/>
      <c r="U13" s="519"/>
      <c r="V13" s="519"/>
      <c r="W13" s="519"/>
      <c r="X13" s="519"/>
      <c r="Y13" s="519"/>
      <c r="Z13" s="519"/>
      <c r="AA13" s="519"/>
      <c r="AB13" s="519"/>
      <c r="AC13" s="519"/>
      <c r="AD13" s="519"/>
      <c r="AE13" s="519"/>
      <c r="AF13" s="519"/>
      <c r="AG13" s="519"/>
      <c r="AH13" s="519"/>
      <c r="AI13" s="519"/>
      <c r="AJ13" s="519"/>
      <c r="AK13" s="519"/>
      <c r="AL13" s="519"/>
      <c r="AM13" s="519"/>
      <c r="AN13" s="519"/>
      <c r="AO13" s="519"/>
      <c r="AP13" s="519"/>
      <c r="AQ13" s="519"/>
      <c r="AR13" s="519"/>
      <c r="AS13" s="519"/>
      <c r="AT13" s="519"/>
      <c r="AU13" s="519"/>
      <c r="AV13" s="519"/>
      <c r="AW13" s="519"/>
      <c r="AX13" s="519"/>
      <c r="AY13" s="519"/>
      <c r="AZ13" s="519"/>
      <c r="BA13" s="519"/>
      <c r="BB13" s="519"/>
      <c r="BC13" s="519"/>
      <c r="BD13" s="519"/>
      <c r="BE13" s="519"/>
      <c r="BF13" s="519"/>
      <c r="BG13" s="519"/>
      <c r="BH13" s="519"/>
      <c r="BI13" s="519"/>
      <c r="BJ13" s="519"/>
      <c r="BK13" s="519"/>
      <c r="BL13" s="519"/>
      <c r="BM13" s="519"/>
      <c r="BN13" s="519"/>
      <c r="BO13" s="519"/>
      <c r="BP13" s="519"/>
      <c r="BQ13" s="519"/>
      <c r="BR13" s="519"/>
      <c r="BS13" s="519"/>
      <c r="BT13" s="519"/>
      <c r="BU13" s="519"/>
      <c r="BV13" s="519"/>
      <c r="BW13" s="519"/>
      <c r="BX13" s="519"/>
      <c r="BY13" s="519"/>
      <c r="BZ13" s="519"/>
      <c r="CA13" s="519"/>
      <c r="CB13" s="519"/>
      <c r="CC13" s="519"/>
      <c r="CD13" s="519"/>
      <c r="CE13" s="519"/>
      <c r="CF13" s="519"/>
      <c r="CG13" s="519"/>
      <c r="CH13" s="519"/>
      <c r="CI13" s="519"/>
      <c r="CJ13" s="519"/>
      <c r="CK13" s="519"/>
      <c r="CL13" s="519"/>
      <c r="CM13" s="519"/>
      <c r="CN13" s="519"/>
      <c r="CO13" s="519"/>
      <c r="CP13" s="519"/>
      <c r="CQ13" s="519"/>
      <c r="CR13" s="519"/>
      <c r="CS13" s="519"/>
      <c r="CT13" s="519"/>
      <c r="CU13" s="519"/>
      <c r="CV13" s="519"/>
      <c r="CW13" s="519"/>
    </row>
    <row r="14" spans="1:101" s="539" customFormat="1">
      <c r="D14" s="536"/>
      <c r="E14" s="536"/>
      <c r="F14" s="536"/>
      <c r="G14" s="536" t="s">
        <v>1558</v>
      </c>
      <c r="H14" s="536" t="s">
        <v>1559</v>
      </c>
      <c r="I14" s="536" t="s">
        <v>1560</v>
      </c>
      <c r="J14" s="536" t="s">
        <v>1561</v>
      </c>
      <c r="K14" s="536" t="s">
        <v>1562</v>
      </c>
      <c r="L14" s="536" t="s">
        <v>654</v>
      </c>
      <c r="M14" s="540" t="s">
        <v>1563</v>
      </c>
      <c r="N14" s="539" t="s">
        <v>688</v>
      </c>
      <c r="O14" s="519"/>
      <c r="P14" s="519"/>
      <c r="Q14" s="519"/>
      <c r="R14" s="519"/>
      <c r="S14" s="519"/>
      <c r="T14" s="519"/>
      <c r="U14" s="519"/>
      <c r="V14" s="519"/>
      <c r="W14" s="519"/>
      <c r="X14" s="519"/>
      <c r="Y14" s="519"/>
      <c r="Z14" s="519"/>
      <c r="AA14" s="519"/>
      <c r="AB14" s="519"/>
      <c r="AC14" s="519"/>
      <c r="AD14" s="519"/>
      <c r="AE14" s="519"/>
      <c r="AF14" s="519"/>
      <c r="AG14" s="519"/>
      <c r="AH14" s="519"/>
      <c r="AI14" s="519"/>
      <c r="AJ14" s="519"/>
      <c r="AK14" s="519"/>
      <c r="AL14" s="519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519"/>
      <c r="BX14" s="519"/>
      <c r="BY14" s="519"/>
      <c r="BZ14" s="519"/>
      <c r="CA14" s="519"/>
      <c r="CB14" s="519"/>
      <c r="CC14" s="519"/>
      <c r="CD14" s="519"/>
      <c r="CE14" s="519"/>
      <c r="CF14" s="519"/>
      <c r="CG14" s="519"/>
      <c r="CH14" s="519"/>
      <c r="CI14" s="519"/>
      <c r="CJ14" s="519"/>
      <c r="CK14" s="519"/>
      <c r="CL14" s="519"/>
      <c r="CM14" s="519"/>
      <c r="CN14" s="519"/>
      <c r="CO14" s="519"/>
      <c r="CP14" s="519"/>
      <c r="CQ14" s="519"/>
      <c r="CR14" s="519"/>
      <c r="CS14" s="519"/>
      <c r="CT14" s="519"/>
      <c r="CU14" s="519"/>
      <c r="CV14" s="519"/>
      <c r="CW14" s="519"/>
    </row>
    <row r="15" spans="1:101" s="536" customFormat="1" ht="15.75">
      <c r="D15" s="536" t="s">
        <v>4</v>
      </c>
      <c r="E15" s="556">
        <v>1000</v>
      </c>
      <c r="F15" s="536" t="s">
        <v>1564</v>
      </c>
      <c r="G15" s="541">
        <v>495067.10871202394</v>
      </c>
      <c r="H15" s="541">
        <v>-1146.3859560486601</v>
      </c>
      <c r="I15" s="541"/>
      <c r="J15" s="541"/>
      <c r="K15" s="541">
        <v>12034.971364997862</v>
      </c>
      <c r="L15" s="541">
        <v>7574.2824011247731</v>
      </c>
      <c r="M15" s="541">
        <f>ROUND(SUM(H15:L15),0)</f>
        <v>18463</v>
      </c>
      <c r="N15" s="541">
        <f>+G15+M15</f>
        <v>513530.10871202394</v>
      </c>
      <c r="O15" s="542">
        <f>ROUND(N15,0)</f>
        <v>513530</v>
      </c>
      <c r="P15" s="519"/>
      <c r="Q15" s="519"/>
      <c r="R15" s="519"/>
      <c r="S15" s="519"/>
      <c r="T15" s="519"/>
      <c r="U15" s="519"/>
      <c r="V15" s="519"/>
      <c r="W15" s="519"/>
      <c r="X15" s="519"/>
      <c r="Y15" s="519"/>
      <c r="Z15" s="519"/>
      <c r="AA15" s="519"/>
      <c r="AB15" s="519"/>
      <c r="AC15" s="519"/>
      <c r="AD15" s="519"/>
      <c r="AE15" s="519"/>
      <c r="AF15" s="519"/>
      <c r="AG15" s="519"/>
      <c r="AH15" s="519"/>
      <c r="AI15" s="519"/>
      <c r="AJ15" s="519"/>
      <c r="AK15" s="519"/>
      <c r="AL15" s="519"/>
      <c r="AM15" s="519"/>
      <c r="AN15" s="519"/>
      <c r="AO15" s="519"/>
      <c r="AP15" s="519"/>
      <c r="AQ15" s="519"/>
      <c r="AR15" s="519"/>
      <c r="AS15" s="519"/>
      <c r="AT15" s="519"/>
      <c r="AU15" s="519"/>
      <c r="AV15" s="519"/>
      <c r="AW15" s="519"/>
      <c r="AX15" s="519"/>
      <c r="AY15" s="519"/>
      <c r="AZ15" s="519"/>
      <c r="BA15" s="519"/>
      <c r="BB15" s="519"/>
      <c r="BC15" s="519"/>
      <c r="BD15" s="519"/>
      <c r="BE15" s="519"/>
      <c r="BF15" s="519"/>
      <c r="BG15" s="519"/>
      <c r="BH15" s="519"/>
      <c r="BI15" s="519"/>
      <c r="BJ15" s="519"/>
      <c r="BK15" s="519"/>
      <c r="BL15" s="519"/>
      <c r="BM15" s="519"/>
      <c r="BN15" s="519"/>
      <c r="BO15" s="519"/>
      <c r="BP15" s="519"/>
      <c r="BQ15" s="519"/>
      <c r="BR15" s="519"/>
      <c r="BS15" s="519"/>
      <c r="BT15" s="519"/>
      <c r="BU15" s="519"/>
      <c r="BV15" s="519"/>
      <c r="BW15" s="519"/>
      <c r="BX15" s="519"/>
      <c r="BY15" s="519"/>
      <c r="BZ15" s="519"/>
      <c r="CA15" s="519"/>
      <c r="CB15" s="519"/>
      <c r="CC15" s="519"/>
      <c r="CD15" s="519"/>
      <c r="CE15" s="519"/>
      <c r="CF15" s="519"/>
      <c r="CG15" s="519"/>
      <c r="CH15" s="519"/>
      <c r="CI15" s="519"/>
      <c r="CJ15" s="519"/>
      <c r="CK15" s="519"/>
      <c r="CL15" s="519"/>
      <c r="CM15" s="519"/>
      <c r="CN15" s="519"/>
      <c r="CO15" s="519"/>
      <c r="CP15" s="519"/>
      <c r="CQ15" s="519"/>
      <c r="CR15" s="519"/>
      <c r="CS15" s="519"/>
      <c r="CT15" s="519"/>
      <c r="CU15" s="519"/>
      <c r="CV15" s="519"/>
      <c r="CW15" s="519"/>
    </row>
    <row r="16" spans="1:101" s="536" customFormat="1" ht="15.75">
      <c r="E16" s="556">
        <v>1001</v>
      </c>
      <c r="F16" s="536" t="s">
        <v>1482</v>
      </c>
      <c r="G16" s="541">
        <v>452171.31890160189</v>
      </c>
      <c r="H16" s="541">
        <v>1827.911350114417</v>
      </c>
      <c r="I16" s="541"/>
      <c r="J16" s="541"/>
      <c r="K16" s="541">
        <v>-20548.218627002287</v>
      </c>
      <c r="L16" s="541">
        <v>-7220.121542987923</v>
      </c>
      <c r="M16" s="541">
        <f t="shared" ref="M16:M79" si="0">ROUND(SUM(H16:L16),0)</f>
        <v>-25940</v>
      </c>
      <c r="N16" s="541">
        <f t="shared" ref="N16:N79" si="1">+G16+M16</f>
        <v>426231.31890160189</v>
      </c>
      <c r="O16" s="542">
        <f t="shared" ref="O16:O79" si="2">ROUND(N16,0)</f>
        <v>426231</v>
      </c>
      <c r="P16" s="519"/>
      <c r="Q16" s="519"/>
      <c r="R16" s="519"/>
      <c r="S16" s="519"/>
      <c r="T16" s="519"/>
      <c r="U16" s="519"/>
      <c r="V16" s="519"/>
      <c r="W16" s="519"/>
      <c r="X16" s="519"/>
      <c r="Y16" s="519"/>
      <c r="Z16" s="519"/>
      <c r="AA16" s="519"/>
      <c r="AB16" s="519"/>
      <c r="AC16" s="519"/>
      <c r="AD16" s="519"/>
      <c r="AE16" s="519"/>
      <c r="AF16" s="519"/>
      <c r="AG16" s="519"/>
      <c r="AH16" s="519"/>
      <c r="AI16" s="519"/>
      <c r="AJ16" s="519"/>
      <c r="AK16" s="519"/>
      <c r="AL16" s="519"/>
      <c r="AM16" s="519"/>
      <c r="AN16" s="519"/>
      <c r="AO16" s="519"/>
      <c r="AP16" s="519"/>
      <c r="AQ16" s="519"/>
      <c r="AR16" s="519"/>
      <c r="AS16" s="519"/>
      <c r="AT16" s="519"/>
      <c r="AU16" s="519"/>
      <c r="AV16" s="519"/>
      <c r="AW16" s="519"/>
      <c r="AX16" s="519"/>
      <c r="AY16" s="519"/>
      <c r="AZ16" s="519"/>
      <c r="BA16" s="519"/>
      <c r="BB16" s="519"/>
      <c r="BC16" s="519"/>
      <c r="BD16" s="519"/>
      <c r="BE16" s="519"/>
      <c r="BF16" s="519"/>
      <c r="BG16" s="519"/>
      <c r="BH16" s="519"/>
      <c r="BI16" s="519"/>
      <c r="BJ16" s="519"/>
      <c r="BK16" s="519"/>
      <c r="BL16" s="519"/>
      <c r="BM16" s="519"/>
      <c r="BN16" s="519"/>
      <c r="BO16" s="519"/>
      <c r="BP16" s="519"/>
      <c r="BQ16" s="519"/>
      <c r="BR16" s="519"/>
      <c r="BS16" s="519"/>
      <c r="BT16" s="519"/>
      <c r="BU16" s="519"/>
      <c r="BV16" s="519"/>
      <c r="BW16" s="519"/>
      <c r="BX16" s="519"/>
      <c r="BY16" s="519"/>
      <c r="BZ16" s="519"/>
      <c r="CA16" s="519"/>
      <c r="CB16" s="519"/>
      <c r="CC16" s="519"/>
      <c r="CD16" s="519"/>
      <c r="CE16" s="519"/>
      <c r="CF16" s="519"/>
      <c r="CG16" s="519"/>
      <c r="CH16" s="519"/>
      <c r="CI16" s="519"/>
      <c r="CJ16" s="519"/>
      <c r="CK16" s="519"/>
      <c r="CL16" s="519"/>
      <c r="CM16" s="519"/>
      <c r="CN16" s="519"/>
      <c r="CO16" s="519"/>
      <c r="CP16" s="519"/>
      <c r="CQ16" s="519"/>
      <c r="CR16" s="519"/>
      <c r="CS16" s="519"/>
      <c r="CT16" s="519"/>
      <c r="CU16" s="519"/>
      <c r="CV16" s="519"/>
      <c r="CW16" s="519"/>
    </row>
    <row r="17" spans="4:101" s="536" customFormat="1" ht="15.75">
      <c r="E17" s="556">
        <v>1002</v>
      </c>
      <c r="F17" s="536" t="s">
        <v>1483</v>
      </c>
      <c r="G17" s="541">
        <v>577290.86226350185</v>
      </c>
      <c r="H17" s="541">
        <v>8397.9604725047902</v>
      </c>
      <c r="I17" s="541"/>
      <c r="J17" s="541"/>
      <c r="K17" s="541">
        <v>-1405.0948813209498</v>
      </c>
      <c r="L17" s="541">
        <v>1666.2016167869153</v>
      </c>
      <c r="M17" s="541">
        <f t="shared" si="0"/>
        <v>8659</v>
      </c>
      <c r="N17" s="541">
        <f t="shared" si="1"/>
        <v>585949.86226350185</v>
      </c>
      <c r="O17" s="542">
        <f t="shared" si="2"/>
        <v>585950</v>
      </c>
      <c r="P17" s="519"/>
      <c r="Q17" s="519"/>
      <c r="R17" s="519"/>
      <c r="S17" s="519"/>
      <c r="T17" s="519"/>
      <c r="U17" s="519"/>
      <c r="V17" s="519"/>
      <c r="W17" s="519"/>
      <c r="X17" s="519"/>
      <c r="Y17" s="519"/>
      <c r="Z17" s="519"/>
      <c r="AA17" s="519"/>
      <c r="AB17" s="519"/>
      <c r="AC17" s="519"/>
      <c r="AD17" s="519"/>
      <c r="AE17" s="519"/>
      <c r="AF17" s="519"/>
      <c r="AG17" s="519"/>
      <c r="AH17" s="519"/>
      <c r="AI17" s="519"/>
      <c r="AJ17" s="519"/>
      <c r="AK17" s="519"/>
      <c r="AL17" s="519"/>
      <c r="AM17" s="519"/>
      <c r="AN17" s="519"/>
      <c r="AO17" s="519"/>
      <c r="AP17" s="519"/>
      <c r="AQ17" s="519"/>
      <c r="AR17" s="519"/>
      <c r="AS17" s="519"/>
      <c r="AT17" s="519"/>
      <c r="AU17" s="519"/>
      <c r="AV17" s="519"/>
      <c r="AW17" s="519"/>
      <c r="AX17" s="519"/>
      <c r="AY17" s="519"/>
      <c r="AZ17" s="519"/>
      <c r="BA17" s="519"/>
      <c r="BB17" s="519"/>
      <c r="BC17" s="519"/>
      <c r="BD17" s="519"/>
      <c r="BE17" s="519"/>
      <c r="BF17" s="519"/>
      <c r="BG17" s="519"/>
      <c r="BH17" s="519"/>
      <c r="BI17" s="519"/>
      <c r="BJ17" s="519"/>
      <c r="BK17" s="519"/>
      <c r="BL17" s="519"/>
      <c r="BM17" s="519"/>
      <c r="BN17" s="519"/>
      <c r="BO17" s="519"/>
      <c r="BP17" s="519"/>
      <c r="BQ17" s="519"/>
      <c r="BR17" s="519"/>
      <c r="BS17" s="519"/>
      <c r="BT17" s="519"/>
      <c r="BU17" s="519"/>
      <c r="BV17" s="519"/>
      <c r="BW17" s="519"/>
      <c r="BX17" s="519"/>
      <c r="BY17" s="519"/>
      <c r="BZ17" s="519"/>
      <c r="CA17" s="519"/>
      <c r="CB17" s="519"/>
      <c r="CC17" s="519"/>
      <c r="CD17" s="519"/>
      <c r="CE17" s="519"/>
      <c r="CF17" s="519"/>
      <c r="CG17" s="519"/>
      <c r="CH17" s="519"/>
      <c r="CI17" s="519"/>
      <c r="CJ17" s="519"/>
      <c r="CK17" s="519"/>
      <c r="CL17" s="519"/>
      <c r="CM17" s="519"/>
      <c r="CN17" s="519"/>
      <c r="CO17" s="519"/>
      <c r="CP17" s="519"/>
      <c r="CQ17" s="519"/>
      <c r="CR17" s="519"/>
      <c r="CS17" s="519"/>
      <c r="CT17" s="519"/>
      <c r="CU17" s="519"/>
      <c r="CV17" s="519"/>
      <c r="CW17" s="519"/>
    </row>
    <row r="18" spans="4:101" s="536" customFormat="1" ht="15.75">
      <c r="E18" s="556">
        <v>1003</v>
      </c>
      <c r="F18" s="536" t="s">
        <v>1565</v>
      </c>
      <c r="G18" s="541">
        <v>596618.84660377365</v>
      </c>
      <c r="H18" s="541">
        <v>4389.5658717548649</v>
      </c>
      <c r="I18" s="541"/>
      <c r="J18" s="541"/>
      <c r="K18" s="541">
        <v>-658.96439721946808</v>
      </c>
      <c r="L18" s="541">
        <v>11667.891922258434</v>
      </c>
      <c r="M18" s="541">
        <f t="shared" si="0"/>
        <v>15398</v>
      </c>
      <c r="N18" s="541">
        <f t="shared" si="1"/>
        <v>612016.84660377365</v>
      </c>
      <c r="O18" s="542">
        <f t="shared" si="2"/>
        <v>612017</v>
      </c>
      <c r="P18" s="519"/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519"/>
      <c r="AF18" s="519"/>
      <c r="AG18" s="519"/>
      <c r="AH18" s="519"/>
      <c r="AI18" s="519"/>
      <c r="AJ18" s="519"/>
      <c r="AK18" s="519"/>
      <c r="AL18" s="519"/>
      <c r="AM18" s="519"/>
      <c r="AN18" s="519"/>
      <c r="AO18" s="519"/>
      <c r="AP18" s="519"/>
      <c r="AQ18" s="519"/>
      <c r="AR18" s="519"/>
      <c r="AS18" s="519"/>
      <c r="AT18" s="519"/>
      <c r="AU18" s="519"/>
      <c r="AV18" s="519"/>
      <c r="AW18" s="519"/>
      <c r="AX18" s="519"/>
      <c r="AY18" s="519"/>
      <c r="AZ18" s="519"/>
      <c r="BA18" s="519"/>
      <c r="BB18" s="519"/>
      <c r="BC18" s="519"/>
      <c r="BD18" s="519"/>
      <c r="BE18" s="519"/>
      <c r="BF18" s="519"/>
      <c r="BG18" s="519"/>
      <c r="BH18" s="519"/>
      <c r="BI18" s="519"/>
      <c r="BJ18" s="519"/>
      <c r="BK18" s="519"/>
      <c r="BL18" s="519"/>
      <c r="BM18" s="519"/>
      <c r="BN18" s="519"/>
      <c r="BO18" s="519"/>
      <c r="BP18" s="519"/>
      <c r="BQ18" s="519"/>
      <c r="BR18" s="519"/>
      <c r="BS18" s="519"/>
      <c r="BT18" s="519"/>
      <c r="BU18" s="519"/>
      <c r="BV18" s="519"/>
      <c r="BW18" s="519"/>
      <c r="BX18" s="519"/>
      <c r="BY18" s="519"/>
      <c r="BZ18" s="519"/>
      <c r="CA18" s="519"/>
      <c r="CB18" s="519"/>
      <c r="CC18" s="519"/>
      <c r="CD18" s="519"/>
      <c r="CE18" s="519"/>
      <c r="CF18" s="519"/>
      <c r="CG18" s="519"/>
      <c r="CH18" s="519"/>
      <c r="CI18" s="519"/>
      <c r="CJ18" s="519"/>
      <c r="CK18" s="519"/>
      <c r="CL18" s="519"/>
      <c r="CM18" s="519"/>
      <c r="CN18" s="519"/>
      <c r="CO18" s="519"/>
      <c r="CP18" s="519"/>
      <c r="CQ18" s="519"/>
      <c r="CR18" s="519"/>
      <c r="CS18" s="519"/>
      <c r="CT18" s="519"/>
      <c r="CU18" s="519"/>
      <c r="CV18" s="519"/>
      <c r="CW18" s="519"/>
    </row>
    <row r="19" spans="4:101" s="536" customFormat="1" ht="15.75">
      <c r="D19" s="536" t="s">
        <v>1566</v>
      </c>
      <c r="E19" s="556" t="e">
        <v>#N/A</v>
      </c>
      <c r="G19" s="543">
        <v>2121148.1364809014</v>
      </c>
      <c r="H19" s="541">
        <v>13469.051738325412</v>
      </c>
      <c r="I19" s="541"/>
      <c r="J19" s="541"/>
      <c r="K19" s="541">
        <v>-10577.306540544843</v>
      </c>
      <c r="L19" s="541">
        <v>13688.2543971822</v>
      </c>
      <c r="M19" s="541">
        <f t="shared" si="0"/>
        <v>16580</v>
      </c>
      <c r="N19" s="541">
        <f t="shared" si="1"/>
        <v>2137728.1364809014</v>
      </c>
      <c r="O19" s="542">
        <f t="shared" si="2"/>
        <v>2137728</v>
      </c>
      <c r="P19" s="519"/>
      <c r="Q19" s="519"/>
      <c r="R19" s="519"/>
      <c r="S19" s="519"/>
      <c r="T19" s="519"/>
      <c r="U19" s="519"/>
      <c r="V19" s="519"/>
      <c r="W19" s="519"/>
      <c r="X19" s="519"/>
      <c r="Y19" s="519"/>
      <c r="Z19" s="519"/>
      <c r="AA19" s="519"/>
      <c r="AB19" s="519"/>
      <c r="AC19" s="519"/>
      <c r="AD19" s="519"/>
      <c r="AE19" s="519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19"/>
      <c r="AR19" s="519"/>
      <c r="AS19" s="519"/>
      <c r="AT19" s="519"/>
      <c r="AU19" s="519"/>
      <c r="AV19" s="519"/>
      <c r="AW19" s="519"/>
      <c r="AX19" s="519"/>
      <c r="AY19" s="519"/>
      <c r="AZ19" s="519"/>
      <c r="BA19" s="519"/>
      <c r="BB19" s="519"/>
      <c r="BC19" s="519"/>
      <c r="BD19" s="519"/>
      <c r="BE19" s="519"/>
      <c r="BF19" s="519"/>
      <c r="BG19" s="519"/>
      <c r="BH19" s="519"/>
      <c r="BI19" s="519"/>
      <c r="BJ19" s="519"/>
      <c r="BK19" s="519"/>
      <c r="BL19" s="519"/>
      <c r="BM19" s="519"/>
      <c r="BN19" s="519"/>
      <c r="BO19" s="519"/>
      <c r="BP19" s="519"/>
      <c r="BQ19" s="519"/>
      <c r="BR19" s="519"/>
      <c r="BS19" s="519"/>
      <c r="BT19" s="519"/>
      <c r="BU19" s="519"/>
      <c r="BV19" s="519"/>
      <c r="BW19" s="519"/>
      <c r="BX19" s="519"/>
      <c r="BY19" s="519"/>
      <c r="BZ19" s="519"/>
      <c r="CA19" s="519"/>
      <c r="CB19" s="519"/>
      <c r="CC19" s="519"/>
      <c r="CD19" s="519"/>
      <c r="CE19" s="519"/>
      <c r="CF19" s="519"/>
      <c r="CG19" s="519"/>
      <c r="CH19" s="519"/>
      <c r="CI19" s="519"/>
      <c r="CJ19" s="519"/>
      <c r="CK19" s="519"/>
      <c r="CL19" s="519"/>
      <c r="CM19" s="519"/>
      <c r="CN19" s="519"/>
      <c r="CO19" s="519"/>
      <c r="CP19" s="519"/>
      <c r="CQ19" s="519"/>
      <c r="CR19" s="519"/>
      <c r="CS19" s="519"/>
      <c r="CT19" s="519"/>
      <c r="CU19" s="519"/>
      <c r="CV19" s="519"/>
      <c r="CW19" s="519"/>
    </row>
    <row r="20" spans="4:101" s="536" customFormat="1" ht="15.75">
      <c r="D20" s="536" t="s">
        <v>5</v>
      </c>
      <c r="E20" s="556">
        <v>3520</v>
      </c>
      <c r="F20" s="536" t="s">
        <v>268</v>
      </c>
      <c r="G20" s="541">
        <v>1592696.390861751</v>
      </c>
      <c r="H20" s="541">
        <v>50314.25</v>
      </c>
      <c r="I20" s="541">
        <v>-7744.2857142857147</v>
      </c>
      <c r="J20" s="541"/>
      <c r="K20" s="541">
        <v>6148.3333333333358</v>
      </c>
      <c r="L20" s="541">
        <v>-1095.1666666666642</v>
      </c>
      <c r="M20" s="541">
        <f t="shared" si="0"/>
        <v>47623</v>
      </c>
      <c r="N20" s="541">
        <f t="shared" si="1"/>
        <v>1640319.390861751</v>
      </c>
      <c r="O20" s="542">
        <f t="shared" si="2"/>
        <v>1640319</v>
      </c>
      <c r="P20" s="519"/>
      <c r="Q20" s="519"/>
      <c r="R20" s="519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19"/>
      <c r="AV20" s="519"/>
      <c r="AW20" s="519"/>
      <c r="AX20" s="519"/>
      <c r="AY20" s="519"/>
      <c r="AZ20" s="519"/>
      <c r="BA20" s="519"/>
      <c r="BB20" s="519"/>
      <c r="BC20" s="519"/>
      <c r="BD20" s="519"/>
      <c r="BE20" s="519"/>
      <c r="BF20" s="519"/>
      <c r="BG20" s="519"/>
      <c r="BH20" s="519"/>
      <c r="BI20" s="519"/>
      <c r="BJ20" s="519"/>
      <c r="BK20" s="519"/>
      <c r="BL20" s="519"/>
      <c r="BM20" s="519"/>
      <c r="BN20" s="519"/>
      <c r="BO20" s="519"/>
      <c r="BP20" s="519"/>
      <c r="BQ20" s="519"/>
      <c r="BR20" s="519"/>
      <c r="BS20" s="519"/>
      <c r="BT20" s="519"/>
      <c r="BU20" s="519"/>
      <c r="BV20" s="519"/>
      <c r="BW20" s="519"/>
      <c r="BX20" s="519"/>
      <c r="BY20" s="519"/>
      <c r="BZ20" s="519"/>
      <c r="CA20" s="519"/>
      <c r="CB20" s="519"/>
      <c r="CC20" s="519"/>
      <c r="CD20" s="519"/>
      <c r="CE20" s="519"/>
      <c r="CF20" s="519"/>
      <c r="CG20" s="519"/>
      <c r="CH20" s="519"/>
      <c r="CI20" s="519"/>
      <c r="CJ20" s="519"/>
      <c r="CK20" s="519"/>
      <c r="CL20" s="519"/>
      <c r="CM20" s="519"/>
      <c r="CN20" s="519"/>
      <c r="CO20" s="519"/>
      <c r="CP20" s="519"/>
      <c r="CQ20" s="519"/>
      <c r="CR20" s="519"/>
      <c r="CS20" s="519"/>
      <c r="CT20" s="519"/>
      <c r="CU20" s="519"/>
      <c r="CV20" s="519"/>
      <c r="CW20" s="519"/>
    </row>
    <row r="21" spans="4:101" s="536" customFormat="1" ht="15.75">
      <c r="E21" s="556">
        <v>3317</v>
      </c>
      <c r="F21" s="544" t="s">
        <v>33</v>
      </c>
      <c r="G21" s="541">
        <v>1189732.6331098615</v>
      </c>
      <c r="H21" s="541">
        <v>25165.342017205174</v>
      </c>
      <c r="I21" s="541">
        <v>3954.7169811320932</v>
      </c>
      <c r="J21" s="541"/>
      <c r="K21" s="541">
        <v>1901.2838122332867</v>
      </c>
      <c r="L21" s="541">
        <v>111.13917225495993</v>
      </c>
      <c r="M21" s="541">
        <f t="shared" si="0"/>
        <v>31132</v>
      </c>
      <c r="N21" s="541">
        <f t="shared" si="1"/>
        <v>1220864.6331098615</v>
      </c>
      <c r="O21" s="542">
        <f t="shared" si="2"/>
        <v>1220865</v>
      </c>
      <c r="P21" s="519"/>
      <c r="Q21" s="519"/>
      <c r="R21" s="519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19"/>
      <c r="AV21" s="519"/>
      <c r="AW21" s="519"/>
      <c r="AX21" s="519"/>
      <c r="AY21" s="519"/>
      <c r="AZ21" s="519"/>
      <c r="BA21" s="519"/>
      <c r="BB21" s="519"/>
      <c r="BC21" s="519"/>
      <c r="BD21" s="519"/>
      <c r="BE21" s="519"/>
      <c r="BF21" s="519"/>
      <c r="BG21" s="519"/>
      <c r="BH21" s="519"/>
      <c r="BI21" s="519"/>
      <c r="BJ21" s="519"/>
      <c r="BK21" s="519"/>
      <c r="BL21" s="519"/>
      <c r="BM21" s="519"/>
      <c r="BN21" s="519"/>
      <c r="BO21" s="519"/>
      <c r="BP21" s="519"/>
      <c r="BQ21" s="519"/>
      <c r="BR21" s="519"/>
      <c r="BS21" s="519"/>
      <c r="BT21" s="519"/>
      <c r="BU21" s="519"/>
      <c r="BV21" s="519"/>
      <c r="BW21" s="519"/>
      <c r="BX21" s="519"/>
      <c r="BY21" s="519"/>
      <c r="BZ21" s="519"/>
      <c r="CA21" s="519"/>
      <c r="CB21" s="519"/>
      <c r="CC21" s="519"/>
      <c r="CD21" s="519"/>
      <c r="CE21" s="519"/>
      <c r="CF21" s="519"/>
      <c r="CG21" s="519"/>
      <c r="CH21" s="519"/>
      <c r="CI21" s="519"/>
      <c r="CJ21" s="519"/>
      <c r="CK21" s="519"/>
      <c r="CL21" s="519"/>
      <c r="CM21" s="519"/>
      <c r="CN21" s="519"/>
      <c r="CO21" s="519"/>
      <c r="CP21" s="519"/>
      <c r="CQ21" s="519"/>
      <c r="CR21" s="519"/>
      <c r="CS21" s="519"/>
      <c r="CT21" s="519"/>
      <c r="CU21" s="519"/>
      <c r="CV21" s="519"/>
      <c r="CW21" s="519"/>
    </row>
    <row r="22" spans="4:101" s="536" customFormat="1" ht="15.75">
      <c r="E22" s="556">
        <v>3300</v>
      </c>
      <c r="F22" s="545" t="s">
        <v>34</v>
      </c>
      <c r="G22" s="541">
        <v>1165199.4414152091</v>
      </c>
      <c r="H22" s="541">
        <v>20730.083333333332</v>
      </c>
      <c r="I22" s="541">
        <v>-5918.0952380952822</v>
      </c>
      <c r="J22" s="541"/>
      <c r="K22" s="541">
        <v>4939.6666666666642</v>
      </c>
      <c r="L22" s="541">
        <v>-1609.6666666666642</v>
      </c>
      <c r="M22" s="541">
        <f t="shared" si="0"/>
        <v>18142</v>
      </c>
      <c r="N22" s="541">
        <f t="shared" si="1"/>
        <v>1183341.4414152091</v>
      </c>
      <c r="O22" s="542">
        <f t="shared" si="2"/>
        <v>1183341</v>
      </c>
      <c r="P22" s="519"/>
      <c r="Q22" s="519"/>
      <c r="R22" s="519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19"/>
      <c r="AV22" s="519"/>
      <c r="AW22" s="519"/>
      <c r="AX22" s="519"/>
      <c r="AY22" s="519"/>
      <c r="AZ22" s="519"/>
      <c r="BA22" s="519"/>
      <c r="BB22" s="519"/>
      <c r="BC22" s="519"/>
      <c r="BD22" s="519"/>
      <c r="BE22" s="519"/>
      <c r="BF22" s="519"/>
      <c r="BG22" s="519"/>
      <c r="BH22" s="519"/>
      <c r="BI22" s="519"/>
      <c r="BJ22" s="519"/>
      <c r="BK22" s="519"/>
      <c r="BL22" s="519"/>
      <c r="BM22" s="519"/>
      <c r="BN22" s="519"/>
      <c r="BO22" s="519"/>
      <c r="BP22" s="519"/>
      <c r="BQ22" s="519"/>
      <c r="BR22" s="519"/>
      <c r="BS22" s="519"/>
      <c r="BT22" s="519"/>
      <c r="BU22" s="519"/>
      <c r="BV22" s="519"/>
      <c r="BW22" s="519"/>
      <c r="BX22" s="519"/>
      <c r="BY22" s="519"/>
      <c r="BZ22" s="519"/>
      <c r="CA22" s="519"/>
      <c r="CB22" s="519"/>
      <c r="CC22" s="519"/>
      <c r="CD22" s="519"/>
      <c r="CE22" s="519"/>
      <c r="CF22" s="519"/>
      <c r="CG22" s="519"/>
      <c r="CH22" s="519"/>
      <c r="CI22" s="519"/>
      <c r="CJ22" s="519"/>
      <c r="CK22" s="519"/>
      <c r="CL22" s="519"/>
      <c r="CM22" s="519"/>
      <c r="CN22" s="519"/>
      <c r="CO22" s="519"/>
      <c r="CP22" s="519"/>
      <c r="CQ22" s="519"/>
      <c r="CR22" s="519"/>
      <c r="CS22" s="519"/>
      <c r="CT22" s="519"/>
      <c r="CU22" s="519"/>
      <c r="CV22" s="519"/>
      <c r="CW22" s="519"/>
    </row>
    <row r="23" spans="4:101" s="536" customFormat="1" ht="15.75">
      <c r="E23" s="556" t="e">
        <v>#N/A</v>
      </c>
      <c r="F23" s="546" t="s">
        <v>1492</v>
      </c>
      <c r="G23" s="541">
        <v>0</v>
      </c>
      <c r="H23" s="541">
        <v>12953.5</v>
      </c>
      <c r="I23" s="541">
        <v>0</v>
      </c>
      <c r="J23" s="541"/>
      <c r="K23" s="541">
        <v>0</v>
      </c>
      <c r="L23" s="541">
        <v>0</v>
      </c>
      <c r="M23" s="541">
        <f t="shared" si="0"/>
        <v>12954</v>
      </c>
      <c r="N23" s="541">
        <f t="shared" si="1"/>
        <v>12954</v>
      </c>
      <c r="O23" s="542">
        <f t="shared" si="2"/>
        <v>12954</v>
      </c>
      <c r="P23" s="519"/>
      <c r="Q23" s="519"/>
      <c r="R23" s="519"/>
      <c r="S23" s="519"/>
      <c r="T23" s="519"/>
      <c r="U23" s="519"/>
      <c r="V23" s="519"/>
      <c r="W23" s="519"/>
      <c r="X23" s="519"/>
      <c r="Y23" s="519"/>
      <c r="Z23" s="519"/>
      <c r="AA23" s="519"/>
      <c r="AB23" s="519"/>
      <c r="AC23" s="519"/>
      <c r="AD23" s="519"/>
      <c r="AE23" s="519"/>
      <c r="AF23" s="519"/>
      <c r="AG23" s="519"/>
      <c r="AH23" s="519"/>
      <c r="AI23" s="519"/>
      <c r="AJ23" s="519"/>
      <c r="AK23" s="519"/>
      <c r="AL23" s="519"/>
      <c r="AM23" s="519"/>
      <c r="AN23" s="519"/>
      <c r="AO23" s="519"/>
      <c r="AP23" s="519"/>
      <c r="AQ23" s="519"/>
      <c r="AR23" s="519"/>
      <c r="AS23" s="519"/>
      <c r="AT23" s="519"/>
      <c r="AU23" s="519"/>
      <c r="AV23" s="519"/>
      <c r="AW23" s="519"/>
      <c r="AX23" s="519"/>
      <c r="AY23" s="519"/>
      <c r="AZ23" s="519"/>
      <c r="BA23" s="519"/>
      <c r="BB23" s="519"/>
      <c r="BC23" s="519"/>
      <c r="BD23" s="519"/>
      <c r="BE23" s="519"/>
      <c r="BF23" s="519"/>
      <c r="BG23" s="519"/>
      <c r="BH23" s="519"/>
      <c r="BI23" s="519"/>
      <c r="BJ23" s="519"/>
      <c r="BK23" s="519"/>
      <c r="BL23" s="519"/>
      <c r="BM23" s="519"/>
      <c r="BN23" s="519"/>
      <c r="BO23" s="519"/>
      <c r="BP23" s="519"/>
      <c r="BQ23" s="519"/>
      <c r="BR23" s="519"/>
      <c r="BS23" s="519"/>
      <c r="BT23" s="519"/>
      <c r="BU23" s="519"/>
      <c r="BV23" s="519"/>
      <c r="BW23" s="519"/>
      <c r="BX23" s="519"/>
      <c r="BY23" s="519"/>
      <c r="BZ23" s="519"/>
      <c r="CA23" s="519"/>
      <c r="CB23" s="519"/>
      <c r="CC23" s="519"/>
      <c r="CD23" s="519"/>
      <c r="CE23" s="519"/>
      <c r="CF23" s="519"/>
      <c r="CG23" s="519"/>
      <c r="CH23" s="519"/>
      <c r="CI23" s="519"/>
      <c r="CJ23" s="519"/>
      <c r="CK23" s="519"/>
      <c r="CL23" s="519"/>
      <c r="CM23" s="519"/>
      <c r="CN23" s="519"/>
      <c r="CO23" s="519"/>
      <c r="CP23" s="519"/>
      <c r="CQ23" s="519"/>
      <c r="CR23" s="519"/>
      <c r="CS23" s="519"/>
      <c r="CT23" s="519"/>
      <c r="CU23" s="519"/>
      <c r="CV23" s="519"/>
      <c r="CW23" s="519"/>
    </row>
    <row r="24" spans="4:101" s="536" customFormat="1" ht="15.75">
      <c r="E24" s="556">
        <v>3514</v>
      </c>
      <c r="F24" s="544" t="s">
        <v>36</v>
      </c>
      <c r="G24" s="541">
        <v>1061585.7243293275</v>
      </c>
      <c r="H24" s="541">
        <v>0</v>
      </c>
      <c r="I24" s="541">
        <v>-1608.9686098654581</v>
      </c>
      <c r="J24" s="541"/>
      <c r="K24" s="541">
        <v>9963.1666666666642</v>
      </c>
      <c r="L24" s="541">
        <v>1196</v>
      </c>
      <c r="M24" s="541">
        <f t="shared" si="0"/>
        <v>9550</v>
      </c>
      <c r="N24" s="541">
        <f t="shared" si="1"/>
        <v>1071135.7243293275</v>
      </c>
      <c r="O24" s="542">
        <f t="shared" si="2"/>
        <v>1071136</v>
      </c>
      <c r="P24" s="519"/>
      <c r="Q24" s="519"/>
      <c r="R24" s="519"/>
      <c r="S24" s="519"/>
      <c r="T24" s="519"/>
      <c r="U24" s="519"/>
      <c r="V24" s="519"/>
      <c r="W24" s="519"/>
      <c r="X24" s="519"/>
      <c r="Y24" s="519"/>
      <c r="Z24" s="519"/>
      <c r="AA24" s="519"/>
      <c r="AB24" s="519"/>
      <c r="AC24" s="519"/>
      <c r="AD24" s="519"/>
      <c r="AE24" s="519"/>
      <c r="AF24" s="519"/>
      <c r="AG24" s="519"/>
      <c r="AH24" s="519"/>
      <c r="AI24" s="519"/>
      <c r="AJ24" s="519"/>
      <c r="AK24" s="519"/>
      <c r="AL24" s="519"/>
      <c r="AM24" s="519"/>
      <c r="AN24" s="519"/>
      <c r="AO24" s="519"/>
      <c r="AP24" s="519"/>
      <c r="AQ24" s="519"/>
      <c r="AR24" s="519"/>
      <c r="AS24" s="519"/>
      <c r="AT24" s="519"/>
      <c r="AU24" s="519"/>
      <c r="AV24" s="519"/>
      <c r="AW24" s="519"/>
      <c r="AX24" s="519"/>
      <c r="AY24" s="519"/>
      <c r="AZ24" s="519"/>
      <c r="BA24" s="519"/>
      <c r="BB24" s="519"/>
      <c r="BC24" s="519"/>
      <c r="BD24" s="519"/>
      <c r="BE24" s="519"/>
      <c r="BF24" s="519"/>
      <c r="BG24" s="519"/>
      <c r="BH24" s="519"/>
      <c r="BI24" s="519"/>
      <c r="BJ24" s="519"/>
      <c r="BK24" s="519"/>
      <c r="BL24" s="519"/>
      <c r="BM24" s="519"/>
      <c r="BN24" s="519"/>
      <c r="BO24" s="519"/>
      <c r="BP24" s="519"/>
      <c r="BQ24" s="519"/>
      <c r="BR24" s="519"/>
      <c r="BS24" s="519"/>
      <c r="BT24" s="519"/>
      <c r="BU24" s="519"/>
      <c r="BV24" s="519"/>
      <c r="BW24" s="519"/>
      <c r="BX24" s="519"/>
      <c r="BY24" s="519"/>
      <c r="BZ24" s="519"/>
      <c r="CA24" s="519"/>
      <c r="CB24" s="519"/>
      <c r="CC24" s="519"/>
      <c r="CD24" s="519"/>
      <c r="CE24" s="519"/>
      <c r="CF24" s="519"/>
      <c r="CG24" s="519"/>
      <c r="CH24" s="519"/>
      <c r="CI24" s="519"/>
      <c r="CJ24" s="519"/>
      <c r="CK24" s="519"/>
      <c r="CL24" s="519"/>
      <c r="CM24" s="519"/>
      <c r="CN24" s="519"/>
      <c r="CO24" s="519"/>
      <c r="CP24" s="519"/>
      <c r="CQ24" s="519"/>
      <c r="CR24" s="519"/>
      <c r="CS24" s="519"/>
      <c r="CT24" s="519"/>
      <c r="CU24" s="519"/>
      <c r="CV24" s="519"/>
      <c r="CW24" s="519"/>
    </row>
    <row r="25" spans="4:101" s="536" customFormat="1" ht="15.75">
      <c r="E25" s="556">
        <v>2002</v>
      </c>
      <c r="F25" s="536" t="s">
        <v>37</v>
      </c>
      <c r="G25" s="541">
        <v>2898791.2374899951</v>
      </c>
      <c r="H25" s="541">
        <v>41557.63003231764</v>
      </c>
      <c r="I25" s="541">
        <v>-21161.250000000029</v>
      </c>
      <c r="J25" s="541">
        <v>0</v>
      </c>
      <c r="K25" s="541">
        <v>-88.05056325024043</v>
      </c>
      <c r="L25" s="541">
        <v>29125.336103416441</v>
      </c>
      <c r="M25" s="541">
        <f t="shared" si="0"/>
        <v>49434</v>
      </c>
      <c r="N25" s="541">
        <f t="shared" si="1"/>
        <v>2948225.2374899951</v>
      </c>
      <c r="O25" s="542">
        <f t="shared" si="2"/>
        <v>2948225</v>
      </c>
      <c r="P25" s="519"/>
      <c r="Q25" s="519"/>
      <c r="R25" s="519"/>
      <c r="S25" s="519"/>
      <c r="T25" s="519"/>
      <c r="U25" s="519"/>
      <c r="V25" s="519"/>
      <c r="W25" s="519"/>
      <c r="X25" s="519"/>
      <c r="Y25" s="519"/>
      <c r="Z25" s="519"/>
      <c r="AA25" s="519"/>
      <c r="AB25" s="519"/>
      <c r="AC25" s="519"/>
      <c r="AD25" s="519"/>
      <c r="AE25" s="519"/>
      <c r="AF25" s="519"/>
      <c r="AG25" s="519"/>
      <c r="AH25" s="519"/>
      <c r="AI25" s="519"/>
      <c r="AJ25" s="519"/>
      <c r="AK25" s="519"/>
      <c r="AL25" s="519"/>
      <c r="AM25" s="519"/>
      <c r="AN25" s="519"/>
      <c r="AO25" s="519"/>
      <c r="AP25" s="519"/>
      <c r="AQ25" s="519"/>
      <c r="AR25" s="519"/>
      <c r="AS25" s="519"/>
      <c r="AT25" s="519"/>
      <c r="AU25" s="519"/>
      <c r="AV25" s="519"/>
      <c r="AW25" s="519"/>
      <c r="AX25" s="519"/>
      <c r="AY25" s="519"/>
      <c r="AZ25" s="519"/>
      <c r="BA25" s="519"/>
      <c r="BB25" s="519"/>
      <c r="BC25" s="519"/>
      <c r="BD25" s="519"/>
      <c r="BE25" s="519"/>
      <c r="BF25" s="519"/>
      <c r="BG25" s="519"/>
      <c r="BH25" s="519"/>
      <c r="BI25" s="519"/>
      <c r="BJ25" s="519"/>
      <c r="BK25" s="519"/>
      <c r="BL25" s="519"/>
      <c r="BM25" s="519"/>
      <c r="BN25" s="519"/>
      <c r="BO25" s="519"/>
      <c r="BP25" s="519"/>
      <c r="BQ25" s="519"/>
      <c r="BR25" s="519"/>
      <c r="BS25" s="519"/>
      <c r="BT25" s="519"/>
      <c r="BU25" s="519"/>
      <c r="BV25" s="519"/>
      <c r="BW25" s="519"/>
      <c r="BX25" s="519"/>
      <c r="BY25" s="519"/>
      <c r="BZ25" s="519"/>
      <c r="CA25" s="519"/>
      <c r="CB25" s="519"/>
      <c r="CC25" s="519"/>
      <c r="CD25" s="519"/>
      <c r="CE25" s="519"/>
      <c r="CF25" s="519"/>
      <c r="CG25" s="519"/>
      <c r="CH25" s="519"/>
      <c r="CI25" s="519"/>
      <c r="CJ25" s="519"/>
      <c r="CK25" s="519"/>
      <c r="CL25" s="519"/>
      <c r="CM25" s="519"/>
      <c r="CN25" s="519"/>
      <c r="CO25" s="519"/>
      <c r="CP25" s="519"/>
      <c r="CQ25" s="519"/>
      <c r="CR25" s="519"/>
      <c r="CS25" s="519"/>
      <c r="CT25" s="519"/>
      <c r="CU25" s="519"/>
      <c r="CV25" s="519"/>
      <c r="CW25" s="519"/>
    </row>
    <row r="26" spans="4:101" s="536" customFormat="1" ht="15.75">
      <c r="E26" s="556">
        <v>2079</v>
      </c>
      <c r="F26" s="536" t="s">
        <v>38</v>
      </c>
      <c r="G26" s="541">
        <v>1920466.6483371672</v>
      </c>
      <c r="H26" s="541">
        <v>65203.203996101365</v>
      </c>
      <c r="I26" s="541">
        <v>1794.9671772428972</v>
      </c>
      <c r="J26" s="541"/>
      <c r="K26" s="541">
        <v>-19278.573567251464</v>
      </c>
      <c r="L26" s="541">
        <v>-12004.45029239766</v>
      </c>
      <c r="M26" s="541">
        <f t="shared" si="0"/>
        <v>35715</v>
      </c>
      <c r="N26" s="541">
        <f t="shared" si="1"/>
        <v>1956181.6483371672</v>
      </c>
      <c r="O26" s="542">
        <f t="shared" si="2"/>
        <v>1956182</v>
      </c>
      <c r="P26" s="519"/>
      <c r="Q26" s="519"/>
      <c r="R26" s="519"/>
      <c r="S26" s="519"/>
      <c r="T26" s="519"/>
      <c r="U26" s="519"/>
      <c r="V26" s="519"/>
      <c r="W26" s="519"/>
      <c r="X26" s="519"/>
      <c r="Y26" s="519"/>
      <c r="Z26" s="519"/>
      <c r="AA26" s="519"/>
      <c r="AB26" s="519"/>
      <c r="AC26" s="519"/>
      <c r="AD26" s="519"/>
      <c r="AE26" s="519"/>
      <c r="AF26" s="519"/>
      <c r="AG26" s="519"/>
      <c r="AH26" s="519"/>
      <c r="AI26" s="519"/>
      <c r="AJ26" s="519"/>
      <c r="AK26" s="519"/>
      <c r="AL26" s="519"/>
      <c r="AM26" s="519"/>
      <c r="AN26" s="519"/>
      <c r="AO26" s="519"/>
      <c r="AP26" s="519"/>
      <c r="AQ26" s="519"/>
      <c r="AR26" s="519"/>
      <c r="AS26" s="519"/>
      <c r="AT26" s="519"/>
      <c r="AU26" s="519"/>
      <c r="AV26" s="519"/>
      <c r="AW26" s="519"/>
      <c r="AX26" s="519"/>
      <c r="AY26" s="519"/>
      <c r="AZ26" s="519"/>
      <c r="BA26" s="519"/>
      <c r="BB26" s="519"/>
      <c r="BC26" s="519"/>
      <c r="BD26" s="519"/>
      <c r="BE26" s="519"/>
      <c r="BF26" s="519"/>
      <c r="BG26" s="519"/>
      <c r="BH26" s="519"/>
      <c r="BI26" s="519"/>
      <c r="BJ26" s="519"/>
      <c r="BK26" s="519"/>
      <c r="BL26" s="519"/>
      <c r="BM26" s="519"/>
      <c r="BN26" s="519"/>
      <c r="BO26" s="519"/>
      <c r="BP26" s="519"/>
      <c r="BQ26" s="519"/>
      <c r="BR26" s="519"/>
      <c r="BS26" s="519"/>
      <c r="BT26" s="519"/>
      <c r="BU26" s="519"/>
      <c r="BV26" s="519"/>
      <c r="BW26" s="519"/>
      <c r="BX26" s="519"/>
      <c r="BY26" s="519"/>
      <c r="BZ26" s="519"/>
      <c r="CA26" s="519"/>
      <c r="CB26" s="519"/>
      <c r="CC26" s="519"/>
      <c r="CD26" s="519"/>
      <c r="CE26" s="519"/>
      <c r="CF26" s="519"/>
      <c r="CG26" s="519"/>
      <c r="CH26" s="519"/>
      <c r="CI26" s="519"/>
      <c r="CJ26" s="519"/>
      <c r="CK26" s="519"/>
      <c r="CL26" s="519"/>
      <c r="CM26" s="519"/>
      <c r="CN26" s="519"/>
      <c r="CO26" s="519"/>
      <c r="CP26" s="519"/>
      <c r="CQ26" s="519"/>
      <c r="CR26" s="519"/>
      <c r="CS26" s="519"/>
      <c r="CT26" s="519"/>
      <c r="CU26" s="519"/>
      <c r="CV26" s="519"/>
      <c r="CW26" s="519"/>
    </row>
    <row r="27" spans="4:101" s="536" customFormat="1" ht="15.75">
      <c r="E27" s="556">
        <v>3524</v>
      </c>
      <c r="F27" s="547" t="s">
        <v>1567</v>
      </c>
      <c r="G27" s="541">
        <v>1062864.8641897377</v>
      </c>
      <c r="H27" s="541">
        <v>13317.406666666668</v>
      </c>
      <c r="I27" s="541">
        <v>-4749.7206703910579</v>
      </c>
      <c r="J27" s="541"/>
      <c r="K27" s="541">
        <v>-2034.4663157894693</v>
      </c>
      <c r="L27" s="541">
        <v>3105</v>
      </c>
      <c r="M27" s="541">
        <f t="shared" si="0"/>
        <v>9638</v>
      </c>
      <c r="N27" s="541">
        <f t="shared" si="1"/>
        <v>1072502.8641897377</v>
      </c>
      <c r="O27" s="542">
        <f t="shared" si="2"/>
        <v>1072503</v>
      </c>
      <c r="P27" s="519"/>
      <c r="Q27" s="519"/>
      <c r="R27" s="519"/>
      <c r="S27" s="519"/>
      <c r="T27" s="519"/>
      <c r="U27" s="519"/>
      <c r="V27" s="519"/>
      <c r="W27" s="519"/>
      <c r="X27" s="519"/>
      <c r="Y27" s="519"/>
      <c r="Z27" s="519"/>
      <c r="AA27" s="519"/>
      <c r="AB27" s="519"/>
      <c r="AC27" s="519"/>
      <c r="AD27" s="519"/>
      <c r="AE27" s="519"/>
      <c r="AF27" s="519"/>
      <c r="AG27" s="519"/>
      <c r="AH27" s="519"/>
      <c r="AI27" s="519"/>
      <c r="AJ27" s="519"/>
      <c r="AK27" s="519"/>
      <c r="AL27" s="519"/>
      <c r="AM27" s="519"/>
      <c r="AN27" s="519"/>
      <c r="AO27" s="519"/>
      <c r="AP27" s="519"/>
      <c r="AQ27" s="519"/>
      <c r="AR27" s="519"/>
      <c r="AS27" s="519"/>
      <c r="AT27" s="519"/>
      <c r="AU27" s="519"/>
      <c r="AV27" s="519"/>
      <c r="AW27" s="519"/>
      <c r="AX27" s="519"/>
      <c r="AY27" s="519"/>
      <c r="AZ27" s="519"/>
      <c r="BA27" s="519"/>
      <c r="BB27" s="519"/>
      <c r="BC27" s="519"/>
      <c r="BD27" s="519"/>
      <c r="BE27" s="519"/>
      <c r="BF27" s="519"/>
      <c r="BG27" s="519"/>
      <c r="BH27" s="519"/>
      <c r="BI27" s="519"/>
      <c r="BJ27" s="519"/>
      <c r="BK27" s="519"/>
      <c r="BL27" s="519"/>
      <c r="BM27" s="519"/>
      <c r="BN27" s="519"/>
      <c r="BO27" s="519"/>
      <c r="BP27" s="519"/>
      <c r="BQ27" s="519"/>
      <c r="BR27" s="519"/>
      <c r="BS27" s="519"/>
      <c r="BT27" s="519"/>
      <c r="BU27" s="519"/>
      <c r="BV27" s="519"/>
      <c r="BW27" s="519"/>
      <c r="BX27" s="519"/>
      <c r="BY27" s="519"/>
      <c r="BZ27" s="519"/>
      <c r="CA27" s="519"/>
      <c r="CB27" s="519"/>
      <c r="CC27" s="519"/>
      <c r="CD27" s="519"/>
      <c r="CE27" s="519"/>
      <c r="CF27" s="519"/>
      <c r="CG27" s="519"/>
      <c r="CH27" s="519"/>
      <c r="CI27" s="519"/>
      <c r="CJ27" s="519"/>
      <c r="CK27" s="519"/>
      <c r="CL27" s="519"/>
      <c r="CM27" s="519"/>
      <c r="CN27" s="519"/>
      <c r="CO27" s="519"/>
      <c r="CP27" s="519"/>
      <c r="CQ27" s="519"/>
      <c r="CR27" s="519"/>
      <c r="CS27" s="519"/>
      <c r="CT27" s="519"/>
      <c r="CU27" s="519"/>
      <c r="CV27" s="519"/>
      <c r="CW27" s="519"/>
    </row>
    <row r="28" spans="4:101" s="536" customFormat="1" ht="15.75">
      <c r="E28" s="556">
        <v>2003</v>
      </c>
      <c r="F28" s="548" t="s">
        <v>39</v>
      </c>
      <c r="G28" s="541">
        <v>2153769.524986872</v>
      </c>
      <c r="H28" s="541">
        <v>26508.572894736841</v>
      </c>
      <c r="I28" s="541">
        <v>2840.4825737265637</v>
      </c>
      <c r="J28" s="541"/>
      <c r="K28" s="541">
        <v>2116.4572631578994</v>
      </c>
      <c r="L28" s="541">
        <v>8793.5840100250643</v>
      </c>
      <c r="M28" s="541">
        <f t="shared" si="0"/>
        <v>40259</v>
      </c>
      <c r="N28" s="541">
        <f t="shared" si="1"/>
        <v>2194028.524986872</v>
      </c>
      <c r="O28" s="542">
        <f t="shared" si="2"/>
        <v>2194029</v>
      </c>
      <c r="P28" s="519"/>
      <c r="Q28" s="519"/>
      <c r="R28" s="519"/>
      <c r="S28" s="519"/>
      <c r="T28" s="519"/>
      <c r="U28" s="519"/>
      <c r="V28" s="519"/>
      <c r="W28" s="519"/>
      <c r="X28" s="519"/>
      <c r="Y28" s="519"/>
      <c r="Z28" s="519"/>
      <c r="AA28" s="519"/>
      <c r="AB28" s="519"/>
      <c r="AC28" s="519"/>
      <c r="AD28" s="519"/>
      <c r="AE28" s="519"/>
      <c r="AF28" s="519"/>
      <c r="AG28" s="519"/>
      <c r="AH28" s="519"/>
      <c r="AI28" s="519"/>
      <c r="AJ28" s="519"/>
      <c r="AK28" s="519"/>
      <c r="AL28" s="519"/>
      <c r="AM28" s="519"/>
      <c r="AN28" s="519"/>
      <c r="AO28" s="519"/>
      <c r="AP28" s="519"/>
      <c r="AQ28" s="519"/>
      <c r="AR28" s="519"/>
      <c r="AS28" s="519"/>
      <c r="AT28" s="519"/>
      <c r="AU28" s="519"/>
      <c r="AV28" s="519"/>
      <c r="AW28" s="519"/>
      <c r="AX28" s="519"/>
      <c r="AY28" s="519"/>
      <c r="AZ28" s="519"/>
      <c r="BA28" s="519"/>
      <c r="BB28" s="519"/>
      <c r="BC28" s="519"/>
      <c r="BD28" s="519"/>
      <c r="BE28" s="519"/>
      <c r="BF28" s="519"/>
      <c r="BG28" s="519"/>
      <c r="BH28" s="519"/>
      <c r="BI28" s="519"/>
      <c r="BJ28" s="519"/>
      <c r="BK28" s="519"/>
      <c r="BL28" s="519"/>
      <c r="BM28" s="519"/>
      <c r="BN28" s="519"/>
      <c r="BO28" s="519"/>
      <c r="BP28" s="519"/>
      <c r="BQ28" s="519"/>
      <c r="BR28" s="519"/>
      <c r="BS28" s="519"/>
      <c r="BT28" s="519"/>
      <c r="BU28" s="519"/>
      <c r="BV28" s="519"/>
      <c r="BW28" s="519"/>
      <c r="BX28" s="519"/>
      <c r="BY28" s="519"/>
      <c r="BZ28" s="519"/>
      <c r="CA28" s="519"/>
      <c r="CB28" s="519"/>
      <c r="CC28" s="519"/>
      <c r="CD28" s="519"/>
      <c r="CE28" s="519"/>
      <c r="CF28" s="519"/>
      <c r="CG28" s="519"/>
      <c r="CH28" s="519"/>
      <c r="CI28" s="519"/>
      <c r="CJ28" s="519"/>
      <c r="CK28" s="519"/>
      <c r="CL28" s="519"/>
      <c r="CM28" s="519"/>
      <c r="CN28" s="519"/>
      <c r="CO28" s="519"/>
      <c r="CP28" s="519"/>
      <c r="CQ28" s="519"/>
      <c r="CR28" s="519"/>
      <c r="CS28" s="519"/>
      <c r="CT28" s="519"/>
      <c r="CU28" s="519"/>
      <c r="CV28" s="519"/>
      <c r="CW28" s="519"/>
    </row>
    <row r="29" spans="4:101" s="536" customFormat="1" ht="15.75">
      <c r="E29" s="556">
        <v>3511</v>
      </c>
      <c r="F29" s="549" t="s">
        <v>40</v>
      </c>
      <c r="G29" s="541">
        <v>1695066.7222666817</v>
      </c>
      <c r="H29" s="541">
        <v>91565.174561403517</v>
      </c>
      <c r="I29" s="541">
        <v>-1137.4999999999816</v>
      </c>
      <c r="J29" s="541"/>
      <c r="K29" s="541">
        <v>2108.5122105263163</v>
      </c>
      <c r="L29" s="541">
        <v>-676.95157894736803</v>
      </c>
      <c r="M29" s="541">
        <f t="shared" si="0"/>
        <v>91859</v>
      </c>
      <c r="N29" s="541">
        <f t="shared" si="1"/>
        <v>1786925.7222666817</v>
      </c>
      <c r="O29" s="542">
        <f t="shared" si="2"/>
        <v>1786926</v>
      </c>
      <c r="P29" s="519"/>
      <c r="Q29" s="519"/>
      <c r="R29" s="519"/>
      <c r="S29" s="519"/>
      <c r="T29" s="519"/>
      <c r="U29" s="519"/>
      <c r="V29" s="519"/>
      <c r="W29" s="519"/>
      <c r="X29" s="519"/>
      <c r="Y29" s="519"/>
      <c r="Z29" s="519"/>
      <c r="AA29" s="519"/>
      <c r="AB29" s="519"/>
      <c r="AC29" s="519"/>
      <c r="AD29" s="519"/>
      <c r="AE29" s="519"/>
      <c r="AF29" s="519"/>
      <c r="AG29" s="519"/>
      <c r="AH29" s="519"/>
      <c r="AI29" s="519"/>
      <c r="AJ29" s="519"/>
      <c r="AK29" s="519"/>
      <c r="AL29" s="519"/>
      <c r="AM29" s="519"/>
      <c r="AN29" s="519"/>
      <c r="AO29" s="519"/>
      <c r="AP29" s="519"/>
      <c r="AQ29" s="519"/>
      <c r="AR29" s="519"/>
      <c r="AS29" s="519"/>
      <c r="AT29" s="519"/>
      <c r="AU29" s="519"/>
      <c r="AV29" s="519"/>
      <c r="AW29" s="519"/>
      <c r="AX29" s="519"/>
      <c r="AY29" s="519"/>
      <c r="AZ29" s="519"/>
      <c r="BA29" s="519"/>
      <c r="BB29" s="519"/>
      <c r="BC29" s="519"/>
      <c r="BD29" s="519"/>
      <c r="BE29" s="519"/>
      <c r="BF29" s="519"/>
      <c r="BG29" s="519"/>
      <c r="BH29" s="519"/>
      <c r="BI29" s="519"/>
      <c r="BJ29" s="519"/>
      <c r="BK29" s="519"/>
      <c r="BL29" s="519"/>
      <c r="BM29" s="519"/>
      <c r="BN29" s="519"/>
      <c r="BO29" s="519"/>
      <c r="BP29" s="519"/>
      <c r="BQ29" s="519"/>
      <c r="BR29" s="519"/>
      <c r="BS29" s="519"/>
      <c r="BT29" s="519"/>
      <c r="BU29" s="519"/>
      <c r="BV29" s="519"/>
      <c r="BW29" s="519"/>
      <c r="BX29" s="519"/>
      <c r="BY29" s="519"/>
      <c r="BZ29" s="519"/>
      <c r="CA29" s="519"/>
      <c r="CB29" s="519"/>
      <c r="CC29" s="519"/>
      <c r="CD29" s="519"/>
      <c r="CE29" s="519"/>
      <c r="CF29" s="519"/>
      <c r="CG29" s="519"/>
      <c r="CH29" s="519"/>
      <c r="CI29" s="519"/>
      <c r="CJ29" s="519"/>
      <c r="CK29" s="519"/>
      <c r="CL29" s="519"/>
      <c r="CM29" s="519"/>
      <c r="CN29" s="519"/>
      <c r="CO29" s="519"/>
      <c r="CP29" s="519"/>
      <c r="CQ29" s="519"/>
      <c r="CR29" s="519"/>
      <c r="CS29" s="519"/>
      <c r="CT29" s="519"/>
      <c r="CU29" s="519"/>
      <c r="CV29" s="519"/>
      <c r="CW29" s="519"/>
    </row>
    <row r="30" spans="4:101" s="536" customFormat="1" ht="15.75">
      <c r="E30" s="556" t="e">
        <v>#N/A</v>
      </c>
      <c r="F30" s="546" t="s">
        <v>41</v>
      </c>
      <c r="G30" s="541">
        <v>3608178.9400432711</v>
      </c>
      <c r="H30" s="541">
        <v>99572.925051421669</v>
      </c>
      <c r="I30" s="541">
        <v>8968.471953578337</v>
      </c>
      <c r="J30" s="541"/>
      <c r="K30" s="541">
        <v>-5744.2592679976442</v>
      </c>
      <c r="L30" s="541">
        <v>26032.406666666626</v>
      </c>
      <c r="M30" s="541">
        <f t="shared" si="0"/>
        <v>128830</v>
      </c>
      <c r="N30" s="541">
        <f t="shared" si="1"/>
        <v>3737008.9400432711</v>
      </c>
      <c r="O30" s="542">
        <f t="shared" si="2"/>
        <v>3737009</v>
      </c>
      <c r="P30" s="519"/>
      <c r="Q30" s="519"/>
      <c r="R30" s="519"/>
      <c r="S30" s="519"/>
      <c r="T30" s="519"/>
      <c r="U30" s="519"/>
      <c r="V30" s="519"/>
      <c r="W30" s="519"/>
      <c r="X30" s="519"/>
      <c r="Y30" s="519"/>
      <c r="Z30" s="519"/>
      <c r="AA30" s="519"/>
      <c r="AB30" s="519"/>
      <c r="AC30" s="519"/>
      <c r="AD30" s="519"/>
      <c r="AE30" s="519"/>
      <c r="AF30" s="519"/>
      <c r="AG30" s="519"/>
      <c r="AH30" s="519"/>
      <c r="AI30" s="519"/>
      <c r="AJ30" s="519"/>
      <c r="AK30" s="519"/>
      <c r="AL30" s="519"/>
      <c r="AM30" s="519"/>
      <c r="AN30" s="519"/>
      <c r="AO30" s="519"/>
      <c r="AP30" s="519"/>
      <c r="AQ30" s="519"/>
      <c r="AR30" s="519"/>
      <c r="AS30" s="519"/>
      <c r="AT30" s="519"/>
      <c r="AU30" s="519"/>
      <c r="AV30" s="519"/>
      <c r="AW30" s="519"/>
      <c r="AX30" s="519"/>
      <c r="AY30" s="519"/>
      <c r="AZ30" s="519"/>
      <c r="BA30" s="519"/>
      <c r="BB30" s="519"/>
      <c r="BC30" s="519"/>
      <c r="BD30" s="519"/>
      <c r="BE30" s="519"/>
      <c r="BF30" s="519"/>
      <c r="BG30" s="519"/>
      <c r="BH30" s="519"/>
      <c r="BI30" s="519"/>
      <c r="BJ30" s="519"/>
      <c r="BK30" s="519"/>
      <c r="BL30" s="519"/>
      <c r="BM30" s="519"/>
      <c r="BN30" s="519"/>
      <c r="BO30" s="519"/>
      <c r="BP30" s="519"/>
      <c r="BQ30" s="519"/>
      <c r="BR30" s="519"/>
      <c r="BS30" s="519"/>
      <c r="BT30" s="519"/>
      <c r="BU30" s="519"/>
      <c r="BV30" s="519"/>
      <c r="BW30" s="519"/>
      <c r="BX30" s="519"/>
      <c r="BY30" s="519"/>
      <c r="BZ30" s="519"/>
      <c r="CA30" s="519"/>
      <c r="CB30" s="519"/>
      <c r="CC30" s="519"/>
      <c r="CD30" s="519"/>
      <c r="CE30" s="519"/>
      <c r="CF30" s="519"/>
      <c r="CG30" s="519"/>
      <c r="CH30" s="519"/>
      <c r="CI30" s="519"/>
      <c r="CJ30" s="519"/>
      <c r="CK30" s="519"/>
      <c r="CL30" s="519"/>
      <c r="CM30" s="519"/>
      <c r="CN30" s="519"/>
      <c r="CO30" s="519"/>
      <c r="CP30" s="519"/>
      <c r="CQ30" s="519"/>
      <c r="CR30" s="519"/>
      <c r="CS30" s="519"/>
      <c r="CT30" s="519"/>
      <c r="CU30" s="519"/>
      <c r="CV30" s="519"/>
      <c r="CW30" s="519"/>
    </row>
    <row r="31" spans="4:101" s="536" customFormat="1" ht="15.75">
      <c r="E31" s="556">
        <v>2008</v>
      </c>
      <c r="F31" s="550" t="s">
        <v>42</v>
      </c>
      <c r="G31" s="541">
        <v>1335226.8618587859</v>
      </c>
      <c r="H31" s="541">
        <v>46374.721929824562</v>
      </c>
      <c r="I31" s="541">
        <v>13728.195488721803</v>
      </c>
      <c r="J31" s="541"/>
      <c r="K31" s="541">
        <v>14425.805533063427</v>
      </c>
      <c r="L31" s="541">
        <v>6575.2892423366156</v>
      </c>
      <c r="M31" s="541">
        <f t="shared" si="0"/>
        <v>81104</v>
      </c>
      <c r="N31" s="541">
        <f t="shared" si="1"/>
        <v>1416330.8618587859</v>
      </c>
      <c r="O31" s="542">
        <f t="shared" si="2"/>
        <v>1416331</v>
      </c>
      <c r="P31" s="519"/>
      <c r="Q31" s="519"/>
      <c r="R31" s="519"/>
      <c r="S31" s="519"/>
      <c r="T31" s="519"/>
      <c r="U31" s="519"/>
      <c r="V31" s="519"/>
      <c r="W31" s="519"/>
      <c r="X31" s="519"/>
      <c r="Y31" s="519"/>
      <c r="Z31" s="519"/>
      <c r="AA31" s="519"/>
      <c r="AB31" s="519"/>
      <c r="AC31" s="519"/>
      <c r="AD31" s="519"/>
      <c r="AE31" s="519"/>
      <c r="AF31" s="519"/>
      <c r="AG31" s="519"/>
      <c r="AH31" s="519"/>
      <c r="AI31" s="519"/>
      <c r="AJ31" s="519"/>
      <c r="AK31" s="519"/>
      <c r="AL31" s="519"/>
      <c r="AM31" s="519"/>
      <c r="AN31" s="519"/>
      <c r="AO31" s="519"/>
      <c r="AP31" s="519"/>
      <c r="AQ31" s="519"/>
      <c r="AR31" s="519"/>
      <c r="AS31" s="519"/>
      <c r="AT31" s="519"/>
      <c r="AU31" s="519"/>
      <c r="AV31" s="519"/>
      <c r="AW31" s="519"/>
      <c r="AX31" s="519"/>
      <c r="AY31" s="519"/>
      <c r="AZ31" s="519"/>
      <c r="BA31" s="519"/>
      <c r="BB31" s="519"/>
      <c r="BC31" s="519"/>
      <c r="BD31" s="519"/>
      <c r="BE31" s="519"/>
      <c r="BF31" s="519"/>
      <c r="BG31" s="519"/>
      <c r="BH31" s="519"/>
      <c r="BI31" s="519"/>
      <c r="BJ31" s="519"/>
      <c r="BK31" s="519"/>
      <c r="BL31" s="519"/>
      <c r="BM31" s="519"/>
      <c r="BN31" s="519"/>
      <c r="BO31" s="519"/>
      <c r="BP31" s="519"/>
      <c r="BQ31" s="519"/>
      <c r="BR31" s="519"/>
      <c r="BS31" s="519"/>
      <c r="BT31" s="519"/>
      <c r="BU31" s="519"/>
      <c r="BV31" s="519"/>
      <c r="BW31" s="519"/>
      <c r="BX31" s="519"/>
      <c r="BY31" s="519"/>
      <c r="BZ31" s="519"/>
      <c r="CA31" s="519"/>
      <c r="CB31" s="519"/>
      <c r="CC31" s="519"/>
      <c r="CD31" s="519"/>
      <c r="CE31" s="519"/>
      <c r="CF31" s="519"/>
      <c r="CG31" s="519"/>
      <c r="CH31" s="519"/>
      <c r="CI31" s="519"/>
      <c r="CJ31" s="519"/>
      <c r="CK31" s="519"/>
      <c r="CL31" s="519"/>
      <c r="CM31" s="519"/>
      <c r="CN31" s="519"/>
      <c r="CO31" s="519"/>
      <c r="CP31" s="519"/>
      <c r="CQ31" s="519"/>
      <c r="CR31" s="519"/>
      <c r="CS31" s="519"/>
      <c r="CT31" s="519"/>
      <c r="CU31" s="519"/>
      <c r="CV31" s="519"/>
      <c r="CW31" s="519"/>
    </row>
    <row r="32" spans="4:101" s="536" customFormat="1" ht="15.75">
      <c r="E32" s="556">
        <v>2007</v>
      </c>
      <c r="F32" s="536" t="s">
        <v>43</v>
      </c>
      <c r="G32" s="541">
        <v>1628324.61236701</v>
      </c>
      <c r="H32" s="541">
        <v>5599.25</v>
      </c>
      <c r="I32" s="541">
        <v>5981.5642458100592</v>
      </c>
      <c r="J32" s="541"/>
      <c r="K32" s="541">
        <v>-29680.792383163982</v>
      </c>
      <c r="L32" s="541">
        <v>1219</v>
      </c>
      <c r="M32" s="541">
        <f t="shared" si="0"/>
        <v>-16881</v>
      </c>
      <c r="N32" s="541">
        <f t="shared" si="1"/>
        <v>1611443.61236701</v>
      </c>
      <c r="O32" s="542">
        <f t="shared" si="2"/>
        <v>1611444</v>
      </c>
      <c r="P32" s="519"/>
      <c r="Q32" s="519"/>
      <c r="R32" s="519"/>
      <c r="S32" s="519"/>
      <c r="T32" s="519"/>
      <c r="U32" s="519"/>
      <c r="V32" s="519"/>
      <c r="W32" s="519"/>
      <c r="X32" s="519"/>
      <c r="Y32" s="519"/>
      <c r="Z32" s="519"/>
      <c r="AA32" s="519"/>
      <c r="AB32" s="519"/>
      <c r="AC32" s="519"/>
      <c r="AD32" s="519"/>
      <c r="AE32" s="519"/>
      <c r="AF32" s="519"/>
      <c r="AG32" s="519"/>
      <c r="AH32" s="519"/>
      <c r="AI32" s="519"/>
      <c r="AJ32" s="519"/>
      <c r="AK32" s="519"/>
      <c r="AL32" s="519"/>
      <c r="AM32" s="519"/>
      <c r="AN32" s="519"/>
      <c r="AO32" s="519"/>
      <c r="AP32" s="519"/>
      <c r="AQ32" s="519"/>
      <c r="AR32" s="519"/>
      <c r="AS32" s="519"/>
      <c r="AT32" s="519"/>
      <c r="AU32" s="519"/>
      <c r="AV32" s="519"/>
      <c r="AW32" s="519"/>
      <c r="AX32" s="519"/>
      <c r="AY32" s="519"/>
      <c r="AZ32" s="519"/>
      <c r="BA32" s="519"/>
      <c r="BB32" s="519"/>
      <c r="BC32" s="519"/>
      <c r="BD32" s="519"/>
      <c r="BE32" s="519"/>
      <c r="BF32" s="519"/>
      <c r="BG32" s="519"/>
      <c r="BH32" s="519"/>
      <c r="BI32" s="519"/>
      <c r="BJ32" s="519"/>
      <c r="BK32" s="519"/>
      <c r="BL32" s="519"/>
      <c r="BM32" s="519"/>
      <c r="BN32" s="519"/>
      <c r="BO32" s="519"/>
      <c r="BP32" s="519"/>
      <c r="BQ32" s="519"/>
      <c r="BR32" s="519"/>
      <c r="BS32" s="519"/>
      <c r="BT32" s="519"/>
      <c r="BU32" s="519"/>
      <c r="BV32" s="519"/>
      <c r="BW32" s="519"/>
      <c r="BX32" s="519"/>
      <c r="BY32" s="519"/>
      <c r="BZ32" s="519"/>
      <c r="CA32" s="519"/>
      <c r="CB32" s="519"/>
      <c r="CC32" s="519"/>
      <c r="CD32" s="519"/>
      <c r="CE32" s="519"/>
      <c r="CF32" s="519"/>
      <c r="CG32" s="519"/>
      <c r="CH32" s="519"/>
      <c r="CI32" s="519"/>
      <c r="CJ32" s="519"/>
      <c r="CK32" s="519"/>
      <c r="CL32" s="519"/>
      <c r="CM32" s="519"/>
      <c r="CN32" s="519"/>
      <c r="CO32" s="519"/>
      <c r="CP32" s="519"/>
      <c r="CQ32" s="519"/>
      <c r="CR32" s="519"/>
      <c r="CS32" s="519"/>
      <c r="CT32" s="519"/>
      <c r="CU32" s="519"/>
      <c r="CV32" s="519"/>
      <c r="CW32" s="519"/>
    </row>
    <row r="33" spans="5:101" s="536" customFormat="1" ht="15.75">
      <c r="E33" s="556">
        <v>2009</v>
      </c>
      <c r="F33" s="550" t="s">
        <v>44</v>
      </c>
      <c r="G33" s="541">
        <v>1720982.0384866442</v>
      </c>
      <c r="H33" s="541">
        <v>32624.811666666665</v>
      </c>
      <c r="I33" s="541">
        <v>-15590.370370370345</v>
      </c>
      <c r="J33" s="541">
        <v>-2700</v>
      </c>
      <c r="K33" s="541">
        <v>1136.9635087719298</v>
      </c>
      <c r="L33" s="541">
        <v>1714.5110275689224</v>
      </c>
      <c r="M33" s="541">
        <f t="shared" si="0"/>
        <v>17186</v>
      </c>
      <c r="N33" s="541">
        <f t="shared" si="1"/>
        <v>1738168.0384866442</v>
      </c>
      <c r="O33" s="542">
        <f t="shared" si="2"/>
        <v>1738168</v>
      </c>
      <c r="P33" s="519"/>
      <c r="Q33" s="519"/>
      <c r="R33" s="519"/>
      <c r="S33" s="519"/>
      <c r="T33" s="519"/>
      <c r="U33" s="519"/>
      <c r="V33" s="519"/>
      <c r="W33" s="519"/>
      <c r="X33" s="519"/>
      <c r="Y33" s="519"/>
      <c r="Z33" s="519"/>
      <c r="AA33" s="519"/>
      <c r="AB33" s="519"/>
      <c r="AC33" s="519"/>
      <c r="AD33" s="519"/>
      <c r="AE33" s="519"/>
      <c r="AF33" s="519"/>
      <c r="AG33" s="519"/>
      <c r="AH33" s="519"/>
      <c r="AI33" s="519"/>
      <c r="AJ33" s="519"/>
      <c r="AK33" s="519"/>
      <c r="AL33" s="519"/>
      <c r="AM33" s="519"/>
      <c r="AN33" s="519"/>
      <c r="AO33" s="519"/>
      <c r="AP33" s="519"/>
      <c r="AQ33" s="519"/>
      <c r="AR33" s="519"/>
      <c r="AS33" s="519"/>
      <c r="AT33" s="519"/>
      <c r="AU33" s="519"/>
      <c r="AV33" s="519"/>
      <c r="AW33" s="519"/>
      <c r="AX33" s="519"/>
      <c r="AY33" s="519"/>
      <c r="AZ33" s="519"/>
      <c r="BA33" s="519"/>
      <c r="BB33" s="519"/>
      <c r="BC33" s="519"/>
      <c r="BD33" s="519"/>
      <c r="BE33" s="519"/>
      <c r="BF33" s="519"/>
      <c r="BG33" s="519"/>
      <c r="BH33" s="519"/>
      <c r="BI33" s="519"/>
      <c r="BJ33" s="519"/>
      <c r="BK33" s="519"/>
      <c r="BL33" s="519"/>
      <c r="BM33" s="519"/>
      <c r="BN33" s="519"/>
      <c r="BO33" s="519"/>
      <c r="BP33" s="519"/>
      <c r="BQ33" s="519"/>
      <c r="BR33" s="519"/>
      <c r="BS33" s="519"/>
      <c r="BT33" s="519"/>
      <c r="BU33" s="519"/>
      <c r="BV33" s="519"/>
      <c r="BW33" s="519"/>
      <c r="BX33" s="519"/>
      <c r="BY33" s="519"/>
      <c r="BZ33" s="519"/>
      <c r="CA33" s="519"/>
      <c r="CB33" s="519"/>
      <c r="CC33" s="519"/>
      <c r="CD33" s="519"/>
      <c r="CE33" s="519"/>
      <c r="CF33" s="519"/>
      <c r="CG33" s="519"/>
      <c r="CH33" s="519"/>
      <c r="CI33" s="519"/>
      <c r="CJ33" s="519"/>
      <c r="CK33" s="519"/>
      <c r="CL33" s="519"/>
      <c r="CM33" s="519"/>
      <c r="CN33" s="519"/>
      <c r="CO33" s="519"/>
      <c r="CP33" s="519"/>
      <c r="CQ33" s="519"/>
      <c r="CR33" s="519"/>
      <c r="CS33" s="519"/>
      <c r="CT33" s="519"/>
      <c r="CU33" s="519"/>
      <c r="CV33" s="519"/>
      <c r="CW33" s="519"/>
    </row>
    <row r="34" spans="5:101" s="536" customFormat="1" ht="15.75">
      <c r="E34" s="556">
        <v>2067</v>
      </c>
      <c r="F34" s="550" t="s">
        <v>45</v>
      </c>
      <c r="G34" s="541">
        <v>1067070.6468236535</v>
      </c>
      <c r="H34" s="541">
        <v>74389.583333333328</v>
      </c>
      <c r="I34" s="541">
        <v>9986.274509803914</v>
      </c>
      <c r="J34" s="541"/>
      <c r="K34" s="541">
        <v>6517</v>
      </c>
      <c r="L34" s="541">
        <v>4792.8333333333321</v>
      </c>
      <c r="M34" s="541">
        <f t="shared" si="0"/>
        <v>95686</v>
      </c>
      <c r="N34" s="541">
        <f t="shared" si="1"/>
        <v>1162756.6468236535</v>
      </c>
      <c r="O34" s="542">
        <f t="shared" si="2"/>
        <v>1162757</v>
      </c>
      <c r="P34" s="519"/>
      <c r="Q34" s="519"/>
      <c r="R34" s="519"/>
      <c r="S34" s="519"/>
      <c r="T34" s="519"/>
      <c r="U34" s="519"/>
      <c r="V34" s="519"/>
      <c r="W34" s="519"/>
      <c r="X34" s="519"/>
      <c r="Y34" s="519"/>
      <c r="Z34" s="519"/>
      <c r="AA34" s="519"/>
      <c r="AB34" s="519"/>
      <c r="AC34" s="519"/>
      <c r="AD34" s="519"/>
      <c r="AE34" s="519"/>
      <c r="AF34" s="519"/>
      <c r="AG34" s="519"/>
      <c r="AH34" s="519"/>
      <c r="AI34" s="519"/>
      <c r="AJ34" s="519"/>
      <c r="AK34" s="519"/>
      <c r="AL34" s="519"/>
      <c r="AM34" s="519"/>
      <c r="AN34" s="519"/>
      <c r="AO34" s="519"/>
      <c r="AP34" s="519"/>
      <c r="AQ34" s="519"/>
      <c r="AR34" s="519"/>
      <c r="AS34" s="519"/>
      <c r="AT34" s="519"/>
      <c r="AU34" s="519"/>
      <c r="AV34" s="519"/>
      <c r="AW34" s="519"/>
      <c r="AX34" s="519"/>
      <c r="AY34" s="519"/>
      <c r="AZ34" s="519"/>
      <c r="BA34" s="519"/>
      <c r="BB34" s="519"/>
      <c r="BC34" s="519"/>
      <c r="BD34" s="519"/>
      <c r="BE34" s="519"/>
      <c r="BF34" s="519"/>
      <c r="BG34" s="519"/>
      <c r="BH34" s="519"/>
      <c r="BI34" s="519"/>
      <c r="BJ34" s="519"/>
      <c r="BK34" s="519"/>
      <c r="BL34" s="519"/>
      <c r="BM34" s="519"/>
      <c r="BN34" s="519"/>
      <c r="BO34" s="519"/>
      <c r="BP34" s="519"/>
      <c r="BQ34" s="519"/>
      <c r="BR34" s="519"/>
      <c r="BS34" s="519"/>
      <c r="BT34" s="519"/>
      <c r="BU34" s="519"/>
      <c r="BV34" s="519"/>
      <c r="BW34" s="519"/>
      <c r="BX34" s="519"/>
      <c r="BY34" s="519"/>
      <c r="BZ34" s="519"/>
      <c r="CA34" s="519"/>
      <c r="CB34" s="519"/>
      <c r="CC34" s="519"/>
      <c r="CD34" s="519"/>
      <c r="CE34" s="519"/>
      <c r="CF34" s="519"/>
      <c r="CG34" s="519"/>
      <c r="CH34" s="519"/>
      <c r="CI34" s="519"/>
      <c r="CJ34" s="519"/>
      <c r="CK34" s="519"/>
      <c r="CL34" s="519"/>
      <c r="CM34" s="519"/>
      <c r="CN34" s="519"/>
      <c r="CO34" s="519"/>
      <c r="CP34" s="519"/>
      <c r="CQ34" s="519"/>
      <c r="CR34" s="519"/>
      <c r="CS34" s="519"/>
      <c r="CT34" s="519"/>
      <c r="CU34" s="519"/>
      <c r="CV34" s="519"/>
      <c r="CW34" s="519"/>
    </row>
    <row r="35" spans="5:101" s="536" customFormat="1" ht="15.75">
      <c r="E35" s="556">
        <v>2010</v>
      </c>
      <c r="F35" s="551" t="s">
        <v>46</v>
      </c>
      <c r="G35" s="541">
        <v>2382316.6555957627</v>
      </c>
      <c r="H35" s="541">
        <v>53336.938088603914</v>
      </c>
      <c r="I35" s="541">
        <v>-247.61904761906521</v>
      </c>
      <c r="J35" s="541"/>
      <c r="K35" s="541">
        <v>13629.585861713065</v>
      </c>
      <c r="L35" s="541">
        <v>253.51527347779665</v>
      </c>
      <c r="M35" s="541">
        <f t="shared" si="0"/>
        <v>66972</v>
      </c>
      <c r="N35" s="541">
        <f t="shared" si="1"/>
        <v>2449288.6555957627</v>
      </c>
      <c r="O35" s="542">
        <f t="shared" si="2"/>
        <v>2449289</v>
      </c>
      <c r="P35" s="519"/>
      <c r="Q35" s="519"/>
      <c r="R35" s="519"/>
      <c r="S35" s="519"/>
      <c r="T35" s="519"/>
      <c r="U35" s="519"/>
      <c r="V35" s="519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519"/>
      <c r="AI35" s="519"/>
      <c r="AJ35" s="519"/>
      <c r="AK35" s="519"/>
      <c r="AL35" s="519"/>
      <c r="AM35" s="519"/>
      <c r="AN35" s="519"/>
      <c r="AO35" s="519"/>
      <c r="AP35" s="519"/>
      <c r="AQ35" s="519"/>
      <c r="AR35" s="519"/>
      <c r="AS35" s="519"/>
      <c r="AT35" s="519"/>
      <c r="AU35" s="519"/>
      <c r="AV35" s="519"/>
      <c r="AW35" s="519"/>
      <c r="AX35" s="519"/>
      <c r="AY35" s="519"/>
      <c r="AZ35" s="519"/>
      <c r="BA35" s="519"/>
      <c r="BB35" s="519"/>
      <c r="BC35" s="519"/>
      <c r="BD35" s="519"/>
      <c r="BE35" s="519"/>
      <c r="BF35" s="519"/>
      <c r="BG35" s="519"/>
      <c r="BH35" s="519"/>
      <c r="BI35" s="519"/>
      <c r="BJ35" s="519"/>
      <c r="BK35" s="519"/>
      <c r="BL35" s="519"/>
      <c r="BM35" s="519"/>
      <c r="BN35" s="519"/>
      <c r="BO35" s="519"/>
      <c r="BP35" s="519"/>
      <c r="BQ35" s="519"/>
      <c r="BR35" s="519"/>
      <c r="BS35" s="519"/>
      <c r="BT35" s="519"/>
      <c r="BU35" s="519"/>
      <c r="BV35" s="519"/>
      <c r="BW35" s="519"/>
      <c r="BX35" s="519"/>
      <c r="BY35" s="519"/>
      <c r="BZ35" s="519"/>
      <c r="CA35" s="519"/>
      <c r="CB35" s="519"/>
      <c r="CC35" s="519"/>
      <c r="CD35" s="519"/>
      <c r="CE35" s="519"/>
      <c r="CF35" s="519"/>
      <c r="CG35" s="519"/>
      <c r="CH35" s="519"/>
      <c r="CI35" s="519"/>
      <c r="CJ35" s="519"/>
      <c r="CK35" s="519"/>
      <c r="CL35" s="519"/>
      <c r="CM35" s="519"/>
      <c r="CN35" s="519"/>
      <c r="CO35" s="519"/>
      <c r="CP35" s="519"/>
      <c r="CQ35" s="519"/>
      <c r="CR35" s="519"/>
      <c r="CS35" s="519"/>
      <c r="CT35" s="519"/>
      <c r="CU35" s="519"/>
      <c r="CV35" s="519"/>
      <c r="CW35" s="519"/>
    </row>
    <row r="36" spans="5:101" s="536" customFormat="1" ht="15.75">
      <c r="E36" s="556">
        <v>3302</v>
      </c>
      <c r="F36" s="550" t="s">
        <v>47</v>
      </c>
      <c r="G36" s="541">
        <v>979880.22540041129</v>
      </c>
      <c r="H36" s="541">
        <v>10508.862059560668</v>
      </c>
      <c r="I36" s="541">
        <v>-2724.9999999999959</v>
      </c>
      <c r="J36" s="541"/>
      <c r="K36" s="541">
        <v>-1308.8005159958711</v>
      </c>
      <c r="L36" s="541">
        <v>1988.8659885006616</v>
      </c>
      <c r="M36" s="541">
        <f t="shared" si="0"/>
        <v>8464</v>
      </c>
      <c r="N36" s="541">
        <f t="shared" si="1"/>
        <v>988344.22540041129</v>
      </c>
      <c r="O36" s="542">
        <f t="shared" si="2"/>
        <v>988344</v>
      </c>
      <c r="P36" s="519"/>
      <c r="Q36" s="519"/>
      <c r="R36" s="519"/>
      <c r="S36" s="519"/>
      <c r="T36" s="519"/>
      <c r="U36" s="519"/>
      <c r="V36" s="519"/>
      <c r="W36" s="519"/>
      <c r="X36" s="519"/>
      <c r="Y36" s="519"/>
      <c r="Z36" s="519"/>
      <c r="AA36" s="519"/>
      <c r="AB36" s="519"/>
      <c r="AC36" s="519"/>
      <c r="AD36" s="519"/>
      <c r="AE36" s="519"/>
      <c r="AF36" s="519"/>
      <c r="AG36" s="519"/>
      <c r="AH36" s="519"/>
      <c r="AI36" s="519"/>
      <c r="AJ36" s="519"/>
      <c r="AK36" s="519"/>
      <c r="AL36" s="519"/>
      <c r="AM36" s="519"/>
      <c r="AN36" s="519"/>
      <c r="AO36" s="519"/>
      <c r="AP36" s="519"/>
      <c r="AQ36" s="519"/>
      <c r="AR36" s="519"/>
      <c r="AS36" s="519"/>
      <c r="AT36" s="519"/>
      <c r="AU36" s="519"/>
      <c r="AV36" s="519"/>
      <c r="AW36" s="519"/>
      <c r="AX36" s="519"/>
      <c r="AY36" s="519"/>
      <c r="AZ36" s="519"/>
      <c r="BA36" s="519"/>
      <c r="BB36" s="519"/>
      <c r="BC36" s="519"/>
      <c r="BD36" s="519"/>
      <c r="BE36" s="519"/>
      <c r="BF36" s="519"/>
      <c r="BG36" s="519"/>
      <c r="BH36" s="519"/>
      <c r="BI36" s="519"/>
      <c r="BJ36" s="519"/>
      <c r="BK36" s="519"/>
      <c r="BL36" s="519"/>
      <c r="BM36" s="519"/>
      <c r="BN36" s="519"/>
      <c r="BO36" s="519"/>
      <c r="BP36" s="519"/>
      <c r="BQ36" s="519"/>
      <c r="BR36" s="519"/>
      <c r="BS36" s="519"/>
      <c r="BT36" s="519"/>
      <c r="BU36" s="519"/>
      <c r="BV36" s="519"/>
      <c r="BW36" s="519"/>
      <c r="BX36" s="519"/>
      <c r="BY36" s="519"/>
      <c r="BZ36" s="519"/>
      <c r="CA36" s="519"/>
      <c r="CB36" s="519"/>
      <c r="CC36" s="519"/>
      <c r="CD36" s="519"/>
      <c r="CE36" s="519"/>
      <c r="CF36" s="519"/>
      <c r="CG36" s="519"/>
      <c r="CH36" s="519"/>
      <c r="CI36" s="519"/>
      <c r="CJ36" s="519"/>
      <c r="CK36" s="519"/>
      <c r="CL36" s="519"/>
      <c r="CM36" s="519"/>
      <c r="CN36" s="519"/>
      <c r="CO36" s="519"/>
      <c r="CP36" s="519"/>
      <c r="CQ36" s="519"/>
      <c r="CR36" s="519"/>
      <c r="CS36" s="519"/>
      <c r="CT36" s="519"/>
      <c r="CU36" s="519"/>
      <c r="CV36" s="519"/>
      <c r="CW36" s="519"/>
    </row>
    <row r="37" spans="5:101" s="536" customFormat="1" ht="15.75">
      <c r="E37" s="556">
        <v>2011</v>
      </c>
      <c r="F37" s="536" t="s">
        <v>48</v>
      </c>
      <c r="G37" s="541">
        <v>1048601.1857862363</v>
      </c>
      <c r="H37" s="541">
        <v>38454.75</v>
      </c>
      <c r="I37" s="541">
        <v>5516.5217391304441</v>
      </c>
      <c r="J37" s="541"/>
      <c r="K37" s="541">
        <v>17983.43993367513</v>
      </c>
      <c r="L37" s="541">
        <v>-5038.8333333333358</v>
      </c>
      <c r="M37" s="541">
        <f t="shared" si="0"/>
        <v>56916</v>
      </c>
      <c r="N37" s="541">
        <f t="shared" si="1"/>
        <v>1105517.1857862363</v>
      </c>
      <c r="O37" s="542">
        <f t="shared" si="2"/>
        <v>1105517</v>
      </c>
      <c r="P37" s="519"/>
      <c r="Q37" s="519"/>
      <c r="R37" s="519"/>
      <c r="S37" s="519"/>
      <c r="T37" s="519"/>
      <c r="U37" s="519"/>
      <c r="V37" s="519"/>
      <c r="W37" s="519"/>
      <c r="X37" s="519"/>
      <c r="Y37" s="519"/>
      <c r="Z37" s="519"/>
      <c r="AA37" s="519"/>
      <c r="AB37" s="519"/>
      <c r="AC37" s="519"/>
      <c r="AD37" s="519"/>
      <c r="AE37" s="519"/>
      <c r="AF37" s="519"/>
      <c r="AG37" s="519"/>
      <c r="AH37" s="519"/>
      <c r="AI37" s="519"/>
      <c r="AJ37" s="519"/>
      <c r="AK37" s="519"/>
      <c r="AL37" s="519"/>
      <c r="AM37" s="519"/>
      <c r="AN37" s="519"/>
      <c r="AO37" s="519"/>
      <c r="AP37" s="519"/>
      <c r="AQ37" s="519"/>
      <c r="AR37" s="519"/>
      <c r="AS37" s="519"/>
      <c r="AT37" s="519"/>
      <c r="AU37" s="519"/>
      <c r="AV37" s="519"/>
      <c r="AW37" s="519"/>
      <c r="AX37" s="519"/>
      <c r="AY37" s="519"/>
      <c r="AZ37" s="519"/>
      <c r="BA37" s="519"/>
      <c r="BB37" s="519"/>
      <c r="BC37" s="519"/>
      <c r="BD37" s="519"/>
      <c r="BE37" s="519"/>
      <c r="BF37" s="519"/>
      <c r="BG37" s="519"/>
      <c r="BH37" s="519"/>
      <c r="BI37" s="519"/>
      <c r="BJ37" s="519"/>
      <c r="BK37" s="519"/>
      <c r="BL37" s="519"/>
      <c r="BM37" s="519"/>
      <c r="BN37" s="519"/>
      <c r="BO37" s="519"/>
      <c r="BP37" s="519"/>
      <c r="BQ37" s="519"/>
      <c r="BR37" s="519"/>
      <c r="BS37" s="519"/>
      <c r="BT37" s="519"/>
      <c r="BU37" s="519"/>
      <c r="BV37" s="519"/>
      <c r="BW37" s="519"/>
      <c r="BX37" s="519"/>
      <c r="BY37" s="519"/>
      <c r="BZ37" s="519"/>
      <c r="CA37" s="519"/>
      <c r="CB37" s="519"/>
      <c r="CC37" s="519"/>
      <c r="CD37" s="519"/>
      <c r="CE37" s="519"/>
      <c r="CF37" s="519"/>
      <c r="CG37" s="519"/>
      <c r="CH37" s="519"/>
      <c r="CI37" s="519"/>
      <c r="CJ37" s="519"/>
      <c r="CK37" s="519"/>
      <c r="CL37" s="519"/>
      <c r="CM37" s="519"/>
      <c r="CN37" s="519"/>
      <c r="CO37" s="519"/>
      <c r="CP37" s="519"/>
      <c r="CQ37" s="519"/>
      <c r="CR37" s="519"/>
      <c r="CS37" s="519"/>
      <c r="CT37" s="519"/>
      <c r="CU37" s="519"/>
      <c r="CV37" s="519"/>
      <c r="CW37" s="519"/>
    </row>
    <row r="38" spans="5:101" s="536" customFormat="1" ht="15.75">
      <c r="E38" s="556">
        <v>3522</v>
      </c>
      <c r="F38" s="536" t="s">
        <v>1568</v>
      </c>
      <c r="G38" s="541">
        <v>2385462.1158957551</v>
      </c>
      <c r="H38" s="541">
        <v>25509</v>
      </c>
      <c r="I38" s="541">
        <v>15071.767810026317</v>
      </c>
      <c r="J38" s="541"/>
      <c r="K38" s="541">
        <v>9457.4884210526307</v>
      </c>
      <c r="L38" s="541">
        <v>2879.3007518796999</v>
      </c>
      <c r="M38" s="541">
        <f t="shared" si="0"/>
        <v>52918</v>
      </c>
      <c r="N38" s="541">
        <f t="shared" si="1"/>
        <v>2438380.1158957551</v>
      </c>
      <c r="O38" s="542">
        <f t="shared" si="2"/>
        <v>2438380</v>
      </c>
      <c r="P38" s="519"/>
      <c r="Q38" s="519"/>
      <c r="R38" s="519"/>
      <c r="S38" s="519"/>
      <c r="T38" s="519"/>
      <c r="U38" s="519"/>
      <c r="V38" s="519"/>
      <c r="W38" s="519"/>
      <c r="X38" s="519"/>
      <c r="Y38" s="519"/>
      <c r="Z38" s="519"/>
      <c r="AA38" s="519"/>
      <c r="AB38" s="519"/>
      <c r="AC38" s="519"/>
      <c r="AD38" s="519"/>
      <c r="AE38" s="519"/>
      <c r="AF38" s="519"/>
      <c r="AG38" s="519"/>
      <c r="AH38" s="519"/>
      <c r="AI38" s="519"/>
      <c r="AJ38" s="519"/>
      <c r="AK38" s="519"/>
      <c r="AL38" s="519"/>
      <c r="AM38" s="519"/>
      <c r="AN38" s="519"/>
      <c r="AO38" s="519"/>
      <c r="AP38" s="519"/>
      <c r="AQ38" s="519"/>
      <c r="AR38" s="519"/>
      <c r="AS38" s="519"/>
      <c r="AT38" s="519"/>
      <c r="AU38" s="519"/>
      <c r="AV38" s="519"/>
      <c r="AW38" s="519"/>
      <c r="AX38" s="519"/>
      <c r="AY38" s="519"/>
      <c r="AZ38" s="519"/>
      <c r="BA38" s="519"/>
      <c r="BB38" s="519"/>
      <c r="BC38" s="519"/>
      <c r="BD38" s="519"/>
      <c r="BE38" s="519"/>
      <c r="BF38" s="519"/>
      <c r="BG38" s="519"/>
      <c r="BH38" s="519"/>
      <c r="BI38" s="519"/>
      <c r="BJ38" s="519"/>
      <c r="BK38" s="519"/>
      <c r="BL38" s="519"/>
      <c r="BM38" s="519"/>
      <c r="BN38" s="519"/>
      <c r="BO38" s="519"/>
      <c r="BP38" s="519"/>
      <c r="BQ38" s="519"/>
      <c r="BR38" s="519"/>
      <c r="BS38" s="519"/>
      <c r="BT38" s="519"/>
      <c r="BU38" s="519"/>
      <c r="BV38" s="519"/>
      <c r="BW38" s="519"/>
      <c r="BX38" s="519"/>
      <c r="BY38" s="519"/>
      <c r="BZ38" s="519"/>
      <c r="CA38" s="519"/>
      <c r="CB38" s="519"/>
      <c r="CC38" s="519"/>
      <c r="CD38" s="519"/>
      <c r="CE38" s="519"/>
      <c r="CF38" s="519"/>
      <c r="CG38" s="519"/>
      <c r="CH38" s="519"/>
      <c r="CI38" s="519"/>
      <c r="CJ38" s="519"/>
      <c r="CK38" s="519"/>
      <c r="CL38" s="519"/>
      <c r="CM38" s="519"/>
      <c r="CN38" s="519"/>
      <c r="CO38" s="519"/>
      <c r="CP38" s="519"/>
      <c r="CQ38" s="519"/>
      <c r="CR38" s="519"/>
      <c r="CS38" s="519"/>
      <c r="CT38" s="519"/>
      <c r="CU38" s="519"/>
      <c r="CV38" s="519"/>
      <c r="CW38" s="519"/>
    </row>
    <row r="39" spans="5:101" s="536" customFormat="1" ht="15.75">
      <c r="E39" s="556">
        <v>2014</v>
      </c>
      <c r="F39" s="536" t="s">
        <v>50</v>
      </c>
      <c r="G39" s="541">
        <v>3398570.70080182</v>
      </c>
      <c r="H39" s="541">
        <v>20934.409202611787</v>
      </c>
      <c r="I39" s="541">
        <v>-17231.282952548303</v>
      </c>
      <c r="J39" s="541"/>
      <c r="K39" s="541">
        <v>3765.1542308402513</v>
      </c>
      <c r="L39" s="541">
        <v>4763.8</v>
      </c>
      <c r="M39" s="541">
        <f t="shared" si="0"/>
        <v>12232</v>
      </c>
      <c r="N39" s="541">
        <f t="shared" si="1"/>
        <v>3410802.70080182</v>
      </c>
      <c r="O39" s="542">
        <f t="shared" si="2"/>
        <v>3410803</v>
      </c>
      <c r="P39" s="519"/>
      <c r="Q39" s="519"/>
      <c r="R39" s="519"/>
      <c r="S39" s="519"/>
      <c r="T39" s="519"/>
      <c r="U39" s="519"/>
      <c r="V39" s="519"/>
      <c r="W39" s="519"/>
      <c r="X39" s="519"/>
      <c r="Y39" s="519"/>
      <c r="Z39" s="519"/>
      <c r="AA39" s="519"/>
      <c r="AB39" s="519"/>
      <c r="AC39" s="519"/>
      <c r="AD39" s="519"/>
      <c r="AE39" s="519"/>
      <c r="AF39" s="519"/>
      <c r="AG39" s="519"/>
      <c r="AH39" s="519"/>
      <c r="AI39" s="519"/>
      <c r="AJ39" s="519"/>
      <c r="AK39" s="519"/>
      <c r="AL39" s="519"/>
      <c r="AM39" s="519"/>
      <c r="AN39" s="519"/>
      <c r="AO39" s="519"/>
      <c r="AP39" s="519"/>
      <c r="AQ39" s="519"/>
      <c r="AR39" s="519"/>
      <c r="AS39" s="519"/>
      <c r="AT39" s="519"/>
      <c r="AU39" s="519"/>
      <c r="AV39" s="519"/>
      <c r="AW39" s="519"/>
      <c r="AX39" s="519"/>
      <c r="AY39" s="519"/>
      <c r="AZ39" s="519"/>
      <c r="BA39" s="519"/>
      <c r="BB39" s="519"/>
      <c r="BC39" s="519"/>
      <c r="BD39" s="519"/>
      <c r="BE39" s="519"/>
      <c r="BF39" s="519"/>
      <c r="BG39" s="519"/>
      <c r="BH39" s="519"/>
      <c r="BI39" s="519"/>
      <c r="BJ39" s="519"/>
      <c r="BK39" s="519"/>
      <c r="BL39" s="519"/>
      <c r="BM39" s="519"/>
      <c r="BN39" s="519"/>
      <c r="BO39" s="519"/>
      <c r="BP39" s="519"/>
      <c r="BQ39" s="519"/>
      <c r="BR39" s="519"/>
      <c r="BS39" s="519"/>
      <c r="BT39" s="519"/>
      <c r="BU39" s="519"/>
      <c r="BV39" s="519"/>
      <c r="BW39" s="519"/>
      <c r="BX39" s="519"/>
      <c r="BY39" s="519"/>
      <c r="BZ39" s="519"/>
      <c r="CA39" s="519"/>
      <c r="CB39" s="519"/>
      <c r="CC39" s="519"/>
      <c r="CD39" s="519"/>
      <c r="CE39" s="519"/>
      <c r="CF39" s="519"/>
      <c r="CG39" s="519"/>
      <c r="CH39" s="519"/>
      <c r="CI39" s="519"/>
      <c r="CJ39" s="519"/>
      <c r="CK39" s="519"/>
      <c r="CL39" s="519"/>
      <c r="CM39" s="519"/>
      <c r="CN39" s="519"/>
      <c r="CO39" s="519"/>
      <c r="CP39" s="519"/>
      <c r="CQ39" s="519"/>
      <c r="CR39" s="519"/>
      <c r="CS39" s="519"/>
      <c r="CT39" s="519"/>
      <c r="CU39" s="519"/>
      <c r="CV39" s="519"/>
      <c r="CW39" s="519"/>
    </row>
    <row r="40" spans="5:101" s="536" customFormat="1" ht="15.75">
      <c r="E40" s="556">
        <v>2015</v>
      </c>
      <c r="F40" s="536" t="s">
        <v>51</v>
      </c>
      <c r="G40" s="541">
        <v>1753408.0214777284</v>
      </c>
      <c r="H40" s="541">
        <v>1045.6399999999994</v>
      </c>
      <c r="I40" s="541">
        <v>12974.27385892122</v>
      </c>
      <c r="J40" s="541"/>
      <c r="K40" s="541">
        <v>-8066.3122291021718</v>
      </c>
      <c r="L40" s="541">
        <v>13379.199438301634</v>
      </c>
      <c r="M40" s="541">
        <f t="shared" si="0"/>
        <v>19333</v>
      </c>
      <c r="N40" s="541">
        <f t="shared" si="1"/>
        <v>1772741.0214777284</v>
      </c>
      <c r="O40" s="542">
        <f t="shared" si="2"/>
        <v>1772741</v>
      </c>
      <c r="P40" s="519"/>
      <c r="Q40" s="519"/>
      <c r="R40" s="519"/>
      <c r="S40" s="519"/>
      <c r="T40" s="519"/>
      <c r="U40" s="519"/>
      <c r="V40" s="519"/>
      <c r="W40" s="519"/>
      <c r="X40" s="519"/>
      <c r="Y40" s="519"/>
      <c r="Z40" s="519"/>
      <c r="AA40" s="519"/>
      <c r="AB40" s="519"/>
      <c r="AC40" s="519"/>
      <c r="AD40" s="519"/>
      <c r="AE40" s="519"/>
      <c r="AF40" s="519"/>
      <c r="AG40" s="519"/>
      <c r="AH40" s="519"/>
      <c r="AI40" s="519"/>
      <c r="AJ40" s="519"/>
      <c r="AK40" s="519"/>
      <c r="AL40" s="519"/>
      <c r="AM40" s="519"/>
      <c r="AN40" s="519"/>
      <c r="AO40" s="519"/>
      <c r="AP40" s="519"/>
      <c r="AQ40" s="519"/>
      <c r="AR40" s="519"/>
      <c r="AS40" s="519"/>
      <c r="AT40" s="519"/>
      <c r="AU40" s="519"/>
      <c r="AV40" s="519"/>
      <c r="AW40" s="519"/>
      <c r="AX40" s="519"/>
      <c r="AY40" s="519"/>
      <c r="AZ40" s="519"/>
      <c r="BA40" s="519"/>
      <c r="BB40" s="519"/>
      <c r="BC40" s="519"/>
      <c r="BD40" s="519"/>
      <c r="BE40" s="519"/>
      <c r="BF40" s="519"/>
      <c r="BG40" s="519"/>
      <c r="BH40" s="519"/>
      <c r="BI40" s="519"/>
      <c r="BJ40" s="519"/>
      <c r="BK40" s="519"/>
      <c r="BL40" s="519"/>
      <c r="BM40" s="519"/>
      <c r="BN40" s="519"/>
      <c r="BO40" s="519"/>
      <c r="BP40" s="519"/>
      <c r="BQ40" s="519"/>
      <c r="BR40" s="519"/>
      <c r="BS40" s="519"/>
      <c r="BT40" s="519"/>
      <c r="BU40" s="519"/>
      <c r="BV40" s="519"/>
      <c r="BW40" s="519"/>
      <c r="BX40" s="519"/>
      <c r="BY40" s="519"/>
      <c r="BZ40" s="519"/>
      <c r="CA40" s="519"/>
      <c r="CB40" s="519"/>
      <c r="CC40" s="519"/>
      <c r="CD40" s="519"/>
      <c r="CE40" s="519"/>
      <c r="CF40" s="519"/>
      <c r="CG40" s="519"/>
      <c r="CH40" s="519"/>
      <c r="CI40" s="519"/>
      <c r="CJ40" s="519"/>
      <c r="CK40" s="519"/>
      <c r="CL40" s="519"/>
      <c r="CM40" s="519"/>
      <c r="CN40" s="519"/>
      <c r="CO40" s="519"/>
      <c r="CP40" s="519"/>
      <c r="CQ40" s="519"/>
      <c r="CR40" s="519"/>
      <c r="CS40" s="519"/>
      <c r="CT40" s="519"/>
      <c r="CU40" s="519"/>
      <c r="CV40" s="519"/>
      <c r="CW40" s="519"/>
    </row>
    <row r="41" spans="5:101" s="536" customFormat="1" ht="15.75">
      <c r="E41" s="556">
        <v>2016</v>
      </c>
      <c r="F41" s="536" t="s">
        <v>53</v>
      </c>
      <c r="G41" s="541">
        <v>1040880.085043338</v>
      </c>
      <c r="H41" s="541">
        <v>18745.666666666668</v>
      </c>
      <c r="I41" s="541">
        <v>-8074.6478873239312</v>
      </c>
      <c r="J41" s="541"/>
      <c r="K41" s="541">
        <v>9082</v>
      </c>
      <c r="L41" s="541">
        <v>897</v>
      </c>
      <c r="M41" s="541">
        <f t="shared" si="0"/>
        <v>20650</v>
      </c>
      <c r="N41" s="541">
        <f t="shared" si="1"/>
        <v>1061530.0850433381</v>
      </c>
      <c r="O41" s="542">
        <f t="shared" si="2"/>
        <v>1061530</v>
      </c>
      <c r="P41" s="519"/>
      <c r="Q41" s="519"/>
      <c r="R41" s="519"/>
      <c r="S41" s="519"/>
      <c r="T41" s="519"/>
      <c r="U41" s="519"/>
      <c r="V41" s="519"/>
      <c r="W41" s="519"/>
      <c r="X41" s="519"/>
      <c r="Y41" s="519"/>
      <c r="Z41" s="519"/>
      <c r="AA41" s="519"/>
      <c r="AB41" s="519"/>
      <c r="AC41" s="519"/>
      <c r="AD41" s="519"/>
      <c r="AE41" s="519"/>
      <c r="AF41" s="519"/>
      <c r="AG41" s="519"/>
      <c r="AH41" s="519"/>
      <c r="AI41" s="519"/>
      <c r="AJ41" s="519"/>
      <c r="AK41" s="519"/>
      <c r="AL41" s="519"/>
      <c r="AM41" s="519"/>
      <c r="AN41" s="519"/>
      <c r="AO41" s="519"/>
      <c r="AP41" s="519"/>
      <c r="AQ41" s="519"/>
      <c r="AR41" s="519"/>
      <c r="AS41" s="519"/>
      <c r="AT41" s="519"/>
      <c r="AU41" s="519"/>
      <c r="AV41" s="519"/>
      <c r="AW41" s="519"/>
      <c r="AX41" s="519"/>
      <c r="AY41" s="519"/>
      <c r="AZ41" s="519"/>
      <c r="BA41" s="519"/>
      <c r="BB41" s="519"/>
      <c r="BC41" s="519"/>
      <c r="BD41" s="519"/>
      <c r="BE41" s="519"/>
      <c r="BF41" s="519"/>
      <c r="BG41" s="519"/>
      <c r="BH41" s="519"/>
      <c r="BI41" s="519"/>
      <c r="BJ41" s="519"/>
      <c r="BK41" s="519"/>
      <c r="BL41" s="519"/>
      <c r="BM41" s="519"/>
      <c r="BN41" s="519"/>
      <c r="BO41" s="519"/>
      <c r="BP41" s="519"/>
      <c r="BQ41" s="519"/>
      <c r="BR41" s="519"/>
      <c r="BS41" s="519"/>
      <c r="BT41" s="519"/>
      <c r="BU41" s="519"/>
      <c r="BV41" s="519"/>
      <c r="BW41" s="519"/>
      <c r="BX41" s="519"/>
      <c r="BY41" s="519"/>
      <c r="BZ41" s="519"/>
      <c r="CA41" s="519"/>
      <c r="CB41" s="519"/>
      <c r="CC41" s="519"/>
      <c r="CD41" s="519"/>
      <c r="CE41" s="519"/>
      <c r="CF41" s="519"/>
      <c r="CG41" s="519"/>
      <c r="CH41" s="519"/>
      <c r="CI41" s="519"/>
      <c r="CJ41" s="519"/>
      <c r="CK41" s="519"/>
      <c r="CL41" s="519"/>
      <c r="CM41" s="519"/>
      <c r="CN41" s="519"/>
      <c r="CO41" s="519"/>
      <c r="CP41" s="519"/>
      <c r="CQ41" s="519"/>
      <c r="CR41" s="519"/>
      <c r="CS41" s="519"/>
      <c r="CT41" s="519"/>
      <c r="CU41" s="519"/>
      <c r="CV41" s="519"/>
      <c r="CW41" s="519"/>
    </row>
    <row r="42" spans="5:101" s="536" customFormat="1" ht="15.75">
      <c r="E42" s="556">
        <v>2017</v>
      </c>
      <c r="F42" s="550" t="s">
        <v>54</v>
      </c>
      <c r="G42" s="541">
        <v>1927820.1007636078</v>
      </c>
      <c r="H42" s="541">
        <v>50031.166666666672</v>
      </c>
      <c r="I42" s="541">
        <v>8698.2716049383271</v>
      </c>
      <c r="J42" s="541"/>
      <c r="K42" s="541">
        <v>-521.33333333333576</v>
      </c>
      <c r="L42" s="541">
        <v>6452.5714285714239</v>
      </c>
      <c r="M42" s="541">
        <f t="shared" si="0"/>
        <v>64661</v>
      </c>
      <c r="N42" s="541">
        <f t="shared" si="1"/>
        <v>1992481.1007636078</v>
      </c>
      <c r="O42" s="542">
        <f t="shared" si="2"/>
        <v>1992481</v>
      </c>
      <c r="P42" s="519"/>
      <c r="Q42" s="519"/>
      <c r="R42" s="519"/>
      <c r="S42" s="519"/>
      <c r="T42" s="519"/>
      <c r="U42" s="519"/>
      <c r="V42" s="519"/>
      <c r="W42" s="519"/>
      <c r="X42" s="519"/>
      <c r="Y42" s="519"/>
      <c r="Z42" s="519"/>
      <c r="AA42" s="519"/>
      <c r="AB42" s="519"/>
      <c r="AC42" s="519"/>
      <c r="AD42" s="519"/>
      <c r="AE42" s="519"/>
      <c r="AF42" s="519"/>
      <c r="AG42" s="519"/>
      <c r="AH42" s="519"/>
      <c r="AI42" s="519"/>
      <c r="AJ42" s="519"/>
      <c r="AK42" s="519"/>
      <c r="AL42" s="519"/>
      <c r="AM42" s="519"/>
      <c r="AN42" s="519"/>
      <c r="AO42" s="519"/>
      <c r="AP42" s="519"/>
      <c r="AQ42" s="519"/>
      <c r="AR42" s="519"/>
      <c r="AS42" s="519"/>
      <c r="AT42" s="519"/>
      <c r="AU42" s="519"/>
      <c r="AV42" s="519"/>
      <c r="AW42" s="519"/>
      <c r="AX42" s="519"/>
      <c r="AY42" s="519"/>
      <c r="AZ42" s="519"/>
      <c r="BA42" s="519"/>
      <c r="BB42" s="519"/>
      <c r="BC42" s="519"/>
      <c r="BD42" s="519"/>
      <c r="BE42" s="519"/>
      <c r="BF42" s="519"/>
      <c r="BG42" s="519"/>
      <c r="BH42" s="519"/>
      <c r="BI42" s="519"/>
      <c r="BJ42" s="519"/>
      <c r="BK42" s="519"/>
      <c r="BL42" s="519"/>
      <c r="BM42" s="519"/>
      <c r="BN42" s="519"/>
      <c r="BO42" s="519"/>
      <c r="BP42" s="519"/>
      <c r="BQ42" s="519"/>
      <c r="BR42" s="519"/>
      <c r="BS42" s="519"/>
      <c r="BT42" s="519"/>
      <c r="BU42" s="519"/>
      <c r="BV42" s="519"/>
      <c r="BW42" s="519"/>
      <c r="BX42" s="519"/>
      <c r="BY42" s="519"/>
      <c r="BZ42" s="519"/>
      <c r="CA42" s="519"/>
      <c r="CB42" s="519"/>
      <c r="CC42" s="519"/>
      <c r="CD42" s="519"/>
      <c r="CE42" s="519"/>
      <c r="CF42" s="519"/>
      <c r="CG42" s="519"/>
      <c r="CH42" s="519"/>
      <c r="CI42" s="519"/>
      <c r="CJ42" s="519"/>
      <c r="CK42" s="519"/>
      <c r="CL42" s="519"/>
      <c r="CM42" s="519"/>
      <c r="CN42" s="519"/>
      <c r="CO42" s="519"/>
      <c r="CP42" s="519"/>
      <c r="CQ42" s="519"/>
      <c r="CR42" s="519"/>
      <c r="CS42" s="519"/>
      <c r="CT42" s="519"/>
      <c r="CU42" s="519"/>
      <c r="CV42" s="519"/>
      <c r="CW42" s="519"/>
    </row>
    <row r="43" spans="5:101" s="536" customFormat="1" ht="15.75">
      <c r="E43" s="556">
        <v>2073</v>
      </c>
      <c r="F43" s="552" t="s">
        <v>55</v>
      </c>
      <c r="G43" s="541">
        <v>3075068.3673815252</v>
      </c>
      <c r="H43" s="541">
        <v>56102.833333333336</v>
      </c>
      <c r="I43" s="541">
        <v>-9786.5853658535689</v>
      </c>
      <c r="J43" s="541"/>
      <c r="K43" s="541">
        <v>39146.333333333321</v>
      </c>
      <c r="L43" s="541">
        <v>13747.214285714315</v>
      </c>
      <c r="M43" s="541">
        <f t="shared" si="0"/>
        <v>99210</v>
      </c>
      <c r="N43" s="541">
        <f t="shared" si="1"/>
        <v>3174278.3673815252</v>
      </c>
      <c r="O43" s="542">
        <f t="shared" si="2"/>
        <v>3174278</v>
      </c>
      <c r="P43" s="519"/>
      <c r="Q43" s="519"/>
      <c r="R43" s="519"/>
      <c r="S43" s="519"/>
      <c r="T43" s="519"/>
      <c r="U43" s="519"/>
      <c r="V43" s="519"/>
      <c r="W43" s="519"/>
      <c r="X43" s="519"/>
      <c r="Y43" s="519"/>
      <c r="Z43" s="519"/>
      <c r="AA43" s="519"/>
      <c r="AB43" s="519"/>
      <c r="AC43" s="519"/>
      <c r="AD43" s="519"/>
      <c r="AE43" s="519"/>
      <c r="AF43" s="519"/>
      <c r="AG43" s="519"/>
      <c r="AH43" s="519"/>
      <c r="AI43" s="519"/>
      <c r="AJ43" s="519"/>
      <c r="AK43" s="519"/>
      <c r="AL43" s="519"/>
      <c r="AM43" s="519"/>
      <c r="AN43" s="519"/>
      <c r="AO43" s="519"/>
      <c r="AP43" s="519"/>
      <c r="AQ43" s="519"/>
      <c r="AR43" s="519"/>
      <c r="AS43" s="519"/>
      <c r="AT43" s="519"/>
      <c r="AU43" s="519"/>
      <c r="AV43" s="519"/>
      <c r="AW43" s="519"/>
      <c r="AX43" s="519"/>
      <c r="AY43" s="519"/>
      <c r="AZ43" s="519"/>
      <c r="BA43" s="519"/>
      <c r="BB43" s="519"/>
      <c r="BC43" s="519"/>
      <c r="BD43" s="519"/>
      <c r="BE43" s="519"/>
      <c r="BF43" s="519"/>
      <c r="BG43" s="519"/>
      <c r="BH43" s="519"/>
      <c r="BI43" s="519"/>
      <c r="BJ43" s="519"/>
      <c r="BK43" s="519"/>
      <c r="BL43" s="519"/>
      <c r="BM43" s="519"/>
      <c r="BN43" s="519"/>
      <c r="BO43" s="519"/>
      <c r="BP43" s="519"/>
      <c r="BQ43" s="519"/>
      <c r="BR43" s="519"/>
      <c r="BS43" s="519"/>
      <c r="BT43" s="519"/>
      <c r="BU43" s="519"/>
      <c r="BV43" s="519"/>
      <c r="BW43" s="519"/>
      <c r="BX43" s="519"/>
      <c r="BY43" s="519"/>
      <c r="BZ43" s="519"/>
      <c r="CA43" s="519"/>
      <c r="CB43" s="519"/>
      <c r="CC43" s="519"/>
      <c r="CD43" s="519"/>
      <c r="CE43" s="519"/>
      <c r="CF43" s="519"/>
      <c r="CG43" s="519"/>
      <c r="CH43" s="519"/>
      <c r="CI43" s="519"/>
      <c r="CJ43" s="519"/>
      <c r="CK43" s="519"/>
      <c r="CL43" s="519"/>
      <c r="CM43" s="519"/>
      <c r="CN43" s="519"/>
      <c r="CO43" s="519"/>
      <c r="CP43" s="519"/>
      <c r="CQ43" s="519"/>
      <c r="CR43" s="519"/>
      <c r="CS43" s="519"/>
      <c r="CT43" s="519"/>
      <c r="CU43" s="519"/>
      <c r="CV43" s="519"/>
      <c r="CW43" s="519"/>
    </row>
    <row r="44" spans="5:101" s="536" customFormat="1" ht="15.75">
      <c r="E44" s="556">
        <v>2019</v>
      </c>
      <c r="F44" s="536" t="s">
        <v>56</v>
      </c>
      <c r="G44" s="541">
        <v>1872108.1163362956</v>
      </c>
      <c r="H44" s="541">
        <v>44339.987460697193</v>
      </c>
      <c r="I44" s="541">
        <v>-24699.999999999945</v>
      </c>
      <c r="J44" s="541"/>
      <c r="K44" s="541">
        <v>-11774.804183185235</v>
      </c>
      <c r="L44" s="541">
        <v>-3403.1849624060123</v>
      </c>
      <c r="M44" s="541">
        <f t="shared" si="0"/>
        <v>4462</v>
      </c>
      <c r="N44" s="541">
        <f t="shared" si="1"/>
        <v>1876570.1163362956</v>
      </c>
      <c r="O44" s="542">
        <f t="shared" si="2"/>
        <v>1876570</v>
      </c>
      <c r="P44" s="519"/>
      <c r="Q44" s="519"/>
      <c r="R44" s="519"/>
      <c r="S44" s="519"/>
      <c r="T44" s="519"/>
      <c r="U44" s="519"/>
      <c r="V44" s="519"/>
      <c r="W44" s="519"/>
      <c r="X44" s="519"/>
      <c r="Y44" s="519"/>
      <c r="Z44" s="519"/>
      <c r="AA44" s="519"/>
      <c r="AB44" s="519"/>
      <c r="AC44" s="519"/>
      <c r="AD44" s="519"/>
      <c r="AE44" s="519"/>
      <c r="AF44" s="519"/>
      <c r="AG44" s="519"/>
      <c r="AH44" s="519"/>
      <c r="AI44" s="519"/>
      <c r="AJ44" s="519"/>
      <c r="AK44" s="519"/>
      <c r="AL44" s="519"/>
      <c r="AM44" s="519"/>
      <c r="AN44" s="519"/>
      <c r="AO44" s="519"/>
      <c r="AP44" s="519"/>
      <c r="AQ44" s="519"/>
      <c r="AR44" s="519"/>
      <c r="AS44" s="519"/>
      <c r="AT44" s="519"/>
      <c r="AU44" s="519"/>
      <c r="AV44" s="519"/>
      <c r="AW44" s="519"/>
      <c r="AX44" s="519"/>
      <c r="AY44" s="519"/>
      <c r="AZ44" s="519"/>
      <c r="BA44" s="519"/>
      <c r="BB44" s="519"/>
      <c r="BC44" s="519"/>
      <c r="BD44" s="519"/>
      <c r="BE44" s="519"/>
      <c r="BF44" s="519"/>
      <c r="BG44" s="519"/>
      <c r="BH44" s="519"/>
      <c r="BI44" s="519"/>
      <c r="BJ44" s="519"/>
      <c r="BK44" s="519"/>
      <c r="BL44" s="519"/>
      <c r="BM44" s="519"/>
      <c r="BN44" s="519"/>
      <c r="BO44" s="519"/>
      <c r="BP44" s="519"/>
      <c r="BQ44" s="519"/>
      <c r="BR44" s="519"/>
      <c r="BS44" s="519"/>
      <c r="BT44" s="519"/>
      <c r="BU44" s="519"/>
      <c r="BV44" s="519"/>
      <c r="BW44" s="519"/>
      <c r="BX44" s="519"/>
      <c r="BY44" s="519"/>
      <c r="BZ44" s="519"/>
      <c r="CA44" s="519"/>
      <c r="CB44" s="519"/>
      <c r="CC44" s="519"/>
      <c r="CD44" s="519"/>
      <c r="CE44" s="519"/>
      <c r="CF44" s="519"/>
      <c r="CG44" s="519"/>
      <c r="CH44" s="519"/>
      <c r="CI44" s="519"/>
      <c r="CJ44" s="519"/>
      <c r="CK44" s="519"/>
      <c r="CL44" s="519"/>
      <c r="CM44" s="519"/>
      <c r="CN44" s="519"/>
      <c r="CO44" s="519"/>
      <c r="CP44" s="519"/>
      <c r="CQ44" s="519"/>
      <c r="CR44" s="519"/>
      <c r="CS44" s="519"/>
      <c r="CT44" s="519"/>
      <c r="CU44" s="519"/>
      <c r="CV44" s="519"/>
      <c r="CW44" s="519"/>
    </row>
    <row r="45" spans="5:101" s="536" customFormat="1" ht="15.75">
      <c r="E45" s="556" t="e">
        <v>#N/A</v>
      </c>
      <c r="F45" s="546" t="s">
        <v>57</v>
      </c>
      <c r="G45" s="541">
        <v>2139327.826559457</v>
      </c>
      <c r="H45" s="541">
        <v>0</v>
      </c>
      <c r="I45" s="541">
        <v>-23117.098445595828</v>
      </c>
      <c r="J45" s="541"/>
      <c r="K45" s="541">
        <v>-7756.7666666666573</v>
      </c>
      <c r="L45" s="541">
        <v>4462</v>
      </c>
      <c r="M45" s="541">
        <f t="shared" si="0"/>
        <v>-26412</v>
      </c>
      <c r="N45" s="541">
        <f t="shared" si="1"/>
        <v>2112915.826559457</v>
      </c>
      <c r="O45" s="542">
        <f t="shared" si="2"/>
        <v>2112916</v>
      </c>
      <c r="P45" s="519"/>
      <c r="Q45" s="519"/>
      <c r="R45" s="519"/>
      <c r="S45" s="519"/>
      <c r="T45" s="519"/>
      <c r="U45" s="519"/>
      <c r="V45" s="519"/>
      <c r="W45" s="519"/>
      <c r="X45" s="519"/>
      <c r="Y45" s="519"/>
      <c r="Z45" s="519"/>
      <c r="AA45" s="519"/>
      <c r="AB45" s="519"/>
      <c r="AC45" s="519"/>
      <c r="AD45" s="519"/>
      <c r="AE45" s="519"/>
      <c r="AF45" s="519"/>
      <c r="AG45" s="519"/>
      <c r="AH45" s="519"/>
      <c r="AI45" s="519"/>
      <c r="AJ45" s="519"/>
      <c r="AK45" s="519"/>
      <c r="AL45" s="519"/>
      <c r="AM45" s="519"/>
      <c r="AN45" s="519"/>
      <c r="AO45" s="519"/>
      <c r="AP45" s="519"/>
      <c r="AQ45" s="519"/>
      <c r="AR45" s="519"/>
      <c r="AS45" s="519"/>
      <c r="AT45" s="519"/>
      <c r="AU45" s="519"/>
      <c r="AV45" s="519"/>
      <c r="AW45" s="519"/>
      <c r="AX45" s="519"/>
      <c r="AY45" s="519"/>
      <c r="AZ45" s="519"/>
      <c r="BA45" s="519"/>
      <c r="BB45" s="519"/>
      <c r="BC45" s="519"/>
      <c r="BD45" s="519"/>
      <c r="BE45" s="519"/>
      <c r="BF45" s="519"/>
      <c r="BG45" s="519"/>
      <c r="BH45" s="519"/>
      <c r="BI45" s="519"/>
      <c r="BJ45" s="519"/>
      <c r="BK45" s="519"/>
      <c r="BL45" s="519"/>
      <c r="BM45" s="519"/>
      <c r="BN45" s="519"/>
      <c r="BO45" s="519"/>
      <c r="BP45" s="519"/>
      <c r="BQ45" s="519"/>
      <c r="BR45" s="519"/>
      <c r="BS45" s="519"/>
      <c r="BT45" s="519"/>
      <c r="BU45" s="519"/>
      <c r="BV45" s="519"/>
      <c r="BW45" s="519"/>
      <c r="BX45" s="519"/>
      <c r="BY45" s="519"/>
      <c r="BZ45" s="519"/>
      <c r="CA45" s="519"/>
      <c r="CB45" s="519"/>
      <c r="CC45" s="519"/>
      <c r="CD45" s="519"/>
      <c r="CE45" s="519"/>
      <c r="CF45" s="519"/>
      <c r="CG45" s="519"/>
      <c r="CH45" s="519"/>
      <c r="CI45" s="519"/>
      <c r="CJ45" s="519"/>
      <c r="CK45" s="519"/>
      <c r="CL45" s="519"/>
      <c r="CM45" s="519"/>
      <c r="CN45" s="519"/>
      <c r="CO45" s="519"/>
      <c r="CP45" s="519"/>
      <c r="CQ45" s="519"/>
      <c r="CR45" s="519"/>
      <c r="CS45" s="519"/>
      <c r="CT45" s="519"/>
      <c r="CU45" s="519"/>
      <c r="CV45" s="519"/>
      <c r="CW45" s="519"/>
    </row>
    <row r="46" spans="5:101" s="536" customFormat="1" ht="15.75">
      <c r="E46" s="556">
        <v>2021</v>
      </c>
      <c r="F46" s="536" t="s">
        <v>58</v>
      </c>
      <c r="G46" s="541">
        <v>1654958.1467036942</v>
      </c>
      <c r="H46" s="541">
        <v>9298.3333333333285</v>
      </c>
      <c r="I46" s="541">
        <v>53852.348993288615</v>
      </c>
      <c r="J46" s="541"/>
      <c r="K46" s="541">
        <v>-10938.913650141487</v>
      </c>
      <c r="L46" s="541">
        <v>9796.0394254868079</v>
      </c>
      <c r="M46" s="541">
        <f t="shared" si="0"/>
        <v>62008</v>
      </c>
      <c r="N46" s="541">
        <f t="shared" si="1"/>
        <v>1716966.1467036942</v>
      </c>
      <c r="O46" s="542">
        <f t="shared" si="2"/>
        <v>1716966</v>
      </c>
      <c r="P46" s="519"/>
      <c r="Q46" s="519"/>
      <c r="R46" s="519"/>
      <c r="S46" s="519"/>
      <c r="T46" s="519"/>
      <c r="U46" s="519"/>
      <c r="V46" s="519"/>
      <c r="W46" s="519"/>
      <c r="X46" s="519"/>
      <c r="Y46" s="519"/>
      <c r="Z46" s="519"/>
      <c r="AA46" s="519"/>
      <c r="AB46" s="519"/>
      <c r="AC46" s="519"/>
      <c r="AD46" s="519"/>
      <c r="AE46" s="519"/>
      <c r="AF46" s="519"/>
      <c r="AG46" s="519"/>
      <c r="AH46" s="519"/>
      <c r="AI46" s="519"/>
      <c r="AJ46" s="519"/>
      <c r="AK46" s="519"/>
      <c r="AL46" s="519"/>
      <c r="AM46" s="519"/>
      <c r="AN46" s="519"/>
      <c r="AO46" s="519"/>
      <c r="AP46" s="519"/>
      <c r="AQ46" s="519"/>
      <c r="AR46" s="519"/>
      <c r="AS46" s="519"/>
      <c r="AT46" s="519"/>
      <c r="AU46" s="519"/>
      <c r="AV46" s="519"/>
      <c r="AW46" s="519"/>
      <c r="AX46" s="519"/>
      <c r="AY46" s="519"/>
      <c r="AZ46" s="519"/>
      <c r="BA46" s="519"/>
      <c r="BB46" s="519"/>
      <c r="BC46" s="519"/>
      <c r="BD46" s="519"/>
      <c r="BE46" s="519"/>
      <c r="BF46" s="519"/>
      <c r="BG46" s="519"/>
      <c r="BH46" s="519"/>
      <c r="BI46" s="519"/>
      <c r="BJ46" s="519"/>
      <c r="BK46" s="519"/>
      <c r="BL46" s="519"/>
      <c r="BM46" s="519"/>
      <c r="BN46" s="519"/>
      <c r="BO46" s="519"/>
      <c r="BP46" s="519"/>
      <c r="BQ46" s="519"/>
      <c r="BR46" s="519"/>
      <c r="BS46" s="519"/>
      <c r="BT46" s="519"/>
      <c r="BU46" s="519"/>
      <c r="BV46" s="519"/>
      <c r="BW46" s="519"/>
      <c r="BX46" s="519"/>
      <c r="BY46" s="519"/>
      <c r="BZ46" s="519"/>
      <c r="CA46" s="519"/>
      <c r="CB46" s="519"/>
      <c r="CC46" s="519"/>
      <c r="CD46" s="519"/>
      <c r="CE46" s="519"/>
      <c r="CF46" s="519"/>
      <c r="CG46" s="519"/>
      <c r="CH46" s="519"/>
      <c r="CI46" s="519"/>
      <c r="CJ46" s="519"/>
      <c r="CK46" s="519"/>
      <c r="CL46" s="519"/>
      <c r="CM46" s="519"/>
      <c r="CN46" s="519"/>
      <c r="CO46" s="519"/>
      <c r="CP46" s="519"/>
      <c r="CQ46" s="519"/>
      <c r="CR46" s="519"/>
      <c r="CS46" s="519"/>
      <c r="CT46" s="519"/>
      <c r="CU46" s="519"/>
      <c r="CV46" s="519"/>
      <c r="CW46" s="519"/>
    </row>
    <row r="47" spans="5:101" s="536" customFormat="1" ht="15.75">
      <c r="E47" s="556">
        <v>5200</v>
      </c>
      <c r="F47" s="536" t="s">
        <v>59</v>
      </c>
      <c r="G47" s="541">
        <v>1948918.6672793187</v>
      </c>
      <c r="H47" s="541">
        <v>-51745.25</v>
      </c>
      <c r="I47" s="541">
        <v>12724.70588235297</v>
      </c>
      <c r="J47" s="541"/>
      <c r="K47" s="541">
        <v>28260.666666666672</v>
      </c>
      <c r="L47" s="541">
        <v>6654.2380952380954</v>
      </c>
      <c r="M47" s="541">
        <f t="shared" si="0"/>
        <v>-4106</v>
      </c>
      <c r="N47" s="541">
        <f t="shared" si="1"/>
        <v>1944812.6672793187</v>
      </c>
      <c r="O47" s="542">
        <f t="shared" si="2"/>
        <v>1944813</v>
      </c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519"/>
      <c r="AF47" s="519"/>
      <c r="AG47" s="519"/>
      <c r="AH47" s="519"/>
      <c r="AI47" s="519"/>
      <c r="AJ47" s="519"/>
      <c r="AK47" s="519"/>
      <c r="AL47" s="519"/>
      <c r="AM47" s="519"/>
      <c r="AN47" s="519"/>
      <c r="AO47" s="519"/>
      <c r="AP47" s="519"/>
      <c r="AQ47" s="519"/>
      <c r="AR47" s="519"/>
      <c r="AS47" s="519"/>
      <c r="AT47" s="519"/>
      <c r="AU47" s="519"/>
      <c r="AV47" s="519"/>
      <c r="AW47" s="519"/>
      <c r="AX47" s="519"/>
      <c r="AY47" s="519"/>
      <c r="AZ47" s="519"/>
      <c r="BA47" s="519"/>
      <c r="BB47" s="519"/>
      <c r="BC47" s="519"/>
      <c r="BD47" s="519"/>
      <c r="BE47" s="519"/>
      <c r="BF47" s="519"/>
      <c r="BG47" s="519"/>
      <c r="BH47" s="519"/>
      <c r="BI47" s="519"/>
      <c r="BJ47" s="519"/>
      <c r="BK47" s="519"/>
      <c r="BL47" s="519"/>
      <c r="BM47" s="519"/>
      <c r="BN47" s="519"/>
      <c r="BO47" s="519"/>
      <c r="BP47" s="519"/>
      <c r="BQ47" s="519"/>
      <c r="BR47" s="519"/>
      <c r="BS47" s="519"/>
      <c r="BT47" s="519"/>
      <c r="BU47" s="519"/>
      <c r="BV47" s="519"/>
      <c r="BW47" s="519"/>
      <c r="BX47" s="519"/>
      <c r="BY47" s="519"/>
      <c r="BZ47" s="519"/>
      <c r="CA47" s="519"/>
      <c r="CB47" s="519"/>
      <c r="CC47" s="519"/>
      <c r="CD47" s="519"/>
      <c r="CE47" s="519"/>
      <c r="CF47" s="519"/>
      <c r="CG47" s="519"/>
      <c r="CH47" s="519"/>
      <c r="CI47" s="519"/>
      <c r="CJ47" s="519"/>
      <c r="CK47" s="519"/>
      <c r="CL47" s="519"/>
      <c r="CM47" s="519"/>
      <c r="CN47" s="519"/>
      <c r="CO47" s="519"/>
      <c r="CP47" s="519"/>
      <c r="CQ47" s="519"/>
      <c r="CR47" s="519"/>
      <c r="CS47" s="519"/>
      <c r="CT47" s="519"/>
      <c r="CU47" s="519"/>
      <c r="CV47" s="519"/>
      <c r="CW47" s="519"/>
    </row>
    <row r="48" spans="5:101" s="536" customFormat="1" ht="15.75">
      <c r="E48" s="556">
        <v>2023</v>
      </c>
      <c r="F48" s="552" t="s">
        <v>60</v>
      </c>
      <c r="G48" s="541">
        <v>1642841.8805878442</v>
      </c>
      <c r="H48" s="541">
        <v>58750.202651900021</v>
      </c>
      <c r="I48" s="541">
        <v>-12606.060606060613</v>
      </c>
      <c r="J48" s="541">
        <v>1129228.2879778848</v>
      </c>
      <c r="K48" s="541">
        <v>-15836.075343764824</v>
      </c>
      <c r="L48" s="541">
        <v>12454.47008568719</v>
      </c>
      <c r="M48" s="541">
        <f t="shared" si="0"/>
        <v>1171991</v>
      </c>
      <c r="N48" s="541">
        <f t="shared" si="1"/>
        <v>2814832.8805878442</v>
      </c>
      <c r="O48" s="542">
        <f t="shared" si="2"/>
        <v>2814833</v>
      </c>
      <c r="P48" s="519"/>
      <c r="Q48" s="519"/>
      <c r="R48" s="519"/>
      <c r="S48" s="519"/>
      <c r="T48" s="519"/>
      <c r="U48" s="519"/>
      <c r="V48" s="519"/>
      <c r="W48" s="519"/>
      <c r="X48" s="519"/>
      <c r="Y48" s="519"/>
      <c r="Z48" s="519"/>
      <c r="AA48" s="519"/>
      <c r="AB48" s="519"/>
      <c r="AC48" s="519"/>
      <c r="AD48" s="519"/>
      <c r="AE48" s="519"/>
      <c r="AF48" s="519"/>
      <c r="AG48" s="519"/>
      <c r="AH48" s="519"/>
      <c r="AI48" s="519"/>
      <c r="AJ48" s="519"/>
      <c r="AK48" s="519"/>
      <c r="AL48" s="519"/>
      <c r="AM48" s="519"/>
      <c r="AN48" s="519"/>
      <c r="AO48" s="519"/>
      <c r="AP48" s="519"/>
      <c r="AQ48" s="519"/>
      <c r="AR48" s="519"/>
      <c r="AS48" s="519"/>
      <c r="AT48" s="519"/>
      <c r="AU48" s="519"/>
      <c r="AV48" s="519"/>
      <c r="AW48" s="519"/>
      <c r="AX48" s="519"/>
      <c r="AY48" s="519"/>
      <c r="AZ48" s="519"/>
      <c r="BA48" s="519"/>
      <c r="BB48" s="519"/>
      <c r="BC48" s="519"/>
      <c r="BD48" s="519"/>
      <c r="BE48" s="519"/>
      <c r="BF48" s="519"/>
      <c r="BG48" s="519"/>
      <c r="BH48" s="519"/>
      <c r="BI48" s="519"/>
      <c r="BJ48" s="519"/>
      <c r="BK48" s="519"/>
      <c r="BL48" s="519"/>
      <c r="BM48" s="519"/>
      <c r="BN48" s="519"/>
      <c r="BO48" s="519"/>
      <c r="BP48" s="519"/>
      <c r="BQ48" s="519"/>
      <c r="BR48" s="519"/>
      <c r="BS48" s="519"/>
      <c r="BT48" s="519"/>
      <c r="BU48" s="519"/>
      <c r="BV48" s="519"/>
      <c r="BW48" s="519"/>
      <c r="BX48" s="519"/>
      <c r="BY48" s="519"/>
      <c r="BZ48" s="519"/>
      <c r="CA48" s="519"/>
      <c r="CB48" s="519"/>
      <c r="CC48" s="519"/>
      <c r="CD48" s="519"/>
      <c r="CE48" s="519"/>
      <c r="CF48" s="519"/>
      <c r="CG48" s="519"/>
      <c r="CH48" s="519"/>
      <c r="CI48" s="519"/>
      <c r="CJ48" s="519"/>
      <c r="CK48" s="519"/>
      <c r="CL48" s="519"/>
      <c r="CM48" s="519"/>
      <c r="CN48" s="519"/>
      <c r="CO48" s="519"/>
      <c r="CP48" s="519"/>
      <c r="CQ48" s="519"/>
      <c r="CR48" s="519"/>
      <c r="CS48" s="519"/>
      <c r="CT48" s="519"/>
      <c r="CU48" s="519"/>
      <c r="CV48" s="519"/>
      <c r="CW48" s="519"/>
    </row>
    <row r="49" spans="5:101" ht="15.75">
      <c r="E49" s="556">
        <v>2022</v>
      </c>
      <c r="F49" s="536" t="s">
        <v>61</v>
      </c>
      <c r="G49" s="541">
        <v>1937523.7683069159</v>
      </c>
      <c r="H49" s="541">
        <v>18048.75</v>
      </c>
      <c r="I49" s="541">
        <v>-12854.310344827591</v>
      </c>
      <c r="J49" s="541">
        <v>-1128310.2879778848</v>
      </c>
      <c r="K49" s="541">
        <v>0</v>
      </c>
      <c r="L49" s="541">
        <v>0.20833333333575865</v>
      </c>
      <c r="M49" s="541">
        <f t="shared" si="0"/>
        <v>-1123116</v>
      </c>
      <c r="N49" s="541">
        <f t="shared" si="1"/>
        <v>814407.76830691588</v>
      </c>
      <c r="O49" s="542">
        <f t="shared" si="2"/>
        <v>814408</v>
      </c>
    </row>
    <row r="50" spans="5:101" ht="15.75">
      <c r="E50" s="556" t="e">
        <v>#N/A</v>
      </c>
      <c r="F50" s="546" t="s">
        <v>1485</v>
      </c>
      <c r="G50" s="541">
        <v>59102.510526315797</v>
      </c>
      <c r="H50" s="541">
        <v>30615.751578947369</v>
      </c>
      <c r="I50" s="541">
        <v>2600</v>
      </c>
      <c r="J50" s="541"/>
      <c r="K50" s="541">
        <v>-992.17052631579293</v>
      </c>
      <c r="L50" s="541">
        <v>44.74</v>
      </c>
      <c r="M50" s="541">
        <f t="shared" si="0"/>
        <v>32268</v>
      </c>
      <c r="N50" s="541">
        <f t="shared" si="1"/>
        <v>91370.510526315804</v>
      </c>
      <c r="O50" s="542">
        <f t="shared" si="2"/>
        <v>91371</v>
      </c>
    </row>
    <row r="51" spans="5:101" s="536" customFormat="1" ht="15.75">
      <c r="E51" s="556">
        <v>2024</v>
      </c>
      <c r="F51" s="551" t="s">
        <v>62</v>
      </c>
      <c r="G51" s="541">
        <v>1493529.4048522681</v>
      </c>
      <c r="H51" s="541">
        <v>22268.86043859649</v>
      </c>
      <c r="I51" s="541">
        <v>-3749.356223175977</v>
      </c>
      <c r="J51" s="541"/>
      <c r="K51" s="541">
        <v>7849.0504453441299</v>
      </c>
      <c r="L51" s="541">
        <v>-3720.3881897050323</v>
      </c>
      <c r="M51" s="541">
        <f t="shared" si="0"/>
        <v>22648</v>
      </c>
      <c r="N51" s="541">
        <f t="shared" si="1"/>
        <v>1516177.4048522681</v>
      </c>
      <c r="O51" s="542">
        <f t="shared" si="2"/>
        <v>1516177</v>
      </c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  <c r="AK51" s="519"/>
      <c r="AL51" s="519"/>
      <c r="AM51" s="519"/>
      <c r="AN51" s="519"/>
      <c r="AO51" s="519"/>
      <c r="AP51" s="519"/>
      <c r="AQ51" s="519"/>
      <c r="AR51" s="519"/>
      <c r="AS51" s="519"/>
      <c r="AT51" s="519"/>
      <c r="AU51" s="519"/>
      <c r="AV51" s="519"/>
      <c r="AW51" s="519"/>
      <c r="AX51" s="519"/>
      <c r="AY51" s="519"/>
      <c r="AZ51" s="519"/>
      <c r="BA51" s="519"/>
      <c r="BB51" s="519"/>
      <c r="BC51" s="519"/>
      <c r="BD51" s="519"/>
      <c r="BE51" s="519"/>
      <c r="BF51" s="519"/>
      <c r="BG51" s="519"/>
      <c r="BH51" s="519"/>
      <c r="BI51" s="519"/>
      <c r="BJ51" s="519"/>
      <c r="BK51" s="519"/>
      <c r="BL51" s="519"/>
      <c r="BM51" s="519"/>
      <c r="BN51" s="519"/>
      <c r="BO51" s="519"/>
      <c r="BP51" s="519"/>
      <c r="BQ51" s="519"/>
      <c r="BR51" s="519"/>
      <c r="BS51" s="519"/>
      <c r="BT51" s="519"/>
      <c r="BU51" s="519"/>
      <c r="BV51" s="519"/>
      <c r="BW51" s="519"/>
      <c r="BX51" s="519"/>
      <c r="BY51" s="519"/>
      <c r="BZ51" s="519"/>
      <c r="CA51" s="519"/>
      <c r="CB51" s="519"/>
      <c r="CC51" s="519"/>
      <c r="CD51" s="519"/>
      <c r="CE51" s="519"/>
      <c r="CF51" s="519"/>
      <c r="CG51" s="519"/>
      <c r="CH51" s="519"/>
      <c r="CI51" s="519"/>
      <c r="CJ51" s="519"/>
      <c r="CK51" s="519"/>
      <c r="CL51" s="519"/>
      <c r="CM51" s="519"/>
      <c r="CN51" s="519"/>
      <c r="CO51" s="519"/>
      <c r="CP51" s="519"/>
      <c r="CQ51" s="519"/>
      <c r="CR51" s="519"/>
      <c r="CS51" s="519"/>
      <c r="CT51" s="519"/>
      <c r="CU51" s="519"/>
      <c r="CV51" s="519"/>
      <c r="CW51" s="519"/>
    </row>
    <row r="52" spans="5:101" s="536" customFormat="1" ht="15.75">
      <c r="E52" s="556">
        <v>2025</v>
      </c>
      <c r="F52" s="552" t="s">
        <v>63</v>
      </c>
      <c r="G52" s="541">
        <v>1300740.336429751</v>
      </c>
      <c r="H52" s="541">
        <v>39215.166666666672</v>
      </c>
      <c r="I52" s="541">
        <v>2217.8343949044638</v>
      </c>
      <c r="J52" s="541"/>
      <c r="K52" s="541">
        <v>15755.333333333328</v>
      </c>
      <c r="L52" s="541">
        <v>6107.1666666666642</v>
      </c>
      <c r="M52" s="541">
        <f t="shared" si="0"/>
        <v>63296</v>
      </c>
      <c r="N52" s="541">
        <f t="shared" si="1"/>
        <v>1364036.336429751</v>
      </c>
      <c r="O52" s="542">
        <f t="shared" si="2"/>
        <v>1364036</v>
      </c>
      <c r="P52" s="519"/>
      <c r="Q52" s="519"/>
      <c r="R52" s="519"/>
      <c r="S52" s="519"/>
      <c r="T52" s="519"/>
      <c r="U52" s="519"/>
      <c r="V52" s="519"/>
      <c r="W52" s="519"/>
      <c r="X52" s="519"/>
      <c r="Y52" s="519"/>
      <c r="Z52" s="519"/>
      <c r="AA52" s="519"/>
      <c r="AB52" s="519"/>
      <c r="AC52" s="519"/>
      <c r="AD52" s="519"/>
      <c r="AE52" s="519"/>
      <c r="AF52" s="519"/>
      <c r="AG52" s="519"/>
      <c r="AH52" s="519"/>
      <c r="AI52" s="519"/>
      <c r="AJ52" s="519"/>
      <c r="AK52" s="519"/>
      <c r="AL52" s="519"/>
      <c r="AM52" s="519"/>
      <c r="AN52" s="519"/>
      <c r="AO52" s="519"/>
      <c r="AP52" s="519"/>
      <c r="AQ52" s="519"/>
      <c r="AR52" s="519"/>
      <c r="AS52" s="519"/>
      <c r="AT52" s="519"/>
      <c r="AU52" s="519"/>
      <c r="AV52" s="519"/>
      <c r="AW52" s="519"/>
      <c r="AX52" s="519"/>
      <c r="AY52" s="519"/>
      <c r="AZ52" s="519"/>
      <c r="BA52" s="519"/>
      <c r="BB52" s="519"/>
      <c r="BC52" s="519"/>
      <c r="BD52" s="519"/>
      <c r="BE52" s="519"/>
      <c r="BF52" s="519"/>
      <c r="BG52" s="519"/>
      <c r="BH52" s="519"/>
      <c r="BI52" s="519"/>
      <c r="BJ52" s="519"/>
      <c r="BK52" s="519"/>
      <c r="BL52" s="519"/>
      <c r="BM52" s="519"/>
      <c r="BN52" s="519"/>
      <c r="BO52" s="519"/>
      <c r="BP52" s="519"/>
      <c r="BQ52" s="519"/>
      <c r="BR52" s="519"/>
      <c r="BS52" s="519"/>
      <c r="BT52" s="519"/>
      <c r="BU52" s="519"/>
      <c r="BV52" s="519"/>
      <c r="BW52" s="519"/>
      <c r="BX52" s="519"/>
      <c r="BY52" s="519"/>
      <c r="BZ52" s="519"/>
      <c r="CA52" s="519"/>
      <c r="CB52" s="519"/>
      <c r="CC52" s="519"/>
      <c r="CD52" s="519"/>
      <c r="CE52" s="519"/>
      <c r="CF52" s="519"/>
      <c r="CG52" s="519"/>
      <c r="CH52" s="519"/>
      <c r="CI52" s="519"/>
      <c r="CJ52" s="519"/>
      <c r="CK52" s="519"/>
      <c r="CL52" s="519"/>
      <c r="CM52" s="519"/>
      <c r="CN52" s="519"/>
      <c r="CO52" s="519"/>
      <c r="CP52" s="519"/>
      <c r="CQ52" s="519"/>
      <c r="CR52" s="519"/>
      <c r="CS52" s="519"/>
      <c r="CT52" s="519"/>
      <c r="CU52" s="519"/>
      <c r="CV52" s="519"/>
      <c r="CW52" s="519"/>
    </row>
    <row r="53" spans="5:101" s="536" customFormat="1" ht="15.75">
      <c r="E53" s="556">
        <v>2026</v>
      </c>
      <c r="F53" s="536" t="s">
        <v>64</v>
      </c>
      <c r="G53" s="541">
        <v>2933415.047739604</v>
      </c>
      <c r="H53" s="541">
        <v>79853.27125741182</v>
      </c>
      <c r="I53" s="541">
        <v>6237.5000000000364</v>
      </c>
      <c r="J53" s="541"/>
      <c r="K53" s="541">
        <v>-10988.125631151055</v>
      </c>
      <c r="L53" s="541">
        <v>-2903.5171770890674</v>
      </c>
      <c r="M53" s="541">
        <f t="shared" si="0"/>
        <v>72199</v>
      </c>
      <c r="N53" s="541">
        <f t="shared" si="1"/>
        <v>3005614.047739604</v>
      </c>
      <c r="O53" s="542">
        <f t="shared" si="2"/>
        <v>3005614</v>
      </c>
      <c r="P53" s="519"/>
      <c r="Q53" s="519"/>
      <c r="R53" s="519"/>
      <c r="S53" s="519"/>
      <c r="T53" s="519"/>
      <c r="U53" s="519"/>
      <c r="V53" s="519"/>
      <c r="W53" s="519"/>
      <c r="X53" s="519"/>
      <c r="Y53" s="519"/>
      <c r="Z53" s="519"/>
      <c r="AA53" s="519"/>
      <c r="AB53" s="519"/>
      <c r="AC53" s="519"/>
      <c r="AD53" s="519"/>
      <c r="AE53" s="519"/>
      <c r="AF53" s="519"/>
      <c r="AG53" s="519"/>
      <c r="AH53" s="519"/>
      <c r="AI53" s="519"/>
      <c r="AJ53" s="519"/>
      <c r="AK53" s="519"/>
      <c r="AL53" s="519"/>
      <c r="AM53" s="519"/>
      <c r="AN53" s="519"/>
      <c r="AO53" s="519"/>
      <c r="AP53" s="519"/>
      <c r="AQ53" s="519"/>
      <c r="AR53" s="519"/>
      <c r="AS53" s="519"/>
      <c r="AT53" s="519"/>
      <c r="AU53" s="519"/>
      <c r="AV53" s="519"/>
      <c r="AW53" s="519"/>
      <c r="AX53" s="519"/>
      <c r="AY53" s="519"/>
      <c r="AZ53" s="519"/>
      <c r="BA53" s="519"/>
      <c r="BB53" s="519"/>
      <c r="BC53" s="519"/>
      <c r="BD53" s="519"/>
      <c r="BE53" s="519"/>
      <c r="BF53" s="519"/>
      <c r="BG53" s="519"/>
      <c r="BH53" s="519"/>
      <c r="BI53" s="519"/>
      <c r="BJ53" s="519"/>
      <c r="BK53" s="519"/>
      <c r="BL53" s="519"/>
      <c r="BM53" s="519"/>
      <c r="BN53" s="519"/>
      <c r="BO53" s="519"/>
      <c r="BP53" s="519"/>
      <c r="BQ53" s="519"/>
      <c r="BR53" s="519"/>
      <c r="BS53" s="519"/>
      <c r="BT53" s="519"/>
      <c r="BU53" s="519"/>
      <c r="BV53" s="519"/>
      <c r="BW53" s="519"/>
      <c r="BX53" s="519"/>
      <c r="BY53" s="519"/>
      <c r="BZ53" s="519"/>
      <c r="CA53" s="519"/>
      <c r="CB53" s="519"/>
      <c r="CC53" s="519"/>
      <c r="CD53" s="519"/>
      <c r="CE53" s="519"/>
      <c r="CF53" s="519"/>
      <c r="CG53" s="519"/>
      <c r="CH53" s="519"/>
      <c r="CI53" s="519"/>
      <c r="CJ53" s="519"/>
      <c r="CK53" s="519"/>
      <c r="CL53" s="519"/>
      <c r="CM53" s="519"/>
      <c r="CN53" s="519"/>
      <c r="CO53" s="519"/>
      <c r="CP53" s="519"/>
      <c r="CQ53" s="519"/>
      <c r="CR53" s="519"/>
      <c r="CS53" s="519"/>
      <c r="CT53" s="519"/>
      <c r="CU53" s="519"/>
      <c r="CV53" s="519"/>
      <c r="CW53" s="519"/>
    </row>
    <row r="54" spans="5:101" s="536" customFormat="1" ht="15.75">
      <c r="E54" s="556">
        <v>2028</v>
      </c>
      <c r="F54" s="536" t="s">
        <v>65</v>
      </c>
      <c r="G54" s="541">
        <v>1273731.2904234834</v>
      </c>
      <c r="H54" s="541">
        <v>50140.916666666672</v>
      </c>
      <c r="I54" s="541">
        <v>-4630.712686567158</v>
      </c>
      <c r="J54" s="541"/>
      <c r="K54" s="541">
        <v>-2719.8333333333358</v>
      </c>
      <c r="L54" s="541">
        <v>850.66666666666424</v>
      </c>
      <c r="M54" s="541">
        <f t="shared" si="0"/>
        <v>43641</v>
      </c>
      <c r="N54" s="541">
        <f t="shared" si="1"/>
        <v>1317372.2904234834</v>
      </c>
      <c r="O54" s="542">
        <f t="shared" si="2"/>
        <v>1317372</v>
      </c>
      <c r="P54" s="519"/>
      <c r="Q54" s="519"/>
      <c r="R54" s="519"/>
      <c r="S54" s="519"/>
      <c r="T54" s="519"/>
      <c r="U54" s="519"/>
      <c r="V54" s="519"/>
      <c r="W54" s="519"/>
      <c r="X54" s="519"/>
      <c r="Y54" s="519"/>
      <c r="Z54" s="519"/>
      <c r="AA54" s="519"/>
      <c r="AB54" s="519"/>
      <c r="AC54" s="519"/>
      <c r="AD54" s="519"/>
      <c r="AE54" s="519"/>
      <c r="AF54" s="519"/>
      <c r="AG54" s="519"/>
      <c r="AH54" s="519"/>
      <c r="AI54" s="519"/>
      <c r="AJ54" s="519"/>
      <c r="AK54" s="519"/>
      <c r="AL54" s="519"/>
      <c r="AM54" s="519"/>
      <c r="AN54" s="519"/>
      <c r="AO54" s="519"/>
      <c r="AP54" s="519"/>
      <c r="AQ54" s="519"/>
      <c r="AR54" s="519"/>
      <c r="AS54" s="519"/>
      <c r="AT54" s="519"/>
      <c r="AU54" s="519"/>
      <c r="AV54" s="519"/>
      <c r="AW54" s="519"/>
      <c r="AX54" s="519"/>
      <c r="AY54" s="519"/>
      <c r="AZ54" s="519"/>
      <c r="BA54" s="519"/>
      <c r="BB54" s="519"/>
      <c r="BC54" s="519"/>
      <c r="BD54" s="519"/>
      <c r="BE54" s="519"/>
      <c r="BF54" s="519"/>
      <c r="BG54" s="519"/>
      <c r="BH54" s="519"/>
      <c r="BI54" s="519"/>
      <c r="BJ54" s="519"/>
      <c r="BK54" s="519"/>
      <c r="BL54" s="519"/>
      <c r="BM54" s="519"/>
      <c r="BN54" s="519"/>
      <c r="BO54" s="519"/>
      <c r="BP54" s="519"/>
      <c r="BQ54" s="519"/>
      <c r="BR54" s="519"/>
      <c r="BS54" s="519"/>
      <c r="BT54" s="519"/>
      <c r="BU54" s="519"/>
      <c r="BV54" s="519"/>
      <c r="BW54" s="519"/>
      <c r="BX54" s="519"/>
      <c r="BY54" s="519"/>
      <c r="BZ54" s="519"/>
      <c r="CA54" s="519"/>
      <c r="CB54" s="519"/>
      <c r="CC54" s="519"/>
      <c r="CD54" s="519"/>
      <c r="CE54" s="519"/>
      <c r="CF54" s="519"/>
      <c r="CG54" s="519"/>
      <c r="CH54" s="519"/>
      <c r="CI54" s="519"/>
      <c r="CJ54" s="519"/>
      <c r="CK54" s="519"/>
      <c r="CL54" s="519"/>
      <c r="CM54" s="519"/>
      <c r="CN54" s="519"/>
      <c r="CO54" s="519"/>
      <c r="CP54" s="519"/>
      <c r="CQ54" s="519"/>
      <c r="CR54" s="519"/>
      <c r="CS54" s="519"/>
      <c r="CT54" s="519"/>
      <c r="CU54" s="519"/>
      <c r="CV54" s="519"/>
      <c r="CW54" s="519"/>
    </row>
    <row r="55" spans="5:101" s="536" customFormat="1" ht="15.75">
      <c r="E55" s="556">
        <v>2027</v>
      </c>
      <c r="F55" s="550" t="s">
        <v>66</v>
      </c>
      <c r="G55" s="541">
        <v>1645249.4788012728</v>
      </c>
      <c r="H55" s="541">
        <v>-10797.75</v>
      </c>
      <c r="I55" s="541">
        <v>4756.8636363636242</v>
      </c>
      <c r="J55" s="541"/>
      <c r="K55" s="541">
        <v>-2206.833333333343</v>
      </c>
      <c r="L55" s="541">
        <v>1794</v>
      </c>
      <c r="M55" s="541">
        <f t="shared" si="0"/>
        <v>-6454</v>
      </c>
      <c r="N55" s="541">
        <f t="shared" si="1"/>
        <v>1638795.4788012728</v>
      </c>
      <c r="O55" s="542">
        <f t="shared" si="2"/>
        <v>1638795</v>
      </c>
      <c r="P55" s="519"/>
      <c r="Q55" s="519"/>
      <c r="R55" s="519"/>
      <c r="S55" s="519"/>
      <c r="T55" s="519"/>
      <c r="U55" s="519"/>
      <c r="V55" s="519"/>
      <c r="W55" s="519"/>
      <c r="X55" s="519"/>
      <c r="Y55" s="519"/>
      <c r="Z55" s="519"/>
      <c r="AA55" s="519"/>
      <c r="AB55" s="519"/>
      <c r="AC55" s="519"/>
      <c r="AD55" s="519"/>
      <c r="AE55" s="519"/>
      <c r="AF55" s="519"/>
      <c r="AG55" s="519"/>
      <c r="AH55" s="519"/>
      <c r="AI55" s="519"/>
      <c r="AJ55" s="519"/>
      <c r="AK55" s="519"/>
      <c r="AL55" s="519"/>
      <c r="AM55" s="519"/>
      <c r="AN55" s="519"/>
      <c r="AO55" s="519"/>
      <c r="AP55" s="519"/>
      <c r="AQ55" s="519"/>
      <c r="AR55" s="519"/>
      <c r="AS55" s="519"/>
      <c r="AT55" s="519"/>
      <c r="AU55" s="519"/>
      <c r="AV55" s="519"/>
      <c r="AW55" s="519"/>
      <c r="AX55" s="519"/>
      <c r="AY55" s="519"/>
      <c r="AZ55" s="519"/>
      <c r="BA55" s="519"/>
      <c r="BB55" s="519"/>
      <c r="BC55" s="519"/>
      <c r="BD55" s="519"/>
      <c r="BE55" s="519"/>
      <c r="BF55" s="519"/>
      <c r="BG55" s="519"/>
      <c r="BH55" s="519"/>
      <c r="BI55" s="519"/>
      <c r="BJ55" s="519"/>
      <c r="BK55" s="519"/>
      <c r="BL55" s="519"/>
      <c r="BM55" s="519"/>
      <c r="BN55" s="519"/>
      <c r="BO55" s="519"/>
      <c r="BP55" s="519"/>
      <c r="BQ55" s="519"/>
      <c r="BR55" s="519"/>
      <c r="BS55" s="519"/>
      <c r="BT55" s="519"/>
      <c r="BU55" s="519"/>
      <c r="BV55" s="519"/>
      <c r="BW55" s="519"/>
      <c r="BX55" s="519"/>
      <c r="BY55" s="519"/>
      <c r="BZ55" s="519"/>
      <c r="CA55" s="519"/>
      <c r="CB55" s="519"/>
      <c r="CC55" s="519"/>
      <c r="CD55" s="519"/>
      <c r="CE55" s="519"/>
      <c r="CF55" s="519"/>
      <c r="CG55" s="519"/>
      <c r="CH55" s="519"/>
      <c r="CI55" s="519"/>
      <c r="CJ55" s="519"/>
      <c r="CK55" s="519"/>
      <c r="CL55" s="519"/>
      <c r="CM55" s="519"/>
      <c r="CN55" s="519"/>
      <c r="CO55" s="519"/>
      <c r="CP55" s="519"/>
      <c r="CQ55" s="519"/>
      <c r="CR55" s="519"/>
      <c r="CS55" s="519"/>
      <c r="CT55" s="519"/>
      <c r="CU55" s="519"/>
      <c r="CV55" s="519"/>
      <c r="CW55" s="519"/>
    </row>
    <row r="56" spans="5:101" s="536" customFormat="1" ht="15.75">
      <c r="E56" s="556">
        <v>2029</v>
      </c>
      <c r="F56" s="550" t="s">
        <v>67</v>
      </c>
      <c r="G56" s="541">
        <v>2639801.2254608511</v>
      </c>
      <c r="H56" s="541">
        <v>47107.838421052627</v>
      </c>
      <c r="I56" s="541">
        <v>-15127.272727272713</v>
      </c>
      <c r="J56" s="541"/>
      <c r="K56" s="541">
        <v>5576.5948070175473</v>
      </c>
      <c r="L56" s="541">
        <v>-2216.02170426066</v>
      </c>
      <c r="M56" s="541">
        <f t="shared" si="0"/>
        <v>35341</v>
      </c>
      <c r="N56" s="541">
        <f t="shared" si="1"/>
        <v>2675142.2254608511</v>
      </c>
      <c r="O56" s="542">
        <f t="shared" si="2"/>
        <v>2675142</v>
      </c>
      <c r="P56" s="519"/>
      <c r="Q56" s="519"/>
      <c r="R56" s="519"/>
      <c r="S56" s="519"/>
      <c r="T56" s="519"/>
      <c r="U56" s="519"/>
      <c r="V56" s="519"/>
      <c r="W56" s="519"/>
      <c r="X56" s="519"/>
      <c r="Y56" s="519"/>
      <c r="Z56" s="519"/>
      <c r="AA56" s="519"/>
      <c r="AB56" s="519"/>
      <c r="AC56" s="519"/>
      <c r="AD56" s="519"/>
      <c r="AE56" s="519"/>
      <c r="AF56" s="519"/>
      <c r="AG56" s="519"/>
      <c r="AH56" s="519"/>
      <c r="AI56" s="519"/>
      <c r="AJ56" s="519"/>
      <c r="AK56" s="519"/>
      <c r="AL56" s="519"/>
      <c r="AM56" s="519"/>
      <c r="AN56" s="519"/>
      <c r="AO56" s="519"/>
      <c r="AP56" s="519"/>
      <c r="AQ56" s="519"/>
      <c r="AR56" s="519"/>
      <c r="AS56" s="519"/>
      <c r="AT56" s="519"/>
      <c r="AU56" s="519"/>
      <c r="AV56" s="519"/>
      <c r="AW56" s="519"/>
      <c r="AX56" s="519"/>
      <c r="AY56" s="519"/>
      <c r="AZ56" s="519"/>
      <c r="BA56" s="519"/>
      <c r="BB56" s="519"/>
      <c r="BC56" s="519"/>
      <c r="BD56" s="519"/>
      <c r="BE56" s="519"/>
      <c r="BF56" s="519"/>
      <c r="BG56" s="519"/>
      <c r="BH56" s="519"/>
      <c r="BI56" s="519"/>
      <c r="BJ56" s="519"/>
      <c r="BK56" s="519"/>
      <c r="BL56" s="519"/>
      <c r="BM56" s="519"/>
      <c r="BN56" s="519"/>
      <c r="BO56" s="519"/>
      <c r="BP56" s="519"/>
      <c r="BQ56" s="519"/>
      <c r="BR56" s="519"/>
      <c r="BS56" s="519"/>
      <c r="BT56" s="519"/>
      <c r="BU56" s="519"/>
      <c r="BV56" s="519"/>
      <c r="BW56" s="519"/>
      <c r="BX56" s="519"/>
      <c r="BY56" s="519"/>
      <c r="BZ56" s="519"/>
      <c r="CA56" s="519"/>
      <c r="CB56" s="519"/>
      <c r="CC56" s="519"/>
      <c r="CD56" s="519"/>
      <c r="CE56" s="519"/>
      <c r="CF56" s="519"/>
      <c r="CG56" s="519"/>
      <c r="CH56" s="519"/>
      <c r="CI56" s="519"/>
      <c r="CJ56" s="519"/>
      <c r="CK56" s="519"/>
      <c r="CL56" s="519"/>
      <c r="CM56" s="519"/>
      <c r="CN56" s="519"/>
      <c r="CO56" s="519"/>
      <c r="CP56" s="519"/>
      <c r="CQ56" s="519"/>
      <c r="CR56" s="519"/>
      <c r="CS56" s="519"/>
      <c r="CT56" s="519"/>
      <c r="CU56" s="519"/>
      <c r="CV56" s="519"/>
      <c r="CW56" s="519"/>
    </row>
    <row r="57" spans="5:101" s="536" customFormat="1" ht="15.75">
      <c r="E57" s="556" t="e">
        <v>#N/A</v>
      </c>
      <c r="F57" s="546" t="s">
        <v>1497</v>
      </c>
      <c r="G57" s="541">
        <v>677185.59212222497</v>
      </c>
      <c r="H57" s="541">
        <v>47628</v>
      </c>
      <c r="I57" s="541">
        <v>-19010.389610389608</v>
      </c>
      <c r="J57" s="541"/>
      <c r="K57" s="541">
        <v>-19501.166666666664</v>
      </c>
      <c r="L57" s="541">
        <v>10575</v>
      </c>
      <c r="M57" s="541">
        <f t="shared" si="0"/>
        <v>19691</v>
      </c>
      <c r="N57" s="541">
        <f t="shared" si="1"/>
        <v>696876.59212222497</v>
      </c>
      <c r="O57" s="542">
        <f t="shared" si="2"/>
        <v>696877</v>
      </c>
      <c r="P57" s="519"/>
      <c r="Q57" s="519"/>
      <c r="R57" s="519"/>
      <c r="S57" s="519"/>
      <c r="T57" s="519"/>
      <c r="U57" s="519"/>
      <c r="V57" s="519"/>
      <c r="W57" s="519"/>
      <c r="X57" s="519"/>
      <c r="Y57" s="519"/>
      <c r="Z57" s="519"/>
      <c r="AA57" s="519"/>
      <c r="AB57" s="519"/>
      <c r="AC57" s="519"/>
      <c r="AD57" s="519"/>
      <c r="AE57" s="519"/>
      <c r="AF57" s="519"/>
      <c r="AG57" s="519"/>
      <c r="AH57" s="519"/>
      <c r="AI57" s="519"/>
      <c r="AJ57" s="519"/>
      <c r="AK57" s="519"/>
      <c r="AL57" s="519"/>
      <c r="AM57" s="519"/>
      <c r="AN57" s="519"/>
      <c r="AO57" s="519"/>
      <c r="AP57" s="519"/>
      <c r="AQ57" s="519"/>
      <c r="AR57" s="519"/>
      <c r="AS57" s="519"/>
      <c r="AT57" s="519"/>
      <c r="AU57" s="519"/>
      <c r="AV57" s="519"/>
      <c r="AW57" s="519"/>
      <c r="AX57" s="519"/>
      <c r="AY57" s="519"/>
      <c r="AZ57" s="519"/>
      <c r="BA57" s="519"/>
      <c r="BB57" s="519"/>
      <c r="BC57" s="519"/>
      <c r="BD57" s="519"/>
      <c r="BE57" s="519"/>
      <c r="BF57" s="519"/>
      <c r="BG57" s="519"/>
      <c r="BH57" s="519"/>
      <c r="BI57" s="519"/>
      <c r="BJ57" s="519"/>
      <c r="BK57" s="519"/>
      <c r="BL57" s="519"/>
      <c r="BM57" s="519"/>
      <c r="BN57" s="519"/>
      <c r="BO57" s="519"/>
      <c r="BP57" s="519"/>
      <c r="BQ57" s="519"/>
      <c r="BR57" s="519"/>
      <c r="BS57" s="519"/>
      <c r="BT57" s="519"/>
      <c r="BU57" s="519"/>
      <c r="BV57" s="519"/>
      <c r="BW57" s="519"/>
      <c r="BX57" s="519"/>
      <c r="BY57" s="519"/>
      <c r="BZ57" s="519"/>
      <c r="CA57" s="519"/>
      <c r="CB57" s="519"/>
      <c r="CC57" s="519"/>
      <c r="CD57" s="519"/>
      <c r="CE57" s="519"/>
      <c r="CF57" s="519"/>
      <c r="CG57" s="519"/>
      <c r="CH57" s="519"/>
      <c r="CI57" s="519"/>
      <c r="CJ57" s="519"/>
      <c r="CK57" s="519"/>
      <c r="CL57" s="519"/>
      <c r="CM57" s="519"/>
      <c r="CN57" s="519"/>
      <c r="CO57" s="519"/>
      <c r="CP57" s="519"/>
      <c r="CQ57" s="519"/>
      <c r="CR57" s="519"/>
      <c r="CS57" s="519"/>
      <c r="CT57" s="519"/>
      <c r="CU57" s="519"/>
      <c r="CV57" s="519"/>
      <c r="CW57" s="519"/>
    </row>
    <row r="58" spans="5:101" s="536" customFormat="1" ht="15.75">
      <c r="E58" s="556">
        <v>3516</v>
      </c>
      <c r="F58" s="536" t="s">
        <v>69</v>
      </c>
      <c r="G58" s="541">
        <v>1005947.824825654</v>
      </c>
      <c r="H58" s="541">
        <v>24500.75</v>
      </c>
      <c r="I58" s="541">
        <v>2691.9811320754729</v>
      </c>
      <c r="J58" s="541"/>
      <c r="K58" s="541">
        <v>20538.589473684202</v>
      </c>
      <c r="L58" s="541">
        <v>717.07142857143822</v>
      </c>
      <c r="M58" s="541">
        <f t="shared" si="0"/>
        <v>48448</v>
      </c>
      <c r="N58" s="541">
        <f t="shared" si="1"/>
        <v>1054395.824825654</v>
      </c>
      <c r="O58" s="542">
        <f t="shared" si="2"/>
        <v>1054396</v>
      </c>
      <c r="P58" s="519"/>
      <c r="Q58" s="519"/>
      <c r="R58" s="519"/>
      <c r="S58" s="519"/>
      <c r="T58" s="519"/>
      <c r="U58" s="519"/>
      <c r="V58" s="519"/>
      <c r="W58" s="519"/>
      <c r="X58" s="519"/>
      <c r="Y58" s="519"/>
      <c r="Z58" s="519"/>
      <c r="AA58" s="519"/>
      <c r="AB58" s="519"/>
      <c r="AC58" s="519"/>
      <c r="AD58" s="519"/>
      <c r="AE58" s="519"/>
      <c r="AF58" s="519"/>
      <c r="AG58" s="519"/>
      <c r="AH58" s="519"/>
      <c r="AI58" s="519"/>
      <c r="AJ58" s="519"/>
      <c r="AK58" s="519"/>
      <c r="AL58" s="519"/>
      <c r="AM58" s="519"/>
      <c r="AN58" s="519"/>
      <c r="AO58" s="519"/>
      <c r="AP58" s="519"/>
      <c r="AQ58" s="519"/>
      <c r="AR58" s="519"/>
      <c r="AS58" s="519"/>
      <c r="AT58" s="519"/>
      <c r="AU58" s="519"/>
      <c r="AV58" s="519"/>
      <c r="AW58" s="519"/>
      <c r="AX58" s="519"/>
      <c r="AY58" s="519"/>
      <c r="AZ58" s="519"/>
      <c r="BA58" s="519"/>
      <c r="BB58" s="519"/>
      <c r="BC58" s="519"/>
      <c r="BD58" s="519"/>
      <c r="BE58" s="519"/>
      <c r="BF58" s="519"/>
      <c r="BG58" s="519"/>
      <c r="BH58" s="519"/>
      <c r="BI58" s="519"/>
      <c r="BJ58" s="519"/>
      <c r="BK58" s="519"/>
      <c r="BL58" s="519"/>
      <c r="BM58" s="519"/>
      <c r="BN58" s="519"/>
      <c r="BO58" s="519"/>
      <c r="BP58" s="519"/>
      <c r="BQ58" s="519"/>
      <c r="BR58" s="519"/>
      <c r="BS58" s="519"/>
      <c r="BT58" s="519"/>
      <c r="BU58" s="519"/>
      <c r="BV58" s="519"/>
      <c r="BW58" s="519"/>
      <c r="BX58" s="519"/>
      <c r="BY58" s="519"/>
      <c r="BZ58" s="519"/>
      <c r="CA58" s="519"/>
      <c r="CB58" s="519"/>
      <c r="CC58" s="519"/>
      <c r="CD58" s="519"/>
      <c r="CE58" s="519"/>
      <c r="CF58" s="519"/>
      <c r="CG58" s="519"/>
      <c r="CH58" s="519"/>
      <c r="CI58" s="519"/>
      <c r="CJ58" s="519"/>
      <c r="CK58" s="519"/>
      <c r="CL58" s="519"/>
      <c r="CM58" s="519"/>
      <c r="CN58" s="519"/>
      <c r="CO58" s="519"/>
      <c r="CP58" s="519"/>
      <c r="CQ58" s="519"/>
      <c r="CR58" s="519"/>
      <c r="CS58" s="519"/>
      <c r="CT58" s="519"/>
      <c r="CU58" s="519"/>
      <c r="CV58" s="519"/>
      <c r="CW58" s="519"/>
    </row>
    <row r="59" spans="5:101" s="536" customFormat="1" ht="15.75">
      <c r="E59" s="556">
        <v>2031</v>
      </c>
      <c r="F59" s="544" t="s">
        <v>70</v>
      </c>
      <c r="G59" s="541">
        <v>1328284.5089420991</v>
      </c>
      <c r="H59" s="541">
        <v>15311.492476540188</v>
      </c>
      <c r="I59" s="541">
        <v>-12895.721925133674</v>
      </c>
      <c r="J59" s="541"/>
      <c r="K59" s="541">
        <v>14402.099368421052</v>
      </c>
      <c r="L59" s="541">
        <v>1067.9828571428479</v>
      </c>
      <c r="M59" s="541">
        <f t="shared" si="0"/>
        <v>17886</v>
      </c>
      <c r="N59" s="541">
        <f t="shared" si="1"/>
        <v>1346170.5089420991</v>
      </c>
      <c r="O59" s="542">
        <f t="shared" si="2"/>
        <v>1346171</v>
      </c>
      <c r="P59" s="519"/>
      <c r="Q59" s="519"/>
      <c r="R59" s="519"/>
      <c r="S59" s="519"/>
      <c r="T59" s="519"/>
      <c r="U59" s="519"/>
      <c r="V59" s="519"/>
      <c r="W59" s="519"/>
      <c r="X59" s="519"/>
      <c r="Y59" s="519"/>
      <c r="Z59" s="519"/>
      <c r="AA59" s="519"/>
      <c r="AB59" s="519"/>
      <c r="AC59" s="519"/>
      <c r="AD59" s="519"/>
      <c r="AE59" s="519"/>
      <c r="AF59" s="519"/>
      <c r="AG59" s="519"/>
      <c r="AH59" s="519"/>
      <c r="AI59" s="519"/>
      <c r="AJ59" s="519"/>
      <c r="AK59" s="519"/>
      <c r="AL59" s="519"/>
      <c r="AM59" s="519"/>
      <c r="AN59" s="519"/>
      <c r="AO59" s="519"/>
      <c r="AP59" s="519"/>
      <c r="AQ59" s="519"/>
      <c r="AR59" s="519"/>
      <c r="AS59" s="519"/>
      <c r="AT59" s="519"/>
      <c r="AU59" s="519"/>
      <c r="AV59" s="519"/>
      <c r="AW59" s="519"/>
      <c r="AX59" s="519"/>
      <c r="AY59" s="519"/>
      <c r="AZ59" s="519"/>
      <c r="BA59" s="519"/>
      <c r="BB59" s="519"/>
      <c r="BC59" s="519"/>
      <c r="BD59" s="519"/>
      <c r="BE59" s="519"/>
      <c r="BF59" s="519"/>
      <c r="BG59" s="519"/>
      <c r="BH59" s="519"/>
      <c r="BI59" s="519"/>
      <c r="BJ59" s="519"/>
      <c r="BK59" s="519"/>
      <c r="BL59" s="519"/>
      <c r="BM59" s="519"/>
      <c r="BN59" s="519"/>
      <c r="BO59" s="519"/>
      <c r="BP59" s="519"/>
      <c r="BQ59" s="519"/>
      <c r="BR59" s="519"/>
      <c r="BS59" s="519"/>
      <c r="BT59" s="519"/>
      <c r="BU59" s="519"/>
      <c r="BV59" s="519"/>
      <c r="BW59" s="519"/>
      <c r="BX59" s="519"/>
      <c r="BY59" s="519"/>
      <c r="BZ59" s="519"/>
      <c r="CA59" s="519"/>
      <c r="CB59" s="519"/>
      <c r="CC59" s="519"/>
      <c r="CD59" s="519"/>
      <c r="CE59" s="519"/>
      <c r="CF59" s="519"/>
      <c r="CG59" s="519"/>
      <c r="CH59" s="519"/>
      <c r="CI59" s="519"/>
      <c r="CJ59" s="519"/>
      <c r="CK59" s="519"/>
      <c r="CL59" s="519"/>
      <c r="CM59" s="519"/>
      <c r="CN59" s="519"/>
      <c r="CO59" s="519"/>
      <c r="CP59" s="519"/>
      <c r="CQ59" s="519"/>
      <c r="CR59" s="519"/>
      <c r="CS59" s="519"/>
      <c r="CT59" s="519"/>
      <c r="CU59" s="519"/>
      <c r="CV59" s="519"/>
      <c r="CW59" s="519"/>
    </row>
    <row r="60" spans="5:101" s="536" customFormat="1" ht="15.75">
      <c r="E60" s="556">
        <v>2032</v>
      </c>
      <c r="F60" s="536" t="s">
        <v>71</v>
      </c>
      <c r="G60" s="541">
        <v>2449882.1337488946</v>
      </c>
      <c r="H60" s="541">
        <v>37358.592025518337</v>
      </c>
      <c r="I60" s="541">
        <v>1821.1416490486358</v>
      </c>
      <c r="J60" s="541"/>
      <c r="K60" s="541">
        <v>7890.1940988835677</v>
      </c>
      <c r="L60" s="541">
        <v>-5553.4744611528686</v>
      </c>
      <c r="M60" s="541">
        <f t="shared" si="0"/>
        <v>41516</v>
      </c>
      <c r="N60" s="541">
        <f t="shared" si="1"/>
        <v>2491398.1337488946</v>
      </c>
      <c r="O60" s="542">
        <f t="shared" si="2"/>
        <v>2491398</v>
      </c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9"/>
      <c r="AC60" s="519"/>
      <c r="AD60" s="519"/>
      <c r="AE60" s="519"/>
      <c r="AF60" s="519"/>
      <c r="AG60" s="519"/>
      <c r="AH60" s="519"/>
      <c r="AI60" s="519"/>
      <c r="AJ60" s="519"/>
      <c r="AK60" s="519"/>
      <c r="AL60" s="519"/>
      <c r="AM60" s="519"/>
      <c r="AN60" s="519"/>
      <c r="AO60" s="519"/>
      <c r="AP60" s="519"/>
      <c r="AQ60" s="519"/>
      <c r="AR60" s="519"/>
      <c r="AS60" s="519"/>
      <c r="AT60" s="519"/>
      <c r="AU60" s="519"/>
      <c r="AV60" s="519"/>
      <c r="AW60" s="519"/>
      <c r="AX60" s="519"/>
      <c r="AY60" s="519"/>
      <c r="AZ60" s="519"/>
      <c r="BA60" s="519"/>
      <c r="BB60" s="519"/>
      <c r="BC60" s="519"/>
      <c r="BD60" s="519"/>
      <c r="BE60" s="519"/>
      <c r="BF60" s="519"/>
      <c r="BG60" s="519"/>
      <c r="BH60" s="519"/>
      <c r="BI60" s="519"/>
      <c r="BJ60" s="519"/>
      <c r="BK60" s="519"/>
      <c r="BL60" s="519"/>
      <c r="BM60" s="519"/>
      <c r="BN60" s="519"/>
      <c r="BO60" s="519"/>
      <c r="BP60" s="519"/>
      <c r="BQ60" s="519"/>
      <c r="BR60" s="519"/>
      <c r="BS60" s="519"/>
      <c r="BT60" s="519"/>
      <c r="BU60" s="519"/>
      <c r="BV60" s="519"/>
      <c r="BW60" s="519"/>
      <c r="BX60" s="519"/>
      <c r="BY60" s="519"/>
      <c r="BZ60" s="519"/>
      <c r="CA60" s="519"/>
      <c r="CB60" s="519"/>
      <c r="CC60" s="519"/>
      <c r="CD60" s="519"/>
      <c r="CE60" s="519"/>
      <c r="CF60" s="519"/>
      <c r="CG60" s="519"/>
      <c r="CH60" s="519"/>
      <c r="CI60" s="519"/>
      <c r="CJ60" s="519"/>
      <c r="CK60" s="519"/>
      <c r="CL60" s="519"/>
      <c r="CM60" s="519"/>
      <c r="CN60" s="519"/>
      <c r="CO60" s="519"/>
      <c r="CP60" s="519"/>
      <c r="CQ60" s="519"/>
      <c r="CR60" s="519"/>
      <c r="CS60" s="519"/>
      <c r="CT60" s="519"/>
      <c r="CU60" s="519"/>
      <c r="CV60" s="519"/>
      <c r="CW60" s="519"/>
    </row>
    <row r="61" spans="5:101" s="536" customFormat="1" ht="15.75">
      <c r="E61" s="556">
        <v>3304</v>
      </c>
      <c r="F61" s="550" t="s">
        <v>72</v>
      </c>
      <c r="G61" s="541">
        <v>1167437.6914279843</v>
      </c>
      <c r="H61" s="541">
        <v>23293.025916141702</v>
      </c>
      <c r="I61" s="541">
        <v>15006.829268292689</v>
      </c>
      <c r="J61" s="541"/>
      <c r="K61" s="541">
        <v>7755.2789189189189</v>
      </c>
      <c r="L61" s="541">
        <v>4346.5162568583637</v>
      </c>
      <c r="M61" s="541">
        <f t="shared" si="0"/>
        <v>50402</v>
      </c>
      <c r="N61" s="541">
        <f t="shared" si="1"/>
        <v>1217839.6914279843</v>
      </c>
      <c r="O61" s="542">
        <f t="shared" si="2"/>
        <v>1217840</v>
      </c>
      <c r="P61" s="519"/>
      <c r="Q61" s="519"/>
      <c r="R61" s="519"/>
      <c r="S61" s="519"/>
      <c r="T61" s="519"/>
      <c r="U61" s="519"/>
      <c r="V61" s="519"/>
      <c r="W61" s="519"/>
      <c r="X61" s="519"/>
      <c r="Y61" s="519"/>
      <c r="Z61" s="519"/>
      <c r="AA61" s="519"/>
      <c r="AB61" s="519"/>
      <c r="AC61" s="519"/>
      <c r="AD61" s="519"/>
      <c r="AE61" s="519"/>
      <c r="AF61" s="519"/>
      <c r="AG61" s="519"/>
      <c r="AH61" s="519"/>
      <c r="AI61" s="519"/>
      <c r="AJ61" s="519"/>
      <c r="AK61" s="519"/>
      <c r="AL61" s="519"/>
      <c r="AM61" s="519"/>
      <c r="AN61" s="519"/>
      <c r="AO61" s="519"/>
      <c r="AP61" s="519"/>
      <c r="AQ61" s="519"/>
      <c r="AR61" s="519"/>
      <c r="AS61" s="519"/>
      <c r="AT61" s="519"/>
      <c r="AU61" s="519"/>
      <c r="AV61" s="519"/>
      <c r="AW61" s="519"/>
      <c r="AX61" s="519"/>
      <c r="AY61" s="519"/>
      <c r="AZ61" s="519"/>
      <c r="BA61" s="519"/>
      <c r="BB61" s="519"/>
      <c r="BC61" s="519"/>
      <c r="BD61" s="519"/>
      <c r="BE61" s="519"/>
      <c r="BF61" s="519"/>
      <c r="BG61" s="519"/>
      <c r="BH61" s="519"/>
      <c r="BI61" s="519"/>
      <c r="BJ61" s="519"/>
      <c r="BK61" s="519"/>
      <c r="BL61" s="519"/>
      <c r="BM61" s="519"/>
      <c r="BN61" s="519"/>
      <c r="BO61" s="519"/>
      <c r="BP61" s="519"/>
      <c r="BQ61" s="519"/>
      <c r="BR61" s="519"/>
      <c r="BS61" s="519"/>
      <c r="BT61" s="519"/>
      <c r="BU61" s="519"/>
      <c r="BV61" s="519"/>
      <c r="BW61" s="519"/>
      <c r="BX61" s="519"/>
      <c r="BY61" s="519"/>
      <c r="BZ61" s="519"/>
      <c r="CA61" s="519"/>
      <c r="CB61" s="519"/>
      <c r="CC61" s="519"/>
      <c r="CD61" s="519"/>
      <c r="CE61" s="519"/>
      <c r="CF61" s="519"/>
      <c r="CG61" s="519"/>
      <c r="CH61" s="519"/>
      <c r="CI61" s="519"/>
      <c r="CJ61" s="519"/>
      <c r="CK61" s="519"/>
      <c r="CL61" s="519"/>
      <c r="CM61" s="519"/>
      <c r="CN61" s="519"/>
      <c r="CO61" s="519"/>
      <c r="CP61" s="519"/>
      <c r="CQ61" s="519"/>
      <c r="CR61" s="519"/>
      <c r="CS61" s="519"/>
      <c r="CT61" s="519"/>
      <c r="CU61" s="519"/>
      <c r="CV61" s="519"/>
      <c r="CW61" s="519"/>
    </row>
    <row r="62" spans="5:101" s="536" customFormat="1" ht="15.75">
      <c r="E62" s="556" t="e">
        <v>#N/A</v>
      </c>
      <c r="F62" s="546" t="s">
        <v>1531</v>
      </c>
      <c r="G62" s="541">
        <v>882206.74445319339</v>
      </c>
      <c r="H62" s="541">
        <v>28427.878771929831</v>
      </c>
      <c r="I62" s="541">
        <v>0</v>
      </c>
      <c r="J62" s="541"/>
      <c r="K62" s="541">
        <v>-606.8633824561457</v>
      </c>
      <c r="L62" s="541">
        <v>-1611.3427876587982</v>
      </c>
      <c r="M62" s="541">
        <f t="shared" si="0"/>
        <v>26210</v>
      </c>
      <c r="N62" s="541">
        <f t="shared" si="1"/>
        <v>908416.74445319339</v>
      </c>
      <c r="O62" s="542">
        <f t="shared" si="2"/>
        <v>908417</v>
      </c>
      <c r="P62" s="519"/>
      <c r="Q62" s="519"/>
      <c r="R62" s="519"/>
      <c r="S62" s="519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  <c r="AE62" s="519"/>
      <c r="AF62" s="519"/>
      <c r="AG62" s="519"/>
      <c r="AH62" s="519"/>
      <c r="AI62" s="519"/>
      <c r="AJ62" s="519"/>
      <c r="AK62" s="519"/>
      <c r="AL62" s="519"/>
      <c r="AM62" s="519"/>
      <c r="AN62" s="519"/>
      <c r="AO62" s="519"/>
      <c r="AP62" s="519"/>
      <c r="AQ62" s="519"/>
      <c r="AR62" s="519"/>
      <c r="AS62" s="519"/>
      <c r="AT62" s="519"/>
      <c r="AU62" s="519"/>
      <c r="AV62" s="519"/>
      <c r="AW62" s="519"/>
      <c r="AX62" s="519"/>
      <c r="AY62" s="519"/>
      <c r="AZ62" s="519"/>
      <c r="BA62" s="519"/>
      <c r="BB62" s="519"/>
      <c r="BC62" s="519"/>
      <c r="BD62" s="519"/>
      <c r="BE62" s="519"/>
      <c r="BF62" s="519"/>
      <c r="BG62" s="519"/>
      <c r="BH62" s="519"/>
      <c r="BI62" s="519"/>
      <c r="BJ62" s="519"/>
      <c r="BK62" s="519"/>
      <c r="BL62" s="519"/>
      <c r="BM62" s="519"/>
      <c r="BN62" s="519"/>
      <c r="BO62" s="519"/>
      <c r="BP62" s="519"/>
      <c r="BQ62" s="519"/>
      <c r="BR62" s="519"/>
      <c r="BS62" s="519"/>
      <c r="BT62" s="519"/>
      <c r="BU62" s="519"/>
      <c r="BV62" s="519"/>
      <c r="BW62" s="519"/>
      <c r="BX62" s="519"/>
      <c r="BY62" s="519"/>
      <c r="BZ62" s="519"/>
      <c r="CA62" s="519"/>
      <c r="CB62" s="519"/>
      <c r="CC62" s="519"/>
      <c r="CD62" s="519"/>
      <c r="CE62" s="519"/>
      <c r="CF62" s="519"/>
      <c r="CG62" s="519"/>
      <c r="CH62" s="519"/>
      <c r="CI62" s="519"/>
      <c r="CJ62" s="519"/>
      <c r="CK62" s="519"/>
      <c r="CL62" s="519"/>
      <c r="CM62" s="519"/>
      <c r="CN62" s="519"/>
      <c r="CO62" s="519"/>
      <c r="CP62" s="519"/>
      <c r="CQ62" s="519"/>
      <c r="CR62" s="519"/>
      <c r="CS62" s="519"/>
      <c r="CT62" s="519"/>
      <c r="CU62" s="519"/>
      <c r="CV62" s="519"/>
      <c r="CW62" s="519"/>
    </row>
    <row r="63" spans="5:101" s="536" customFormat="1" ht="15.75">
      <c r="E63" s="556">
        <v>2036</v>
      </c>
      <c r="F63" s="536" t="s">
        <v>74</v>
      </c>
      <c r="G63" s="541">
        <v>2109408.5716582942</v>
      </c>
      <c r="H63" s="541">
        <v>18105.058854031628</v>
      </c>
      <c r="I63" s="541">
        <v>-13591.499999999998</v>
      </c>
      <c r="J63" s="541"/>
      <c r="K63" s="541">
        <v>-67165.055111917667</v>
      </c>
      <c r="L63" s="541">
        <v>71406.213346296747</v>
      </c>
      <c r="M63" s="541">
        <f t="shared" si="0"/>
        <v>8755</v>
      </c>
      <c r="N63" s="541">
        <f t="shared" si="1"/>
        <v>2118163.5716582942</v>
      </c>
      <c r="O63" s="542">
        <f t="shared" si="2"/>
        <v>2118164</v>
      </c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9"/>
      <c r="AC63" s="519"/>
      <c r="AD63" s="519"/>
      <c r="AE63" s="519"/>
      <c r="AF63" s="519"/>
      <c r="AG63" s="519"/>
      <c r="AH63" s="519"/>
      <c r="AI63" s="519"/>
      <c r="AJ63" s="519"/>
      <c r="AK63" s="519"/>
      <c r="AL63" s="519"/>
      <c r="AM63" s="519"/>
      <c r="AN63" s="519"/>
      <c r="AO63" s="519"/>
      <c r="AP63" s="519"/>
      <c r="AQ63" s="519"/>
      <c r="AR63" s="519"/>
      <c r="AS63" s="519"/>
      <c r="AT63" s="519"/>
      <c r="AU63" s="519"/>
      <c r="AV63" s="519"/>
      <c r="AW63" s="519"/>
      <c r="AX63" s="519"/>
      <c r="AY63" s="519"/>
      <c r="AZ63" s="519"/>
      <c r="BA63" s="519"/>
      <c r="BB63" s="519"/>
      <c r="BC63" s="519"/>
      <c r="BD63" s="519"/>
      <c r="BE63" s="519"/>
      <c r="BF63" s="519"/>
      <c r="BG63" s="519"/>
      <c r="BH63" s="519"/>
      <c r="BI63" s="519"/>
      <c r="BJ63" s="519"/>
      <c r="BK63" s="519"/>
      <c r="BL63" s="519"/>
      <c r="BM63" s="519"/>
      <c r="BN63" s="519"/>
      <c r="BO63" s="519"/>
      <c r="BP63" s="519"/>
      <c r="BQ63" s="519"/>
      <c r="BR63" s="519"/>
      <c r="BS63" s="519"/>
      <c r="BT63" s="519"/>
      <c r="BU63" s="519"/>
      <c r="BV63" s="519"/>
      <c r="BW63" s="519"/>
      <c r="BX63" s="519"/>
      <c r="BY63" s="519"/>
      <c r="BZ63" s="519"/>
      <c r="CA63" s="519"/>
      <c r="CB63" s="519"/>
      <c r="CC63" s="519"/>
      <c r="CD63" s="519"/>
      <c r="CE63" s="519"/>
      <c r="CF63" s="519"/>
      <c r="CG63" s="519"/>
      <c r="CH63" s="519"/>
      <c r="CI63" s="519"/>
      <c r="CJ63" s="519"/>
      <c r="CK63" s="519"/>
      <c r="CL63" s="519"/>
      <c r="CM63" s="519"/>
      <c r="CN63" s="519"/>
      <c r="CO63" s="519"/>
      <c r="CP63" s="519"/>
      <c r="CQ63" s="519"/>
      <c r="CR63" s="519"/>
      <c r="CS63" s="519"/>
      <c r="CT63" s="519"/>
      <c r="CU63" s="519"/>
      <c r="CV63" s="519"/>
      <c r="CW63" s="519"/>
    </row>
    <row r="64" spans="5:101" s="536" customFormat="1" ht="15.75">
      <c r="E64" s="556">
        <v>2037</v>
      </c>
      <c r="F64" s="550" t="s">
        <v>75</v>
      </c>
      <c r="G64" s="541">
        <v>1502367.2606773751</v>
      </c>
      <c r="H64" s="541">
        <v>79137.50733819844</v>
      </c>
      <c r="I64" s="541">
        <v>815.89958158994023</v>
      </c>
      <c r="J64" s="541"/>
      <c r="K64" s="541">
        <v>-8331.8046646026742</v>
      </c>
      <c r="L64" s="541">
        <v>2833.3014285714253</v>
      </c>
      <c r="M64" s="541">
        <f t="shared" si="0"/>
        <v>74455</v>
      </c>
      <c r="N64" s="541">
        <f t="shared" si="1"/>
        <v>1576822.2606773751</v>
      </c>
      <c r="O64" s="542">
        <f t="shared" si="2"/>
        <v>1576822</v>
      </c>
      <c r="P64" s="519"/>
      <c r="Q64" s="519"/>
      <c r="R64" s="519"/>
      <c r="S64" s="519"/>
      <c r="T64" s="519"/>
      <c r="U64" s="519"/>
      <c r="V64" s="519"/>
      <c r="W64" s="519"/>
      <c r="X64" s="519"/>
      <c r="Y64" s="519"/>
      <c r="Z64" s="519"/>
      <c r="AA64" s="519"/>
      <c r="AB64" s="519"/>
      <c r="AC64" s="519"/>
      <c r="AD64" s="519"/>
      <c r="AE64" s="519"/>
      <c r="AF64" s="519"/>
      <c r="AG64" s="519"/>
      <c r="AH64" s="519"/>
      <c r="AI64" s="519"/>
      <c r="AJ64" s="519"/>
      <c r="AK64" s="519"/>
      <c r="AL64" s="519"/>
      <c r="AM64" s="519"/>
      <c r="AN64" s="519"/>
      <c r="AO64" s="519"/>
      <c r="AP64" s="519"/>
      <c r="AQ64" s="519"/>
      <c r="AR64" s="519"/>
      <c r="AS64" s="519"/>
      <c r="AT64" s="519"/>
      <c r="AU64" s="519"/>
      <c r="AV64" s="519"/>
      <c r="AW64" s="519"/>
      <c r="AX64" s="519"/>
      <c r="AY64" s="519"/>
      <c r="AZ64" s="519"/>
      <c r="BA64" s="519"/>
      <c r="BB64" s="519"/>
      <c r="BC64" s="519"/>
      <c r="BD64" s="519"/>
      <c r="BE64" s="519"/>
      <c r="BF64" s="519"/>
      <c r="BG64" s="519"/>
      <c r="BH64" s="519"/>
      <c r="BI64" s="519"/>
      <c r="BJ64" s="519"/>
      <c r="BK64" s="519"/>
      <c r="BL64" s="519"/>
      <c r="BM64" s="519"/>
      <c r="BN64" s="519"/>
      <c r="BO64" s="519"/>
      <c r="BP64" s="519"/>
      <c r="BQ64" s="519"/>
      <c r="BR64" s="519"/>
      <c r="BS64" s="519"/>
      <c r="BT64" s="519"/>
      <c r="BU64" s="519"/>
      <c r="BV64" s="519"/>
      <c r="BW64" s="519"/>
      <c r="BX64" s="519"/>
      <c r="BY64" s="519"/>
      <c r="BZ64" s="519"/>
      <c r="CA64" s="519"/>
      <c r="CB64" s="519"/>
      <c r="CC64" s="519"/>
      <c r="CD64" s="519"/>
      <c r="CE64" s="519"/>
      <c r="CF64" s="519"/>
      <c r="CG64" s="519"/>
      <c r="CH64" s="519"/>
      <c r="CI64" s="519"/>
      <c r="CJ64" s="519"/>
      <c r="CK64" s="519"/>
      <c r="CL64" s="519"/>
      <c r="CM64" s="519"/>
      <c r="CN64" s="519"/>
      <c r="CO64" s="519"/>
      <c r="CP64" s="519"/>
      <c r="CQ64" s="519"/>
      <c r="CR64" s="519"/>
      <c r="CS64" s="519"/>
      <c r="CT64" s="519"/>
      <c r="CU64" s="519"/>
      <c r="CV64" s="519"/>
      <c r="CW64" s="519"/>
    </row>
    <row r="65" spans="5:101" s="536" customFormat="1" ht="15.75">
      <c r="E65" s="556">
        <v>3523</v>
      </c>
      <c r="F65" s="547" t="s">
        <v>269</v>
      </c>
      <c r="G65" s="541">
        <v>2810504.1458868058</v>
      </c>
      <c r="H65" s="541">
        <v>102923.75966800563</v>
      </c>
      <c r="I65" s="541">
        <v>-39076.470588235228</v>
      </c>
      <c r="J65" s="541"/>
      <c r="K65" s="541">
        <v>-393.63233838018732</v>
      </c>
      <c r="L65" s="541">
        <v>2071.1941566244213</v>
      </c>
      <c r="M65" s="541">
        <f t="shared" si="0"/>
        <v>65525</v>
      </c>
      <c r="N65" s="541">
        <f t="shared" si="1"/>
        <v>2876029.1458868058</v>
      </c>
      <c r="O65" s="542">
        <f t="shared" si="2"/>
        <v>2876029</v>
      </c>
      <c r="P65" s="519"/>
      <c r="Q65" s="519"/>
      <c r="R65" s="519"/>
      <c r="S65" s="519"/>
      <c r="T65" s="519"/>
      <c r="U65" s="519"/>
      <c r="V65" s="519"/>
      <c r="W65" s="519"/>
      <c r="X65" s="519"/>
      <c r="Y65" s="519"/>
      <c r="Z65" s="519"/>
      <c r="AA65" s="519"/>
      <c r="AB65" s="519"/>
      <c r="AC65" s="519"/>
      <c r="AD65" s="519"/>
      <c r="AE65" s="519"/>
      <c r="AF65" s="519"/>
      <c r="AG65" s="519"/>
      <c r="AH65" s="519"/>
      <c r="AI65" s="519"/>
      <c r="AJ65" s="519"/>
      <c r="AK65" s="519"/>
      <c r="AL65" s="519"/>
      <c r="AM65" s="519"/>
      <c r="AN65" s="519"/>
      <c r="AO65" s="519"/>
      <c r="AP65" s="519"/>
      <c r="AQ65" s="519"/>
      <c r="AR65" s="519"/>
      <c r="AS65" s="519"/>
      <c r="AT65" s="519"/>
      <c r="AU65" s="519"/>
      <c r="AV65" s="519"/>
      <c r="AW65" s="519"/>
      <c r="AX65" s="519"/>
      <c r="AY65" s="519"/>
      <c r="AZ65" s="519"/>
      <c r="BA65" s="519"/>
      <c r="BB65" s="519"/>
      <c r="BC65" s="519"/>
      <c r="BD65" s="519"/>
      <c r="BE65" s="519"/>
      <c r="BF65" s="519"/>
      <c r="BG65" s="519"/>
      <c r="BH65" s="519"/>
      <c r="BI65" s="519"/>
      <c r="BJ65" s="519"/>
      <c r="BK65" s="519"/>
      <c r="BL65" s="519"/>
      <c r="BM65" s="519"/>
      <c r="BN65" s="519"/>
      <c r="BO65" s="519"/>
      <c r="BP65" s="519"/>
      <c r="BQ65" s="519"/>
      <c r="BR65" s="519"/>
      <c r="BS65" s="519"/>
      <c r="BT65" s="519"/>
      <c r="BU65" s="519"/>
      <c r="BV65" s="519"/>
      <c r="BW65" s="519"/>
      <c r="BX65" s="519"/>
      <c r="BY65" s="519"/>
      <c r="BZ65" s="519"/>
      <c r="CA65" s="519"/>
      <c r="CB65" s="519"/>
      <c r="CC65" s="519"/>
      <c r="CD65" s="519"/>
      <c r="CE65" s="519"/>
      <c r="CF65" s="519"/>
      <c r="CG65" s="519"/>
      <c r="CH65" s="519"/>
      <c r="CI65" s="519"/>
      <c r="CJ65" s="519"/>
      <c r="CK65" s="519"/>
      <c r="CL65" s="519"/>
      <c r="CM65" s="519"/>
      <c r="CN65" s="519"/>
      <c r="CO65" s="519"/>
      <c r="CP65" s="519"/>
      <c r="CQ65" s="519"/>
      <c r="CR65" s="519"/>
      <c r="CS65" s="519"/>
      <c r="CT65" s="519"/>
      <c r="CU65" s="519"/>
      <c r="CV65" s="519"/>
      <c r="CW65" s="519"/>
    </row>
    <row r="66" spans="5:101" s="536" customFormat="1" ht="15.75">
      <c r="E66" s="556">
        <v>5948</v>
      </c>
      <c r="F66" s="549" t="s">
        <v>77</v>
      </c>
      <c r="G66" s="541">
        <v>961419.10126209154</v>
      </c>
      <c r="H66" s="541">
        <v>44858.666666666672</v>
      </c>
      <c r="I66" s="541">
        <v>3200</v>
      </c>
      <c r="J66" s="541"/>
      <c r="K66" s="541">
        <v>6512.5531713900082</v>
      </c>
      <c r="L66" s="541">
        <v>-3178</v>
      </c>
      <c r="M66" s="541">
        <f t="shared" si="0"/>
        <v>51393</v>
      </c>
      <c r="N66" s="541">
        <f t="shared" si="1"/>
        <v>1012812.1012620915</v>
      </c>
      <c r="O66" s="542">
        <f t="shared" si="2"/>
        <v>1012812</v>
      </c>
      <c r="P66" s="519"/>
      <c r="Q66" s="519"/>
      <c r="R66" s="519"/>
      <c r="S66" s="519"/>
      <c r="T66" s="519"/>
      <c r="U66" s="519"/>
      <c r="V66" s="519"/>
      <c r="W66" s="519"/>
      <c r="X66" s="519"/>
      <c r="Y66" s="519"/>
      <c r="Z66" s="519"/>
      <c r="AA66" s="519"/>
      <c r="AB66" s="519"/>
      <c r="AC66" s="519"/>
      <c r="AD66" s="519"/>
      <c r="AE66" s="519"/>
      <c r="AF66" s="519"/>
      <c r="AG66" s="519"/>
      <c r="AH66" s="519"/>
      <c r="AI66" s="519"/>
      <c r="AJ66" s="519"/>
      <c r="AK66" s="519"/>
      <c r="AL66" s="519"/>
      <c r="AM66" s="519"/>
      <c r="AN66" s="519"/>
      <c r="AO66" s="519"/>
      <c r="AP66" s="519"/>
      <c r="AQ66" s="519"/>
      <c r="AR66" s="519"/>
      <c r="AS66" s="519"/>
      <c r="AT66" s="519"/>
      <c r="AU66" s="519"/>
      <c r="AV66" s="519"/>
      <c r="AW66" s="519"/>
      <c r="AX66" s="519"/>
      <c r="AY66" s="519"/>
      <c r="AZ66" s="519"/>
      <c r="BA66" s="519"/>
      <c r="BB66" s="519"/>
      <c r="BC66" s="519"/>
      <c r="BD66" s="519"/>
      <c r="BE66" s="519"/>
      <c r="BF66" s="519"/>
      <c r="BG66" s="519"/>
      <c r="BH66" s="519"/>
      <c r="BI66" s="519"/>
      <c r="BJ66" s="519"/>
      <c r="BK66" s="519"/>
      <c r="BL66" s="519"/>
      <c r="BM66" s="519"/>
      <c r="BN66" s="519"/>
      <c r="BO66" s="519"/>
      <c r="BP66" s="519"/>
      <c r="BQ66" s="519"/>
      <c r="BR66" s="519"/>
      <c r="BS66" s="519"/>
      <c r="BT66" s="519"/>
      <c r="BU66" s="519"/>
      <c r="BV66" s="519"/>
      <c r="BW66" s="519"/>
      <c r="BX66" s="519"/>
      <c r="BY66" s="519"/>
      <c r="BZ66" s="519"/>
      <c r="CA66" s="519"/>
      <c r="CB66" s="519"/>
      <c r="CC66" s="519"/>
      <c r="CD66" s="519"/>
      <c r="CE66" s="519"/>
      <c r="CF66" s="519"/>
      <c r="CG66" s="519"/>
      <c r="CH66" s="519"/>
      <c r="CI66" s="519"/>
      <c r="CJ66" s="519"/>
      <c r="CK66" s="519"/>
      <c r="CL66" s="519"/>
      <c r="CM66" s="519"/>
      <c r="CN66" s="519"/>
      <c r="CO66" s="519"/>
      <c r="CP66" s="519"/>
      <c r="CQ66" s="519"/>
      <c r="CR66" s="519"/>
      <c r="CS66" s="519"/>
      <c r="CT66" s="519"/>
      <c r="CU66" s="519"/>
      <c r="CV66" s="519"/>
      <c r="CW66" s="519"/>
    </row>
    <row r="67" spans="5:101" s="536" customFormat="1" ht="15.75">
      <c r="E67" s="556">
        <v>5949</v>
      </c>
      <c r="F67" s="536" t="s">
        <v>78</v>
      </c>
      <c r="G67" s="541">
        <v>1162893.7934394982</v>
      </c>
      <c r="H67" s="541">
        <v>43526.797869674185</v>
      </c>
      <c r="I67" s="541">
        <v>10740.70796460177</v>
      </c>
      <c r="J67" s="541">
        <v>48000</v>
      </c>
      <c r="K67" s="541">
        <v>-8221.879686716793</v>
      </c>
      <c r="L67" s="541">
        <v>-4016.4248120300745</v>
      </c>
      <c r="M67" s="541">
        <f t="shared" si="0"/>
        <v>90029</v>
      </c>
      <c r="N67" s="541">
        <f t="shared" si="1"/>
        <v>1252922.7934394982</v>
      </c>
      <c r="O67" s="542">
        <f t="shared" si="2"/>
        <v>1252923</v>
      </c>
      <c r="P67" s="519"/>
      <c r="Q67" s="519"/>
      <c r="R67" s="519"/>
      <c r="S67" s="519"/>
      <c r="T67" s="519"/>
      <c r="U67" s="519"/>
      <c r="V67" s="519"/>
      <c r="W67" s="519"/>
      <c r="X67" s="519"/>
      <c r="Y67" s="519"/>
      <c r="Z67" s="519"/>
      <c r="AA67" s="519"/>
      <c r="AB67" s="519"/>
      <c r="AC67" s="519"/>
      <c r="AD67" s="519"/>
      <c r="AE67" s="519"/>
      <c r="AF67" s="519"/>
      <c r="AG67" s="519"/>
      <c r="AH67" s="519"/>
      <c r="AI67" s="519"/>
      <c r="AJ67" s="519"/>
      <c r="AK67" s="519"/>
      <c r="AL67" s="519"/>
      <c r="AM67" s="519"/>
      <c r="AN67" s="519"/>
      <c r="AO67" s="519"/>
      <c r="AP67" s="519"/>
      <c r="AQ67" s="519"/>
      <c r="AR67" s="519"/>
      <c r="AS67" s="519"/>
      <c r="AT67" s="519"/>
      <c r="AU67" s="519"/>
      <c r="AV67" s="519"/>
      <c r="AW67" s="519"/>
      <c r="AX67" s="519"/>
      <c r="AY67" s="519"/>
      <c r="AZ67" s="519"/>
      <c r="BA67" s="519"/>
      <c r="BB67" s="519"/>
      <c r="BC67" s="519"/>
      <c r="BD67" s="519"/>
      <c r="BE67" s="519"/>
      <c r="BF67" s="519"/>
      <c r="BG67" s="519"/>
      <c r="BH67" s="519"/>
      <c r="BI67" s="519"/>
      <c r="BJ67" s="519"/>
      <c r="BK67" s="519"/>
      <c r="BL67" s="519"/>
      <c r="BM67" s="519"/>
      <c r="BN67" s="519"/>
      <c r="BO67" s="519"/>
      <c r="BP67" s="519"/>
      <c r="BQ67" s="519"/>
      <c r="BR67" s="519"/>
      <c r="BS67" s="519"/>
      <c r="BT67" s="519"/>
      <c r="BU67" s="519"/>
      <c r="BV67" s="519"/>
      <c r="BW67" s="519"/>
      <c r="BX67" s="519"/>
      <c r="BY67" s="519"/>
      <c r="BZ67" s="519"/>
      <c r="CA67" s="519"/>
      <c r="CB67" s="519"/>
      <c r="CC67" s="519"/>
      <c r="CD67" s="519"/>
      <c r="CE67" s="519"/>
      <c r="CF67" s="519"/>
      <c r="CG67" s="519"/>
      <c r="CH67" s="519"/>
      <c r="CI67" s="519"/>
      <c r="CJ67" s="519"/>
      <c r="CK67" s="519"/>
      <c r="CL67" s="519"/>
      <c r="CM67" s="519"/>
      <c r="CN67" s="519"/>
      <c r="CO67" s="519"/>
      <c r="CP67" s="519"/>
      <c r="CQ67" s="519"/>
      <c r="CR67" s="519"/>
      <c r="CS67" s="519"/>
      <c r="CT67" s="519"/>
      <c r="CU67" s="519"/>
      <c r="CV67" s="519"/>
      <c r="CW67" s="519"/>
    </row>
    <row r="68" spans="5:101" s="536" customFormat="1" ht="15.75">
      <c r="E68" s="556">
        <v>3513</v>
      </c>
      <c r="F68" s="536" t="s">
        <v>79</v>
      </c>
      <c r="G68" s="541">
        <v>1752116.4348873477</v>
      </c>
      <c r="H68" s="541">
        <v>34787.680701754383</v>
      </c>
      <c r="I68" s="541">
        <v>2218.0412371134057</v>
      </c>
      <c r="J68" s="541"/>
      <c r="K68" s="541">
        <v>680.75333333333219</v>
      </c>
      <c r="L68" s="541">
        <v>3917.3003508771931</v>
      </c>
      <c r="M68" s="541">
        <f t="shared" si="0"/>
        <v>41604</v>
      </c>
      <c r="N68" s="541">
        <f t="shared" si="1"/>
        <v>1793720.4348873477</v>
      </c>
      <c r="O68" s="542">
        <f t="shared" si="2"/>
        <v>1793720</v>
      </c>
      <c r="P68" s="519"/>
      <c r="Q68" s="519"/>
      <c r="R68" s="519"/>
      <c r="S68" s="519"/>
      <c r="T68" s="519"/>
      <c r="U68" s="519"/>
      <c r="V68" s="519"/>
      <c r="W68" s="519"/>
      <c r="X68" s="519"/>
      <c r="Y68" s="519"/>
      <c r="Z68" s="519"/>
      <c r="AA68" s="519"/>
      <c r="AB68" s="519"/>
      <c r="AC68" s="519"/>
      <c r="AD68" s="519"/>
      <c r="AE68" s="519"/>
      <c r="AF68" s="519"/>
      <c r="AG68" s="519"/>
      <c r="AH68" s="519"/>
      <c r="AI68" s="519"/>
      <c r="AJ68" s="519"/>
      <c r="AK68" s="519"/>
      <c r="AL68" s="519"/>
      <c r="AM68" s="519"/>
      <c r="AN68" s="519"/>
      <c r="AO68" s="519"/>
      <c r="AP68" s="519"/>
      <c r="AQ68" s="519"/>
      <c r="AR68" s="519"/>
      <c r="AS68" s="519"/>
      <c r="AT68" s="519"/>
      <c r="AU68" s="519"/>
      <c r="AV68" s="519"/>
      <c r="AW68" s="519"/>
      <c r="AX68" s="519"/>
      <c r="AY68" s="519"/>
      <c r="AZ68" s="519"/>
      <c r="BA68" s="519"/>
      <c r="BB68" s="519"/>
      <c r="BC68" s="519"/>
      <c r="BD68" s="519"/>
      <c r="BE68" s="519"/>
      <c r="BF68" s="519"/>
      <c r="BG68" s="519"/>
      <c r="BH68" s="519"/>
      <c r="BI68" s="519"/>
      <c r="BJ68" s="519"/>
      <c r="BK68" s="519"/>
      <c r="BL68" s="519"/>
      <c r="BM68" s="519"/>
      <c r="BN68" s="519"/>
      <c r="BO68" s="519"/>
      <c r="BP68" s="519"/>
      <c r="BQ68" s="519"/>
      <c r="BR68" s="519"/>
      <c r="BS68" s="519"/>
      <c r="BT68" s="519"/>
      <c r="BU68" s="519"/>
      <c r="BV68" s="519"/>
      <c r="BW68" s="519"/>
      <c r="BX68" s="519"/>
      <c r="BY68" s="519"/>
      <c r="BZ68" s="519"/>
      <c r="CA68" s="519"/>
      <c r="CB68" s="519"/>
      <c r="CC68" s="519"/>
      <c r="CD68" s="519"/>
      <c r="CE68" s="519"/>
      <c r="CF68" s="519"/>
      <c r="CG68" s="519"/>
      <c r="CH68" s="519"/>
      <c r="CI68" s="519"/>
      <c r="CJ68" s="519"/>
      <c r="CK68" s="519"/>
      <c r="CL68" s="519"/>
      <c r="CM68" s="519"/>
      <c r="CN68" s="519"/>
      <c r="CO68" s="519"/>
      <c r="CP68" s="519"/>
      <c r="CQ68" s="519"/>
      <c r="CR68" s="519"/>
      <c r="CS68" s="519"/>
      <c r="CT68" s="519"/>
      <c r="CU68" s="519"/>
      <c r="CV68" s="519"/>
      <c r="CW68" s="519"/>
    </row>
    <row r="69" spans="5:101" s="536" customFormat="1" ht="15.75">
      <c r="E69" s="556" t="e">
        <v>#N/A</v>
      </c>
      <c r="F69" s="546" t="s">
        <v>1569</v>
      </c>
      <c r="G69" s="541">
        <v>421102.97356537846</v>
      </c>
      <c r="H69" s="541"/>
      <c r="I69" s="541"/>
      <c r="J69" s="541"/>
      <c r="K69" s="541">
        <v>0</v>
      </c>
      <c r="L69" s="541">
        <v>0</v>
      </c>
      <c r="M69" s="541">
        <f t="shared" si="0"/>
        <v>0</v>
      </c>
      <c r="N69" s="541">
        <f t="shared" si="1"/>
        <v>421102.97356537846</v>
      </c>
      <c r="O69" s="542">
        <f t="shared" si="2"/>
        <v>421103</v>
      </c>
      <c r="P69" s="519"/>
      <c r="Q69" s="519"/>
      <c r="R69" s="519"/>
      <c r="S69" s="519"/>
      <c r="T69" s="519"/>
      <c r="U69" s="519"/>
      <c r="V69" s="519"/>
      <c r="W69" s="519"/>
      <c r="X69" s="519"/>
      <c r="Y69" s="519"/>
      <c r="Z69" s="519"/>
      <c r="AA69" s="519"/>
      <c r="AB69" s="519"/>
      <c r="AC69" s="519"/>
      <c r="AD69" s="519"/>
      <c r="AE69" s="519"/>
      <c r="AF69" s="519"/>
      <c r="AG69" s="519"/>
      <c r="AH69" s="519"/>
      <c r="AI69" s="519"/>
      <c r="AJ69" s="519"/>
      <c r="AK69" s="519"/>
      <c r="AL69" s="519"/>
      <c r="AM69" s="519"/>
      <c r="AN69" s="519"/>
      <c r="AO69" s="519"/>
      <c r="AP69" s="519"/>
      <c r="AQ69" s="519"/>
      <c r="AR69" s="519"/>
      <c r="AS69" s="519"/>
      <c r="AT69" s="519"/>
      <c r="AU69" s="519"/>
      <c r="AV69" s="519"/>
      <c r="AW69" s="519"/>
      <c r="AX69" s="519"/>
      <c r="AY69" s="519"/>
      <c r="AZ69" s="519"/>
      <c r="BA69" s="519"/>
      <c r="BB69" s="519"/>
      <c r="BC69" s="519"/>
      <c r="BD69" s="519"/>
      <c r="BE69" s="519"/>
      <c r="BF69" s="519"/>
      <c r="BG69" s="519"/>
      <c r="BH69" s="519"/>
      <c r="BI69" s="519"/>
      <c r="BJ69" s="519"/>
      <c r="BK69" s="519"/>
      <c r="BL69" s="519"/>
      <c r="BM69" s="519"/>
      <c r="BN69" s="519"/>
      <c r="BO69" s="519"/>
      <c r="BP69" s="519"/>
      <c r="BQ69" s="519"/>
      <c r="BR69" s="519"/>
      <c r="BS69" s="519"/>
      <c r="BT69" s="519"/>
      <c r="BU69" s="519"/>
      <c r="BV69" s="519"/>
      <c r="BW69" s="519"/>
      <c r="BX69" s="519"/>
      <c r="BY69" s="519"/>
      <c r="BZ69" s="519"/>
      <c r="CA69" s="519"/>
      <c r="CB69" s="519"/>
      <c r="CC69" s="519"/>
      <c r="CD69" s="519"/>
      <c r="CE69" s="519"/>
      <c r="CF69" s="519"/>
      <c r="CG69" s="519"/>
      <c r="CH69" s="519"/>
      <c r="CI69" s="519"/>
      <c r="CJ69" s="519"/>
      <c r="CK69" s="519"/>
      <c r="CL69" s="519"/>
      <c r="CM69" s="519"/>
      <c r="CN69" s="519"/>
      <c r="CO69" s="519"/>
      <c r="CP69" s="519"/>
      <c r="CQ69" s="519"/>
      <c r="CR69" s="519"/>
      <c r="CS69" s="519"/>
      <c r="CT69" s="519"/>
      <c r="CU69" s="519"/>
      <c r="CV69" s="519"/>
      <c r="CW69" s="519"/>
    </row>
    <row r="70" spans="5:101" s="536" customFormat="1" ht="15.75">
      <c r="E70" s="556">
        <v>3305</v>
      </c>
      <c r="F70" s="547" t="s">
        <v>80</v>
      </c>
      <c r="G70" s="541">
        <v>632178.89999392012</v>
      </c>
      <c r="H70" s="541">
        <v>9789.2500000000036</v>
      </c>
      <c r="I70" s="541">
        <v>2860.0000000000005</v>
      </c>
      <c r="J70" s="541"/>
      <c r="K70" s="541">
        <v>11319</v>
      </c>
      <c r="L70" s="541">
        <v>4646</v>
      </c>
      <c r="M70" s="541">
        <f t="shared" si="0"/>
        <v>28614</v>
      </c>
      <c r="N70" s="541">
        <f t="shared" si="1"/>
        <v>660792.89999392012</v>
      </c>
      <c r="O70" s="542">
        <f t="shared" si="2"/>
        <v>660793</v>
      </c>
      <c r="P70" s="519"/>
      <c r="Q70" s="519"/>
      <c r="R70" s="519"/>
      <c r="S70" s="519"/>
      <c r="T70" s="519"/>
      <c r="U70" s="519"/>
      <c r="V70" s="519"/>
      <c r="W70" s="519"/>
      <c r="X70" s="519"/>
      <c r="Y70" s="519"/>
      <c r="Z70" s="519"/>
      <c r="AA70" s="519"/>
      <c r="AB70" s="519"/>
      <c r="AC70" s="519"/>
      <c r="AD70" s="519"/>
      <c r="AE70" s="519"/>
      <c r="AF70" s="519"/>
      <c r="AG70" s="519"/>
      <c r="AH70" s="519"/>
      <c r="AI70" s="519"/>
      <c r="AJ70" s="519"/>
      <c r="AK70" s="519"/>
      <c r="AL70" s="519"/>
      <c r="AM70" s="519"/>
      <c r="AN70" s="519"/>
      <c r="AO70" s="519"/>
      <c r="AP70" s="519"/>
      <c r="AQ70" s="519"/>
      <c r="AR70" s="519"/>
      <c r="AS70" s="519"/>
      <c r="AT70" s="519"/>
      <c r="AU70" s="519"/>
      <c r="AV70" s="519"/>
      <c r="AW70" s="519"/>
      <c r="AX70" s="519"/>
      <c r="AY70" s="519"/>
      <c r="AZ70" s="519"/>
      <c r="BA70" s="519"/>
      <c r="BB70" s="519"/>
      <c r="BC70" s="519"/>
      <c r="BD70" s="519"/>
      <c r="BE70" s="519"/>
      <c r="BF70" s="519"/>
      <c r="BG70" s="519"/>
      <c r="BH70" s="519"/>
      <c r="BI70" s="519"/>
      <c r="BJ70" s="519"/>
      <c r="BK70" s="519"/>
      <c r="BL70" s="519"/>
      <c r="BM70" s="519"/>
      <c r="BN70" s="519"/>
      <c r="BO70" s="519"/>
      <c r="BP70" s="519"/>
      <c r="BQ70" s="519"/>
      <c r="BR70" s="519"/>
      <c r="BS70" s="519"/>
      <c r="BT70" s="519"/>
      <c r="BU70" s="519"/>
      <c r="BV70" s="519"/>
      <c r="BW70" s="519"/>
      <c r="BX70" s="519"/>
      <c r="BY70" s="519"/>
      <c r="BZ70" s="519"/>
      <c r="CA70" s="519"/>
      <c r="CB70" s="519"/>
      <c r="CC70" s="519"/>
      <c r="CD70" s="519"/>
      <c r="CE70" s="519"/>
      <c r="CF70" s="519"/>
      <c r="CG70" s="519"/>
      <c r="CH70" s="519"/>
      <c r="CI70" s="519"/>
      <c r="CJ70" s="519"/>
      <c r="CK70" s="519"/>
      <c r="CL70" s="519"/>
      <c r="CM70" s="519"/>
      <c r="CN70" s="519"/>
      <c r="CO70" s="519"/>
      <c r="CP70" s="519"/>
      <c r="CQ70" s="519"/>
      <c r="CR70" s="519"/>
      <c r="CS70" s="519"/>
      <c r="CT70" s="519"/>
      <c r="CU70" s="519"/>
      <c r="CV70" s="519"/>
      <c r="CW70" s="519"/>
    </row>
    <row r="71" spans="5:101" s="536" customFormat="1" ht="15.75">
      <c r="E71" s="556">
        <v>2042</v>
      </c>
      <c r="F71" s="536" t="s">
        <v>81</v>
      </c>
      <c r="G71" s="541">
        <v>1147947.4727746923</v>
      </c>
      <c r="H71" s="541">
        <v>62697.499999999985</v>
      </c>
      <c r="I71" s="541">
        <v>4321.0526315789393</v>
      </c>
      <c r="J71" s="541"/>
      <c r="K71" s="541">
        <v>9943.1666666666715</v>
      </c>
      <c r="L71" s="541">
        <v>759</v>
      </c>
      <c r="M71" s="541">
        <f t="shared" si="0"/>
        <v>77721</v>
      </c>
      <c r="N71" s="541">
        <f t="shared" si="1"/>
        <v>1225668.4727746923</v>
      </c>
      <c r="O71" s="542">
        <f t="shared" si="2"/>
        <v>1225668</v>
      </c>
      <c r="P71" s="519"/>
      <c r="Q71" s="519"/>
      <c r="R71" s="519"/>
      <c r="S71" s="519"/>
      <c r="T71" s="519"/>
      <c r="U71" s="519"/>
      <c r="V71" s="519"/>
      <c r="W71" s="519"/>
      <c r="X71" s="519"/>
      <c r="Y71" s="519"/>
      <c r="Z71" s="519"/>
      <c r="AA71" s="519"/>
      <c r="AB71" s="519"/>
      <c r="AC71" s="519"/>
      <c r="AD71" s="519"/>
      <c r="AE71" s="519"/>
      <c r="AF71" s="519"/>
      <c r="AG71" s="519"/>
      <c r="AH71" s="519"/>
      <c r="AI71" s="519"/>
      <c r="AJ71" s="519"/>
      <c r="AK71" s="519"/>
      <c r="AL71" s="519"/>
      <c r="AM71" s="519"/>
      <c r="AN71" s="519"/>
      <c r="AO71" s="519"/>
      <c r="AP71" s="519"/>
      <c r="AQ71" s="519"/>
      <c r="AR71" s="519"/>
      <c r="AS71" s="519"/>
      <c r="AT71" s="519"/>
      <c r="AU71" s="519"/>
      <c r="AV71" s="519"/>
      <c r="AW71" s="519"/>
      <c r="AX71" s="519"/>
      <c r="AY71" s="519"/>
      <c r="AZ71" s="519"/>
      <c r="BA71" s="519"/>
      <c r="BB71" s="519"/>
      <c r="BC71" s="519"/>
      <c r="BD71" s="519"/>
      <c r="BE71" s="519"/>
      <c r="BF71" s="519"/>
      <c r="BG71" s="519"/>
      <c r="BH71" s="519"/>
      <c r="BI71" s="519"/>
      <c r="BJ71" s="519"/>
      <c r="BK71" s="519"/>
      <c r="BL71" s="519"/>
      <c r="BM71" s="519"/>
      <c r="BN71" s="519"/>
      <c r="BO71" s="519"/>
      <c r="BP71" s="519"/>
      <c r="BQ71" s="519"/>
      <c r="BR71" s="519"/>
      <c r="BS71" s="519"/>
      <c r="BT71" s="519"/>
      <c r="BU71" s="519"/>
      <c r="BV71" s="519"/>
      <c r="BW71" s="519"/>
      <c r="BX71" s="519"/>
      <c r="BY71" s="519"/>
      <c r="BZ71" s="519"/>
      <c r="CA71" s="519"/>
      <c r="CB71" s="519"/>
      <c r="CC71" s="519"/>
      <c r="CD71" s="519"/>
      <c r="CE71" s="519"/>
      <c r="CF71" s="519"/>
      <c r="CG71" s="519"/>
      <c r="CH71" s="519"/>
      <c r="CI71" s="519"/>
      <c r="CJ71" s="519"/>
      <c r="CK71" s="519"/>
      <c r="CL71" s="519"/>
      <c r="CM71" s="519"/>
      <c r="CN71" s="519"/>
      <c r="CO71" s="519"/>
      <c r="CP71" s="519"/>
      <c r="CQ71" s="519"/>
      <c r="CR71" s="519"/>
      <c r="CS71" s="519"/>
      <c r="CT71" s="519"/>
      <c r="CU71" s="519"/>
      <c r="CV71" s="519"/>
      <c r="CW71" s="519"/>
    </row>
    <row r="72" spans="5:101" s="536" customFormat="1" ht="15.75">
      <c r="E72" s="556">
        <v>2044</v>
      </c>
      <c r="F72" s="536" t="s">
        <v>82</v>
      </c>
      <c r="G72" s="541">
        <v>1642884.8608638041</v>
      </c>
      <c r="H72" s="541">
        <v>70747.166666666657</v>
      </c>
      <c r="I72" s="541">
        <v>18380.198019801981</v>
      </c>
      <c r="J72" s="541"/>
      <c r="K72" s="541">
        <v>35541.166666666664</v>
      </c>
      <c r="L72" s="541">
        <v>9392.1666666666861</v>
      </c>
      <c r="M72" s="541">
        <f t="shared" si="0"/>
        <v>134061</v>
      </c>
      <c r="N72" s="541">
        <f t="shared" si="1"/>
        <v>1776945.8608638041</v>
      </c>
      <c r="O72" s="542">
        <f t="shared" si="2"/>
        <v>1776946</v>
      </c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9"/>
      <c r="AU72" s="519"/>
      <c r="AV72" s="519"/>
      <c r="AW72" s="519"/>
      <c r="AX72" s="519"/>
      <c r="AY72" s="519"/>
      <c r="AZ72" s="519"/>
      <c r="BA72" s="519"/>
      <c r="BB72" s="519"/>
      <c r="BC72" s="519"/>
      <c r="BD72" s="519"/>
      <c r="BE72" s="519"/>
      <c r="BF72" s="519"/>
      <c r="BG72" s="519"/>
      <c r="BH72" s="519"/>
      <c r="BI72" s="519"/>
      <c r="BJ72" s="519"/>
      <c r="BK72" s="519"/>
      <c r="BL72" s="519"/>
      <c r="BM72" s="519"/>
      <c r="BN72" s="519"/>
      <c r="BO72" s="519"/>
      <c r="BP72" s="519"/>
      <c r="BQ72" s="519"/>
      <c r="BR72" s="519"/>
      <c r="BS72" s="519"/>
      <c r="BT72" s="519"/>
      <c r="BU72" s="519"/>
      <c r="BV72" s="519"/>
      <c r="BW72" s="519"/>
      <c r="BX72" s="519"/>
      <c r="BY72" s="519"/>
      <c r="BZ72" s="519"/>
      <c r="CA72" s="519"/>
      <c r="CB72" s="519"/>
      <c r="CC72" s="519"/>
      <c r="CD72" s="519"/>
      <c r="CE72" s="519"/>
      <c r="CF72" s="519"/>
      <c r="CG72" s="519"/>
      <c r="CH72" s="519"/>
      <c r="CI72" s="519"/>
      <c r="CJ72" s="519"/>
      <c r="CK72" s="519"/>
      <c r="CL72" s="519"/>
      <c r="CM72" s="519"/>
      <c r="CN72" s="519"/>
      <c r="CO72" s="519"/>
      <c r="CP72" s="519"/>
      <c r="CQ72" s="519"/>
      <c r="CR72" s="519"/>
      <c r="CS72" s="519"/>
      <c r="CT72" s="519"/>
      <c r="CU72" s="519"/>
      <c r="CV72" s="519"/>
      <c r="CW72" s="519"/>
    </row>
    <row r="73" spans="5:101" s="536" customFormat="1" ht="15.75">
      <c r="E73" s="556">
        <v>2043</v>
      </c>
      <c r="F73" s="536" t="s">
        <v>83</v>
      </c>
      <c r="G73" s="541">
        <v>1874255.5326963102</v>
      </c>
      <c r="H73" s="541">
        <v>1303</v>
      </c>
      <c r="I73" s="541">
        <v>-12676.80412371135</v>
      </c>
      <c r="J73" s="541"/>
      <c r="K73" s="541">
        <v>13066</v>
      </c>
      <c r="L73" s="541">
        <v>4889.4761904761908</v>
      </c>
      <c r="M73" s="541">
        <f t="shared" si="0"/>
        <v>6582</v>
      </c>
      <c r="N73" s="541">
        <f t="shared" si="1"/>
        <v>1880837.5326963102</v>
      </c>
      <c r="O73" s="542">
        <f t="shared" si="2"/>
        <v>1880838</v>
      </c>
      <c r="P73" s="519"/>
      <c r="Q73" s="519"/>
      <c r="R73" s="519"/>
      <c r="S73" s="519"/>
      <c r="T73" s="519"/>
      <c r="U73" s="519"/>
      <c r="V73" s="519"/>
      <c r="W73" s="519"/>
      <c r="X73" s="519"/>
      <c r="Y73" s="519"/>
      <c r="Z73" s="519"/>
      <c r="AA73" s="519"/>
      <c r="AB73" s="519"/>
      <c r="AC73" s="519"/>
      <c r="AD73" s="519"/>
      <c r="AE73" s="519"/>
      <c r="AF73" s="519"/>
      <c r="AG73" s="519"/>
      <c r="AH73" s="519"/>
      <c r="AI73" s="519"/>
      <c r="AJ73" s="519"/>
      <c r="AK73" s="519"/>
      <c r="AL73" s="519"/>
      <c r="AM73" s="519"/>
      <c r="AN73" s="519"/>
      <c r="AO73" s="519"/>
      <c r="AP73" s="519"/>
      <c r="AQ73" s="519"/>
      <c r="AR73" s="519"/>
      <c r="AS73" s="519"/>
      <c r="AT73" s="519"/>
      <c r="AU73" s="519"/>
      <c r="AV73" s="519"/>
      <c r="AW73" s="519"/>
      <c r="AX73" s="519"/>
      <c r="AY73" s="519"/>
      <c r="AZ73" s="519"/>
      <c r="BA73" s="519"/>
      <c r="BB73" s="519"/>
      <c r="BC73" s="519"/>
      <c r="BD73" s="519"/>
      <c r="BE73" s="519"/>
      <c r="BF73" s="519"/>
      <c r="BG73" s="519"/>
      <c r="BH73" s="519"/>
      <c r="BI73" s="519"/>
      <c r="BJ73" s="519"/>
      <c r="BK73" s="519"/>
      <c r="BL73" s="519"/>
      <c r="BM73" s="519"/>
      <c r="BN73" s="519"/>
      <c r="BO73" s="519"/>
      <c r="BP73" s="519"/>
      <c r="BQ73" s="519"/>
      <c r="BR73" s="519"/>
      <c r="BS73" s="519"/>
      <c r="BT73" s="519"/>
      <c r="BU73" s="519"/>
      <c r="BV73" s="519"/>
      <c r="BW73" s="519"/>
      <c r="BX73" s="519"/>
      <c r="BY73" s="519"/>
      <c r="BZ73" s="519"/>
      <c r="CA73" s="519"/>
      <c r="CB73" s="519"/>
      <c r="CC73" s="519"/>
      <c r="CD73" s="519"/>
      <c r="CE73" s="519"/>
      <c r="CF73" s="519"/>
      <c r="CG73" s="519"/>
      <c r="CH73" s="519"/>
      <c r="CI73" s="519"/>
      <c r="CJ73" s="519"/>
      <c r="CK73" s="519"/>
      <c r="CL73" s="519"/>
      <c r="CM73" s="519"/>
      <c r="CN73" s="519"/>
      <c r="CO73" s="519"/>
      <c r="CP73" s="519"/>
      <c r="CQ73" s="519"/>
      <c r="CR73" s="519"/>
      <c r="CS73" s="519"/>
      <c r="CT73" s="519"/>
      <c r="CU73" s="519"/>
      <c r="CV73" s="519"/>
      <c r="CW73" s="519"/>
    </row>
    <row r="74" spans="5:101" s="536" customFormat="1" ht="15.75">
      <c r="E74" s="556" t="e">
        <v>#N/A</v>
      </c>
      <c r="F74" s="546" t="s">
        <v>1570</v>
      </c>
      <c r="G74" s="541">
        <v>414292.36900684942</v>
      </c>
      <c r="H74" s="541">
        <v>-414292.36900684936</v>
      </c>
      <c r="I74" s="541"/>
      <c r="J74" s="541"/>
      <c r="K74" s="541">
        <v>0</v>
      </c>
      <c r="L74" s="541">
        <v>0</v>
      </c>
      <c r="M74" s="541">
        <f t="shared" si="0"/>
        <v>-414292</v>
      </c>
      <c r="N74" s="541">
        <f t="shared" si="1"/>
        <v>0.36900684941792861</v>
      </c>
      <c r="O74" s="542">
        <f t="shared" si="2"/>
        <v>0</v>
      </c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9"/>
      <c r="AQ74" s="519"/>
      <c r="AR74" s="519"/>
      <c r="AS74" s="519"/>
      <c r="AT74" s="519"/>
      <c r="AU74" s="519"/>
      <c r="AV74" s="519"/>
      <c r="AW74" s="519"/>
      <c r="AX74" s="519"/>
      <c r="AY74" s="519"/>
      <c r="AZ74" s="519"/>
      <c r="BA74" s="519"/>
      <c r="BB74" s="519"/>
      <c r="BC74" s="519"/>
      <c r="BD74" s="519"/>
      <c r="BE74" s="519"/>
      <c r="BF74" s="519"/>
      <c r="BG74" s="519"/>
      <c r="BH74" s="519"/>
      <c r="BI74" s="519"/>
      <c r="BJ74" s="519"/>
      <c r="BK74" s="519"/>
      <c r="BL74" s="519"/>
      <c r="BM74" s="519"/>
      <c r="BN74" s="519"/>
      <c r="BO74" s="519"/>
      <c r="BP74" s="519"/>
      <c r="BQ74" s="519"/>
      <c r="BR74" s="519"/>
      <c r="BS74" s="519"/>
      <c r="BT74" s="519"/>
      <c r="BU74" s="519"/>
      <c r="BV74" s="519"/>
      <c r="BW74" s="519"/>
      <c r="BX74" s="519"/>
      <c r="BY74" s="519"/>
      <c r="BZ74" s="519"/>
      <c r="CA74" s="519"/>
      <c r="CB74" s="519"/>
      <c r="CC74" s="519"/>
      <c r="CD74" s="519"/>
      <c r="CE74" s="519"/>
      <c r="CF74" s="519"/>
      <c r="CG74" s="519"/>
      <c r="CH74" s="519"/>
      <c r="CI74" s="519"/>
      <c r="CJ74" s="519"/>
      <c r="CK74" s="519"/>
      <c r="CL74" s="519"/>
      <c r="CM74" s="519"/>
      <c r="CN74" s="519"/>
      <c r="CO74" s="519"/>
      <c r="CP74" s="519"/>
      <c r="CQ74" s="519"/>
      <c r="CR74" s="519"/>
      <c r="CS74" s="519"/>
      <c r="CT74" s="519"/>
      <c r="CU74" s="519"/>
      <c r="CV74" s="519"/>
      <c r="CW74" s="519"/>
    </row>
    <row r="75" spans="5:101" s="536" customFormat="1" ht="15.75">
      <c r="E75" s="556">
        <v>2045</v>
      </c>
      <c r="F75" s="536" t="s">
        <v>84</v>
      </c>
      <c r="G75" s="541">
        <v>1490279.9877838439</v>
      </c>
      <c r="H75" s="541">
        <v>41236.099999999991</v>
      </c>
      <c r="I75" s="541">
        <v>-20911.961722488006</v>
      </c>
      <c r="J75" s="541"/>
      <c r="K75" s="541">
        <v>-5547.7590283400805</v>
      </c>
      <c r="L75" s="541">
        <v>-4752.3837671100746</v>
      </c>
      <c r="M75" s="541">
        <f t="shared" si="0"/>
        <v>10024</v>
      </c>
      <c r="N75" s="541">
        <f t="shared" si="1"/>
        <v>1500303.9877838439</v>
      </c>
      <c r="O75" s="542">
        <f t="shared" si="2"/>
        <v>1500304</v>
      </c>
      <c r="P75" s="519"/>
      <c r="Q75" s="519"/>
      <c r="R75" s="519"/>
      <c r="S75" s="519"/>
      <c r="T75" s="519"/>
      <c r="U75" s="519"/>
      <c r="V75" s="519"/>
      <c r="W75" s="519"/>
      <c r="X75" s="519"/>
      <c r="Y75" s="519"/>
      <c r="Z75" s="519"/>
      <c r="AA75" s="519"/>
      <c r="AB75" s="519"/>
      <c r="AC75" s="519"/>
      <c r="AD75" s="519"/>
      <c r="AE75" s="519"/>
      <c r="AF75" s="519"/>
      <c r="AG75" s="519"/>
      <c r="AH75" s="519"/>
      <c r="AI75" s="519"/>
      <c r="AJ75" s="519"/>
      <c r="AK75" s="519"/>
      <c r="AL75" s="519"/>
      <c r="AM75" s="519"/>
      <c r="AN75" s="519"/>
      <c r="AO75" s="519"/>
      <c r="AP75" s="519"/>
      <c r="AQ75" s="519"/>
      <c r="AR75" s="519"/>
      <c r="AS75" s="519"/>
      <c r="AT75" s="519"/>
      <c r="AU75" s="519"/>
      <c r="AV75" s="519"/>
      <c r="AW75" s="519"/>
      <c r="AX75" s="519"/>
      <c r="AY75" s="519"/>
      <c r="AZ75" s="519"/>
      <c r="BA75" s="519"/>
      <c r="BB75" s="519"/>
      <c r="BC75" s="519"/>
      <c r="BD75" s="519"/>
      <c r="BE75" s="519"/>
      <c r="BF75" s="519"/>
      <c r="BG75" s="519"/>
      <c r="BH75" s="519"/>
      <c r="BI75" s="519"/>
      <c r="BJ75" s="519"/>
      <c r="BK75" s="519"/>
      <c r="BL75" s="519"/>
      <c r="BM75" s="519"/>
      <c r="BN75" s="519"/>
      <c r="BO75" s="519"/>
      <c r="BP75" s="519"/>
      <c r="BQ75" s="519"/>
      <c r="BR75" s="519"/>
      <c r="BS75" s="519"/>
      <c r="BT75" s="519"/>
      <c r="BU75" s="519"/>
      <c r="BV75" s="519"/>
      <c r="BW75" s="519"/>
      <c r="BX75" s="519"/>
      <c r="BY75" s="519"/>
      <c r="BZ75" s="519"/>
      <c r="CA75" s="519"/>
      <c r="CB75" s="519"/>
      <c r="CC75" s="519"/>
      <c r="CD75" s="519"/>
      <c r="CE75" s="519"/>
      <c r="CF75" s="519"/>
      <c r="CG75" s="519"/>
      <c r="CH75" s="519"/>
      <c r="CI75" s="519"/>
      <c r="CJ75" s="519"/>
      <c r="CK75" s="519"/>
      <c r="CL75" s="519"/>
      <c r="CM75" s="519"/>
      <c r="CN75" s="519"/>
      <c r="CO75" s="519"/>
      <c r="CP75" s="519"/>
      <c r="CQ75" s="519"/>
      <c r="CR75" s="519"/>
      <c r="CS75" s="519"/>
      <c r="CT75" s="519"/>
      <c r="CU75" s="519"/>
      <c r="CV75" s="519"/>
      <c r="CW75" s="519"/>
    </row>
    <row r="76" spans="5:101" s="536" customFormat="1" ht="15.75">
      <c r="E76" s="556">
        <v>5201</v>
      </c>
      <c r="F76" s="552" t="s">
        <v>86</v>
      </c>
      <c r="G76" s="541">
        <v>1834594.6492647745</v>
      </c>
      <c r="H76" s="541">
        <v>119894.46167919799</v>
      </c>
      <c r="I76" s="541">
        <v>14600.000000000036</v>
      </c>
      <c r="J76" s="541"/>
      <c r="K76" s="541">
        <v>-3316.1070175438554</v>
      </c>
      <c r="L76" s="541">
        <v>1633</v>
      </c>
      <c r="M76" s="541">
        <f t="shared" si="0"/>
        <v>132811</v>
      </c>
      <c r="N76" s="541">
        <f t="shared" si="1"/>
        <v>1967405.6492647745</v>
      </c>
      <c r="O76" s="542">
        <f t="shared" si="2"/>
        <v>1967406</v>
      </c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  <c r="AE76" s="519"/>
      <c r="AF76" s="519"/>
      <c r="AG76" s="519"/>
      <c r="AH76" s="519"/>
      <c r="AI76" s="519"/>
      <c r="AJ76" s="519"/>
      <c r="AK76" s="519"/>
      <c r="AL76" s="519"/>
      <c r="AM76" s="519"/>
      <c r="AN76" s="519"/>
      <c r="AO76" s="519"/>
      <c r="AP76" s="519"/>
      <c r="AQ76" s="519"/>
      <c r="AR76" s="519"/>
      <c r="AS76" s="519"/>
      <c r="AT76" s="519"/>
      <c r="AU76" s="519"/>
      <c r="AV76" s="519"/>
      <c r="AW76" s="519"/>
      <c r="AX76" s="519"/>
      <c r="AY76" s="519"/>
      <c r="AZ76" s="519"/>
      <c r="BA76" s="519"/>
      <c r="BB76" s="519"/>
      <c r="BC76" s="519"/>
      <c r="BD76" s="519"/>
      <c r="BE76" s="519"/>
      <c r="BF76" s="519"/>
      <c r="BG76" s="519"/>
      <c r="BH76" s="519"/>
      <c r="BI76" s="519"/>
      <c r="BJ76" s="519"/>
      <c r="BK76" s="519"/>
      <c r="BL76" s="519"/>
      <c r="BM76" s="519"/>
      <c r="BN76" s="519"/>
      <c r="BO76" s="519"/>
      <c r="BP76" s="519"/>
      <c r="BQ76" s="519"/>
      <c r="BR76" s="519"/>
      <c r="BS76" s="519"/>
      <c r="BT76" s="519"/>
      <c r="BU76" s="519"/>
      <c r="BV76" s="519"/>
      <c r="BW76" s="519"/>
      <c r="BX76" s="519"/>
      <c r="BY76" s="519"/>
      <c r="BZ76" s="519"/>
      <c r="CA76" s="519"/>
      <c r="CB76" s="519"/>
      <c r="CC76" s="519"/>
      <c r="CD76" s="519"/>
      <c r="CE76" s="519"/>
      <c r="CF76" s="519"/>
      <c r="CG76" s="519"/>
      <c r="CH76" s="519"/>
      <c r="CI76" s="519"/>
      <c r="CJ76" s="519"/>
      <c r="CK76" s="519"/>
      <c r="CL76" s="519"/>
      <c r="CM76" s="519"/>
      <c r="CN76" s="519"/>
      <c r="CO76" s="519"/>
      <c r="CP76" s="519"/>
      <c r="CQ76" s="519"/>
      <c r="CR76" s="519"/>
      <c r="CS76" s="519"/>
      <c r="CT76" s="519"/>
      <c r="CU76" s="519"/>
      <c r="CV76" s="519"/>
      <c r="CW76" s="519"/>
    </row>
    <row r="77" spans="5:101" s="536" customFormat="1" ht="15.75">
      <c r="E77" s="556">
        <v>3501</v>
      </c>
      <c r="F77" s="550" t="s">
        <v>87</v>
      </c>
      <c r="G77" s="541">
        <v>1130942.4029507202</v>
      </c>
      <c r="H77" s="541">
        <v>21233.702362883956</v>
      </c>
      <c r="I77" s="541">
        <v>2921.4285714285606</v>
      </c>
      <c r="J77" s="541"/>
      <c r="K77" s="541">
        <v>-7060.9099828641365</v>
      </c>
      <c r="L77" s="541">
        <v>-7769.7433187620172</v>
      </c>
      <c r="M77" s="541">
        <f t="shared" si="0"/>
        <v>9324</v>
      </c>
      <c r="N77" s="541">
        <f t="shared" si="1"/>
        <v>1140266.4029507202</v>
      </c>
      <c r="O77" s="542">
        <f t="shared" si="2"/>
        <v>1140266</v>
      </c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519"/>
      <c r="AA77" s="519"/>
      <c r="AB77" s="519"/>
      <c r="AC77" s="519"/>
      <c r="AD77" s="519"/>
      <c r="AE77" s="519"/>
      <c r="AF77" s="519"/>
      <c r="AG77" s="519"/>
      <c r="AH77" s="519"/>
      <c r="AI77" s="519"/>
      <c r="AJ77" s="519"/>
      <c r="AK77" s="519"/>
      <c r="AL77" s="519"/>
      <c r="AM77" s="519"/>
      <c r="AN77" s="519"/>
      <c r="AO77" s="519"/>
      <c r="AP77" s="519"/>
      <c r="AQ77" s="519"/>
      <c r="AR77" s="519"/>
      <c r="AS77" s="519"/>
      <c r="AT77" s="519"/>
      <c r="AU77" s="519"/>
      <c r="AV77" s="519"/>
      <c r="AW77" s="519"/>
      <c r="AX77" s="519"/>
      <c r="AY77" s="519"/>
      <c r="AZ77" s="519"/>
      <c r="BA77" s="519"/>
      <c r="BB77" s="519"/>
      <c r="BC77" s="519"/>
      <c r="BD77" s="519"/>
      <c r="BE77" s="519"/>
      <c r="BF77" s="519"/>
      <c r="BG77" s="519"/>
      <c r="BH77" s="519"/>
      <c r="BI77" s="519"/>
      <c r="BJ77" s="519"/>
      <c r="BK77" s="519"/>
      <c r="BL77" s="519"/>
      <c r="BM77" s="519"/>
      <c r="BN77" s="519"/>
      <c r="BO77" s="519"/>
      <c r="BP77" s="519"/>
      <c r="BQ77" s="519"/>
      <c r="BR77" s="519"/>
      <c r="BS77" s="519"/>
      <c r="BT77" s="519"/>
      <c r="BU77" s="519"/>
      <c r="BV77" s="519"/>
      <c r="BW77" s="519"/>
      <c r="BX77" s="519"/>
      <c r="BY77" s="519"/>
      <c r="BZ77" s="519"/>
      <c r="CA77" s="519"/>
      <c r="CB77" s="519"/>
      <c r="CC77" s="519"/>
      <c r="CD77" s="519"/>
      <c r="CE77" s="519"/>
      <c r="CF77" s="519"/>
      <c r="CG77" s="519"/>
      <c r="CH77" s="519"/>
      <c r="CI77" s="519"/>
      <c r="CJ77" s="519"/>
      <c r="CK77" s="519"/>
      <c r="CL77" s="519"/>
      <c r="CM77" s="519"/>
      <c r="CN77" s="519"/>
      <c r="CO77" s="519"/>
      <c r="CP77" s="519"/>
      <c r="CQ77" s="519"/>
      <c r="CR77" s="519"/>
      <c r="CS77" s="519"/>
      <c r="CT77" s="519"/>
      <c r="CU77" s="519"/>
      <c r="CV77" s="519"/>
      <c r="CW77" s="519"/>
    </row>
    <row r="78" spans="5:101" s="536" customFormat="1" ht="15.75">
      <c r="E78" s="556">
        <v>2078</v>
      </c>
      <c r="F78" s="536" t="s">
        <v>88</v>
      </c>
      <c r="G78" s="541">
        <v>939383.70695190784</v>
      </c>
      <c r="H78" s="541">
        <v>23508.916666666668</v>
      </c>
      <c r="I78" s="541">
        <v>-5628.9340101522812</v>
      </c>
      <c r="J78" s="541"/>
      <c r="K78" s="541">
        <v>5165</v>
      </c>
      <c r="L78" s="541">
        <v>575</v>
      </c>
      <c r="M78" s="541">
        <f t="shared" si="0"/>
        <v>23620</v>
      </c>
      <c r="N78" s="541">
        <f t="shared" si="1"/>
        <v>963003.70695190784</v>
      </c>
      <c r="O78" s="542">
        <f t="shared" si="2"/>
        <v>963004</v>
      </c>
      <c r="P78" s="519"/>
      <c r="Q78" s="519"/>
      <c r="R78" s="519"/>
      <c r="S78" s="519"/>
      <c r="T78" s="519"/>
      <c r="U78" s="519"/>
      <c r="V78" s="519"/>
      <c r="W78" s="519"/>
      <c r="X78" s="519"/>
      <c r="Y78" s="519"/>
      <c r="Z78" s="519"/>
      <c r="AA78" s="519"/>
      <c r="AB78" s="519"/>
      <c r="AC78" s="519"/>
      <c r="AD78" s="519"/>
      <c r="AE78" s="519"/>
      <c r="AF78" s="519"/>
      <c r="AG78" s="519"/>
      <c r="AH78" s="519"/>
      <c r="AI78" s="519"/>
      <c r="AJ78" s="519"/>
      <c r="AK78" s="519"/>
      <c r="AL78" s="519"/>
      <c r="AM78" s="519"/>
      <c r="AN78" s="519"/>
      <c r="AO78" s="519"/>
      <c r="AP78" s="519"/>
      <c r="AQ78" s="519"/>
      <c r="AR78" s="519"/>
      <c r="AS78" s="519"/>
      <c r="AT78" s="519"/>
      <c r="AU78" s="519"/>
      <c r="AV78" s="519"/>
      <c r="AW78" s="519"/>
      <c r="AX78" s="519"/>
      <c r="AY78" s="519"/>
      <c r="AZ78" s="519"/>
      <c r="BA78" s="519"/>
      <c r="BB78" s="519"/>
      <c r="BC78" s="519"/>
      <c r="BD78" s="519"/>
      <c r="BE78" s="519"/>
      <c r="BF78" s="519"/>
      <c r="BG78" s="519"/>
      <c r="BH78" s="519"/>
      <c r="BI78" s="519"/>
      <c r="BJ78" s="519"/>
      <c r="BK78" s="519"/>
      <c r="BL78" s="519"/>
      <c r="BM78" s="519"/>
      <c r="BN78" s="519"/>
      <c r="BO78" s="519"/>
      <c r="BP78" s="519"/>
      <c r="BQ78" s="519"/>
      <c r="BR78" s="519"/>
      <c r="BS78" s="519"/>
      <c r="BT78" s="519"/>
      <c r="BU78" s="519"/>
      <c r="BV78" s="519"/>
      <c r="BW78" s="519"/>
      <c r="BX78" s="519"/>
      <c r="BY78" s="519"/>
      <c r="BZ78" s="519"/>
      <c r="CA78" s="519"/>
      <c r="CB78" s="519"/>
      <c r="CC78" s="519"/>
      <c r="CD78" s="519"/>
      <c r="CE78" s="519"/>
      <c r="CF78" s="519"/>
      <c r="CG78" s="519"/>
      <c r="CH78" s="519"/>
      <c r="CI78" s="519"/>
      <c r="CJ78" s="519"/>
      <c r="CK78" s="519"/>
      <c r="CL78" s="519"/>
      <c r="CM78" s="519"/>
      <c r="CN78" s="519"/>
      <c r="CO78" s="519"/>
      <c r="CP78" s="519"/>
      <c r="CQ78" s="519"/>
      <c r="CR78" s="519"/>
      <c r="CS78" s="519"/>
      <c r="CT78" s="519"/>
      <c r="CU78" s="519"/>
      <c r="CV78" s="519"/>
      <c r="CW78" s="519"/>
    </row>
    <row r="79" spans="5:101" s="536" customFormat="1" ht="15.75">
      <c r="E79" s="556" t="e">
        <v>#N/A</v>
      </c>
      <c r="F79" s="546" t="s">
        <v>357</v>
      </c>
      <c r="G79" s="541">
        <v>2047151.8679864327</v>
      </c>
      <c r="H79" s="541">
        <v>41218.852706766913</v>
      </c>
      <c r="I79" s="541">
        <v>-24478.911564625883</v>
      </c>
      <c r="J79" s="541"/>
      <c r="K79" s="541">
        <v>10010.679171277032</v>
      </c>
      <c r="L79" s="541">
        <v>10688.813284956581</v>
      </c>
      <c r="M79" s="541">
        <f t="shared" si="0"/>
        <v>37439</v>
      </c>
      <c r="N79" s="541">
        <f t="shared" si="1"/>
        <v>2084590.8679864327</v>
      </c>
      <c r="O79" s="542">
        <f t="shared" si="2"/>
        <v>2084591</v>
      </c>
      <c r="P79" s="519"/>
      <c r="Q79" s="519"/>
      <c r="R79" s="519"/>
      <c r="S79" s="519"/>
      <c r="T79" s="519"/>
      <c r="U79" s="519"/>
      <c r="V79" s="519"/>
      <c r="W79" s="519"/>
      <c r="X79" s="519"/>
      <c r="Y79" s="519"/>
      <c r="Z79" s="519"/>
      <c r="AA79" s="519"/>
      <c r="AB79" s="519"/>
      <c r="AC79" s="519"/>
      <c r="AD79" s="519"/>
      <c r="AE79" s="519"/>
      <c r="AF79" s="519"/>
      <c r="AG79" s="519"/>
      <c r="AH79" s="519"/>
      <c r="AI79" s="519"/>
      <c r="AJ79" s="519"/>
      <c r="AK79" s="519"/>
      <c r="AL79" s="519"/>
      <c r="AM79" s="519"/>
      <c r="AN79" s="519"/>
      <c r="AO79" s="519"/>
      <c r="AP79" s="519"/>
      <c r="AQ79" s="519"/>
      <c r="AR79" s="519"/>
      <c r="AS79" s="519"/>
      <c r="AT79" s="519"/>
      <c r="AU79" s="519"/>
      <c r="AV79" s="519"/>
      <c r="AW79" s="519"/>
      <c r="AX79" s="519"/>
      <c r="AY79" s="519"/>
      <c r="AZ79" s="519"/>
      <c r="BA79" s="519"/>
      <c r="BB79" s="519"/>
      <c r="BC79" s="519"/>
      <c r="BD79" s="519"/>
      <c r="BE79" s="519"/>
      <c r="BF79" s="519"/>
      <c r="BG79" s="519"/>
      <c r="BH79" s="519"/>
      <c r="BI79" s="519"/>
      <c r="BJ79" s="519"/>
      <c r="BK79" s="519"/>
      <c r="BL79" s="519"/>
      <c r="BM79" s="519"/>
      <c r="BN79" s="519"/>
      <c r="BO79" s="519"/>
      <c r="BP79" s="519"/>
      <c r="BQ79" s="519"/>
      <c r="BR79" s="519"/>
      <c r="BS79" s="519"/>
      <c r="BT79" s="519"/>
      <c r="BU79" s="519"/>
      <c r="BV79" s="519"/>
      <c r="BW79" s="519"/>
      <c r="BX79" s="519"/>
      <c r="BY79" s="519"/>
      <c r="BZ79" s="519"/>
      <c r="CA79" s="519"/>
      <c r="CB79" s="519"/>
      <c r="CC79" s="519"/>
      <c r="CD79" s="519"/>
      <c r="CE79" s="519"/>
      <c r="CF79" s="519"/>
      <c r="CG79" s="519"/>
      <c r="CH79" s="519"/>
      <c r="CI79" s="519"/>
      <c r="CJ79" s="519"/>
      <c r="CK79" s="519"/>
      <c r="CL79" s="519"/>
      <c r="CM79" s="519"/>
      <c r="CN79" s="519"/>
      <c r="CO79" s="519"/>
      <c r="CP79" s="519"/>
      <c r="CQ79" s="519"/>
      <c r="CR79" s="519"/>
      <c r="CS79" s="519"/>
      <c r="CT79" s="519"/>
      <c r="CU79" s="519"/>
      <c r="CV79" s="519"/>
      <c r="CW79" s="519"/>
    </row>
    <row r="80" spans="5:101" s="536" customFormat="1" ht="15.75">
      <c r="E80" s="556">
        <v>2071</v>
      </c>
      <c r="F80" s="550" t="s">
        <v>90</v>
      </c>
      <c r="G80" s="541">
        <v>1788495.0638648833</v>
      </c>
      <c r="H80" s="541">
        <v>33478.493557758033</v>
      </c>
      <c r="I80" s="541">
        <v>-20916.891891891883</v>
      </c>
      <c r="J80" s="541">
        <v>434.5</v>
      </c>
      <c r="K80" s="541">
        <v>4144.6880565048941</v>
      </c>
      <c r="L80" s="541">
        <v>2258.1363408521274</v>
      </c>
      <c r="M80" s="541">
        <f t="shared" ref="M80:M143" si="3">ROUND(SUM(H80:L80),0)</f>
        <v>19399</v>
      </c>
      <c r="N80" s="541">
        <f t="shared" ref="N80:N143" si="4">+G80+M80</f>
        <v>1807894.0638648833</v>
      </c>
      <c r="O80" s="542">
        <f t="shared" ref="O80:O143" si="5">ROUND(N80,0)</f>
        <v>1807894</v>
      </c>
      <c r="P80" s="519"/>
      <c r="Q80" s="519"/>
      <c r="R80" s="519"/>
      <c r="S80" s="519"/>
      <c r="T80" s="519"/>
      <c r="U80" s="519"/>
      <c r="V80" s="519"/>
      <c r="W80" s="519"/>
      <c r="X80" s="519"/>
      <c r="Y80" s="519"/>
      <c r="Z80" s="519"/>
      <c r="AA80" s="519"/>
      <c r="AB80" s="519"/>
      <c r="AC80" s="519"/>
      <c r="AD80" s="519"/>
      <c r="AE80" s="519"/>
      <c r="AF80" s="519"/>
      <c r="AG80" s="519"/>
      <c r="AH80" s="519"/>
      <c r="AI80" s="519"/>
      <c r="AJ80" s="519"/>
      <c r="AK80" s="519"/>
      <c r="AL80" s="519"/>
      <c r="AM80" s="519"/>
      <c r="AN80" s="519"/>
      <c r="AO80" s="519"/>
      <c r="AP80" s="519"/>
      <c r="AQ80" s="519"/>
      <c r="AR80" s="519"/>
      <c r="AS80" s="519"/>
      <c r="AT80" s="519"/>
      <c r="AU80" s="519"/>
      <c r="AV80" s="519"/>
      <c r="AW80" s="519"/>
      <c r="AX80" s="519"/>
      <c r="AY80" s="519"/>
      <c r="AZ80" s="519"/>
      <c r="BA80" s="519"/>
      <c r="BB80" s="519"/>
      <c r="BC80" s="519"/>
      <c r="BD80" s="519"/>
      <c r="BE80" s="519"/>
      <c r="BF80" s="519"/>
      <c r="BG80" s="519"/>
      <c r="BH80" s="519"/>
      <c r="BI80" s="519"/>
      <c r="BJ80" s="519"/>
      <c r="BK80" s="519"/>
      <c r="BL80" s="519"/>
      <c r="BM80" s="519"/>
      <c r="BN80" s="519"/>
      <c r="BO80" s="519"/>
      <c r="BP80" s="519"/>
      <c r="BQ80" s="519"/>
      <c r="BR80" s="519"/>
      <c r="BS80" s="519"/>
      <c r="BT80" s="519"/>
      <c r="BU80" s="519"/>
      <c r="BV80" s="519"/>
      <c r="BW80" s="519"/>
      <c r="BX80" s="519"/>
      <c r="BY80" s="519"/>
      <c r="BZ80" s="519"/>
      <c r="CA80" s="519"/>
      <c r="CB80" s="519"/>
      <c r="CC80" s="519"/>
      <c r="CD80" s="519"/>
      <c r="CE80" s="519"/>
      <c r="CF80" s="519"/>
      <c r="CG80" s="519"/>
      <c r="CH80" s="519"/>
      <c r="CI80" s="519"/>
      <c r="CJ80" s="519"/>
      <c r="CK80" s="519"/>
      <c r="CL80" s="519"/>
      <c r="CM80" s="519"/>
      <c r="CN80" s="519"/>
      <c r="CO80" s="519"/>
      <c r="CP80" s="519"/>
      <c r="CQ80" s="519"/>
      <c r="CR80" s="519"/>
      <c r="CS80" s="519"/>
      <c r="CT80" s="519"/>
      <c r="CU80" s="519"/>
      <c r="CV80" s="519"/>
      <c r="CW80" s="519"/>
    </row>
    <row r="81" spans="5:101" s="536" customFormat="1" ht="15.75">
      <c r="E81" s="556">
        <v>2072</v>
      </c>
      <c r="F81" s="536" t="s">
        <v>91</v>
      </c>
      <c r="G81" s="541">
        <v>1741267.6241041974</v>
      </c>
      <c r="H81" s="541">
        <v>4837</v>
      </c>
      <c r="I81" s="541">
        <v>-3933.3333333333285</v>
      </c>
      <c r="J81" s="541"/>
      <c r="K81" s="541">
        <v>-6742.7500000000073</v>
      </c>
      <c r="L81" s="541">
        <v>3611</v>
      </c>
      <c r="M81" s="541">
        <f t="shared" si="3"/>
        <v>-2228</v>
      </c>
      <c r="N81" s="541">
        <f t="shared" si="4"/>
        <v>1739039.6241041974</v>
      </c>
      <c r="O81" s="542">
        <f t="shared" si="5"/>
        <v>1739040</v>
      </c>
      <c r="P81" s="519"/>
      <c r="Q81" s="519"/>
      <c r="R81" s="519"/>
      <c r="S81" s="519"/>
      <c r="T81" s="519"/>
      <c r="U81" s="519"/>
      <c r="V81" s="519"/>
      <c r="W81" s="519"/>
      <c r="X81" s="519"/>
      <c r="Y81" s="519"/>
      <c r="Z81" s="519"/>
      <c r="AA81" s="519"/>
      <c r="AB81" s="519"/>
      <c r="AC81" s="519"/>
      <c r="AD81" s="519"/>
      <c r="AE81" s="519"/>
      <c r="AF81" s="519"/>
      <c r="AG81" s="519"/>
      <c r="AH81" s="519"/>
      <c r="AI81" s="519"/>
      <c r="AJ81" s="519"/>
      <c r="AK81" s="519"/>
      <c r="AL81" s="519"/>
      <c r="AM81" s="519"/>
      <c r="AN81" s="519"/>
      <c r="AO81" s="519"/>
      <c r="AP81" s="519"/>
      <c r="AQ81" s="519"/>
      <c r="AR81" s="519"/>
      <c r="AS81" s="519"/>
      <c r="AT81" s="519"/>
      <c r="AU81" s="519"/>
      <c r="AV81" s="519"/>
      <c r="AW81" s="519"/>
      <c r="AX81" s="519"/>
      <c r="AY81" s="519"/>
      <c r="AZ81" s="519"/>
      <c r="BA81" s="519"/>
      <c r="BB81" s="519"/>
      <c r="BC81" s="519"/>
      <c r="BD81" s="519"/>
      <c r="BE81" s="519"/>
      <c r="BF81" s="519"/>
      <c r="BG81" s="519"/>
      <c r="BH81" s="519"/>
      <c r="BI81" s="519"/>
      <c r="BJ81" s="519"/>
      <c r="BK81" s="519"/>
      <c r="BL81" s="519"/>
      <c r="BM81" s="519"/>
      <c r="BN81" s="519"/>
      <c r="BO81" s="519"/>
      <c r="BP81" s="519"/>
      <c r="BQ81" s="519"/>
      <c r="BR81" s="519"/>
      <c r="BS81" s="519"/>
      <c r="BT81" s="519"/>
      <c r="BU81" s="519"/>
      <c r="BV81" s="519"/>
      <c r="BW81" s="519"/>
      <c r="BX81" s="519"/>
      <c r="BY81" s="519"/>
      <c r="BZ81" s="519"/>
      <c r="CA81" s="519"/>
      <c r="CB81" s="519"/>
      <c r="CC81" s="519"/>
      <c r="CD81" s="519"/>
      <c r="CE81" s="519"/>
      <c r="CF81" s="519"/>
      <c r="CG81" s="519"/>
      <c r="CH81" s="519"/>
      <c r="CI81" s="519"/>
      <c r="CJ81" s="519"/>
      <c r="CK81" s="519"/>
      <c r="CL81" s="519"/>
      <c r="CM81" s="519"/>
      <c r="CN81" s="519"/>
      <c r="CO81" s="519"/>
      <c r="CP81" s="519"/>
      <c r="CQ81" s="519"/>
      <c r="CR81" s="519"/>
      <c r="CS81" s="519"/>
      <c r="CT81" s="519"/>
      <c r="CU81" s="519"/>
      <c r="CV81" s="519"/>
      <c r="CW81" s="519"/>
    </row>
    <row r="82" spans="5:101" s="536" customFormat="1" ht="15.75">
      <c r="E82" s="556" t="e">
        <v>#N/A</v>
      </c>
      <c r="F82" s="546" t="s">
        <v>1486</v>
      </c>
      <c r="G82" s="541">
        <v>0</v>
      </c>
      <c r="H82" s="541">
        <v>19353.583333333336</v>
      </c>
      <c r="I82" s="541">
        <v>0</v>
      </c>
      <c r="J82" s="541"/>
      <c r="K82" s="541">
        <v>4649.1666666666661</v>
      </c>
      <c r="L82" s="541">
        <v>0</v>
      </c>
      <c r="M82" s="541">
        <f t="shared" si="3"/>
        <v>24003</v>
      </c>
      <c r="N82" s="541">
        <f t="shared" si="4"/>
        <v>24003</v>
      </c>
      <c r="O82" s="542">
        <f t="shared" si="5"/>
        <v>24003</v>
      </c>
      <c r="P82" s="519"/>
      <c r="Q82" s="519"/>
      <c r="R82" s="519"/>
      <c r="S82" s="519"/>
      <c r="T82" s="519"/>
      <c r="U82" s="519"/>
      <c r="V82" s="519"/>
      <c r="W82" s="519"/>
      <c r="X82" s="519"/>
      <c r="Y82" s="519"/>
      <c r="Z82" s="519"/>
      <c r="AA82" s="519"/>
      <c r="AB82" s="519"/>
      <c r="AC82" s="519"/>
      <c r="AD82" s="519"/>
      <c r="AE82" s="519"/>
      <c r="AF82" s="519"/>
      <c r="AG82" s="519"/>
      <c r="AH82" s="519"/>
      <c r="AI82" s="519"/>
      <c r="AJ82" s="519"/>
      <c r="AK82" s="519"/>
      <c r="AL82" s="519"/>
      <c r="AM82" s="519"/>
      <c r="AN82" s="519"/>
      <c r="AO82" s="519"/>
      <c r="AP82" s="519"/>
      <c r="AQ82" s="519"/>
      <c r="AR82" s="519"/>
      <c r="AS82" s="519"/>
      <c r="AT82" s="519"/>
      <c r="AU82" s="519"/>
      <c r="AV82" s="519"/>
      <c r="AW82" s="519"/>
      <c r="AX82" s="519"/>
      <c r="AY82" s="519"/>
      <c r="AZ82" s="519"/>
      <c r="BA82" s="519"/>
      <c r="BB82" s="519"/>
      <c r="BC82" s="519"/>
      <c r="BD82" s="519"/>
      <c r="BE82" s="519"/>
      <c r="BF82" s="519"/>
      <c r="BG82" s="519"/>
      <c r="BH82" s="519"/>
      <c r="BI82" s="519"/>
      <c r="BJ82" s="519"/>
      <c r="BK82" s="519"/>
      <c r="BL82" s="519"/>
      <c r="BM82" s="519"/>
      <c r="BN82" s="519"/>
      <c r="BO82" s="519"/>
      <c r="BP82" s="519"/>
      <c r="BQ82" s="519"/>
      <c r="BR82" s="519"/>
      <c r="BS82" s="519"/>
      <c r="BT82" s="519"/>
      <c r="BU82" s="519"/>
      <c r="BV82" s="519"/>
      <c r="BW82" s="519"/>
      <c r="BX82" s="519"/>
      <c r="BY82" s="519"/>
      <c r="BZ82" s="519"/>
      <c r="CA82" s="519"/>
      <c r="CB82" s="519"/>
      <c r="CC82" s="519"/>
      <c r="CD82" s="519"/>
      <c r="CE82" s="519"/>
      <c r="CF82" s="519"/>
      <c r="CG82" s="519"/>
      <c r="CH82" s="519"/>
      <c r="CI82" s="519"/>
      <c r="CJ82" s="519"/>
      <c r="CK82" s="519"/>
      <c r="CL82" s="519"/>
      <c r="CM82" s="519"/>
      <c r="CN82" s="519"/>
      <c r="CO82" s="519"/>
      <c r="CP82" s="519"/>
      <c r="CQ82" s="519"/>
      <c r="CR82" s="519"/>
      <c r="CS82" s="519"/>
      <c r="CT82" s="519"/>
      <c r="CU82" s="519"/>
      <c r="CV82" s="519"/>
      <c r="CW82" s="519"/>
    </row>
    <row r="83" spans="5:101" s="536" customFormat="1" ht="15.75">
      <c r="E83" s="556">
        <v>3512</v>
      </c>
      <c r="F83" s="550" t="s">
        <v>92</v>
      </c>
      <c r="G83" s="541">
        <v>1830456.4954584879</v>
      </c>
      <c r="H83" s="541">
        <v>38794.083333333336</v>
      </c>
      <c r="I83" s="541">
        <v>5512.3569794050381</v>
      </c>
      <c r="J83" s="541"/>
      <c r="K83" s="541">
        <v>-11971.433333333336</v>
      </c>
      <c r="L83" s="541">
        <v>6216</v>
      </c>
      <c r="M83" s="541">
        <f t="shared" si="3"/>
        <v>38551</v>
      </c>
      <c r="N83" s="541">
        <f t="shared" si="4"/>
        <v>1869007.4954584879</v>
      </c>
      <c r="O83" s="542">
        <f t="shared" si="5"/>
        <v>1869007</v>
      </c>
      <c r="P83" s="519"/>
      <c r="Q83" s="519"/>
      <c r="R83" s="519"/>
      <c r="S83" s="519"/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  <c r="AE83" s="519"/>
      <c r="AF83" s="519"/>
      <c r="AG83" s="519"/>
      <c r="AH83" s="519"/>
      <c r="AI83" s="519"/>
      <c r="AJ83" s="519"/>
      <c r="AK83" s="519"/>
      <c r="AL83" s="519"/>
      <c r="AM83" s="519"/>
      <c r="AN83" s="519"/>
      <c r="AO83" s="519"/>
      <c r="AP83" s="519"/>
      <c r="AQ83" s="519"/>
      <c r="AR83" s="519"/>
      <c r="AS83" s="519"/>
      <c r="AT83" s="519"/>
      <c r="AU83" s="519"/>
      <c r="AV83" s="519"/>
      <c r="AW83" s="519"/>
      <c r="AX83" s="519"/>
      <c r="AY83" s="519"/>
      <c r="AZ83" s="519"/>
      <c r="BA83" s="519"/>
      <c r="BB83" s="519"/>
      <c r="BC83" s="519"/>
      <c r="BD83" s="519"/>
      <c r="BE83" s="519"/>
      <c r="BF83" s="519"/>
      <c r="BG83" s="519"/>
      <c r="BH83" s="519"/>
      <c r="BI83" s="519"/>
      <c r="BJ83" s="519"/>
      <c r="BK83" s="519"/>
      <c r="BL83" s="519"/>
      <c r="BM83" s="519"/>
      <c r="BN83" s="519"/>
      <c r="BO83" s="519"/>
      <c r="BP83" s="519"/>
      <c r="BQ83" s="519"/>
      <c r="BR83" s="519"/>
      <c r="BS83" s="519"/>
      <c r="BT83" s="519"/>
      <c r="BU83" s="519"/>
      <c r="BV83" s="519"/>
      <c r="BW83" s="519"/>
      <c r="BX83" s="519"/>
      <c r="BY83" s="519"/>
      <c r="BZ83" s="519"/>
      <c r="CA83" s="519"/>
      <c r="CB83" s="519"/>
      <c r="CC83" s="519"/>
      <c r="CD83" s="519"/>
      <c r="CE83" s="519"/>
      <c r="CF83" s="519"/>
      <c r="CG83" s="519"/>
      <c r="CH83" s="519"/>
      <c r="CI83" s="519"/>
      <c r="CJ83" s="519"/>
      <c r="CK83" s="519"/>
      <c r="CL83" s="519"/>
      <c r="CM83" s="519"/>
      <c r="CN83" s="519"/>
      <c r="CO83" s="519"/>
      <c r="CP83" s="519"/>
      <c r="CQ83" s="519"/>
      <c r="CR83" s="519"/>
      <c r="CS83" s="519"/>
      <c r="CT83" s="519"/>
      <c r="CU83" s="519"/>
      <c r="CV83" s="519"/>
      <c r="CW83" s="519"/>
    </row>
    <row r="84" spans="5:101" s="536" customFormat="1" ht="15.75">
      <c r="E84" s="556">
        <v>2041</v>
      </c>
      <c r="F84" s="544" t="s">
        <v>675</v>
      </c>
      <c r="G84" s="541">
        <v>684948.02688452217</v>
      </c>
      <c r="H84" s="541">
        <v>27994.916666666668</v>
      </c>
      <c r="I84" s="541">
        <v>3900</v>
      </c>
      <c r="J84" s="541"/>
      <c r="K84" s="541">
        <v>5005</v>
      </c>
      <c r="L84" s="541">
        <v>69</v>
      </c>
      <c r="M84" s="541">
        <f t="shared" si="3"/>
        <v>36969</v>
      </c>
      <c r="N84" s="541">
        <f t="shared" si="4"/>
        <v>721917.02688452217</v>
      </c>
      <c r="O84" s="542">
        <f t="shared" si="5"/>
        <v>721917</v>
      </c>
      <c r="P84" s="519"/>
      <c r="Q84" s="519"/>
      <c r="R84" s="519"/>
      <c r="S84" s="519"/>
      <c r="T84" s="519"/>
      <c r="U84" s="519"/>
      <c r="V84" s="519"/>
      <c r="W84" s="519"/>
      <c r="X84" s="519"/>
      <c r="Y84" s="519"/>
      <c r="Z84" s="519"/>
      <c r="AA84" s="519"/>
      <c r="AB84" s="519"/>
      <c r="AC84" s="519"/>
      <c r="AD84" s="519"/>
      <c r="AE84" s="519"/>
      <c r="AF84" s="519"/>
      <c r="AG84" s="519"/>
      <c r="AH84" s="519"/>
      <c r="AI84" s="519"/>
      <c r="AJ84" s="519"/>
      <c r="AK84" s="519"/>
      <c r="AL84" s="519"/>
      <c r="AM84" s="519"/>
      <c r="AN84" s="519"/>
      <c r="AO84" s="519"/>
      <c r="AP84" s="519"/>
      <c r="AQ84" s="519"/>
      <c r="AR84" s="519"/>
      <c r="AS84" s="519"/>
      <c r="AT84" s="519"/>
      <c r="AU84" s="519"/>
      <c r="AV84" s="519"/>
      <c r="AW84" s="519"/>
      <c r="AX84" s="519"/>
      <c r="AY84" s="519"/>
      <c r="AZ84" s="519"/>
      <c r="BA84" s="519"/>
      <c r="BB84" s="519"/>
      <c r="BC84" s="519"/>
      <c r="BD84" s="519"/>
      <c r="BE84" s="519"/>
      <c r="BF84" s="519"/>
      <c r="BG84" s="519"/>
      <c r="BH84" s="519"/>
      <c r="BI84" s="519"/>
      <c r="BJ84" s="519"/>
      <c r="BK84" s="519"/>
      <c r="BL84" s="519"/>
      <c r="BM84" s="519"/>
      <c r="BN84" s="519"/>
      <c r="BO84" s="519"/>
      <c r="BP84" s="519"/>
      <c r="BQ84" s="519"/>
      <c r="BR84" s="519"/>
      <c r="BS84" s="519"/>
      <c r="BT84" s="519"/>
      <c r="BU84" s="519"/>
      <c r="BV84" s="519"/>
      <c r="BW84" s="519"/>
      <c r="BX84" s="519"/>
      <c r="BY84" s="519"/>
      <c r="BZ84" s="519"/>
      <c r="CA84" s="519"/>
      <c r="CB84" s="519"/>
      <c r="CC84" s="519"/>
      <c r="CD84" s="519"/>
      <c r="CE84" s="519"/>
      <c r="CF84" s="519"/>
      <c r="CG84" s="519"/>
      <c r="CH84" s="519"/>
      <c r="CI84" s="519"/>
      <c r="CJ84" s="519"/>
      <c r="CK84" s="519"/>
      <c r="CL84" s="519"/>
      <c r="CM84" s="519"/>
      <c r="CN84" s="519"/>
      <c r="CO84" s="519"/>
      <c r="CP84" s="519"/>
      <c r="CQ84" s="519"/>
      <c r="CR84" s="519"/>
      <c r="CS84" s="519"/>
      <c r="CT84" s="519"/>
      <c r="CU84" s="519"/>
      <c r="CV84" s="519"/>
      <c r="CW84" s="519"/>
    </row>
    <row r="85" spans="5:101" s="536" customFormat="1" ht="15.75">
      <c r="E85" s="556">
        <v>3510</v>
      </c>
      <c r="F85" s="550" t="s">
        <v>93</v>
      </c>
      <c r="G85" s="541">
        <v>1716832.6150716662</v>
      </c>
      <c r="H85" s="541">
        <v>37258.666666666664</v>
      </c>
      <c r="I85" s="541">
        <v>5200</v>
      </c>
      <c r="J85" s="541"/>
      <c r="K85" s="541">
        <v>-3321.6666666666715</v>
      </c>
      <c r="L85" s="541">
        <v>2118.833333333343</v>
      </c>
      <c r="M85" s="541">
        <f t="shared" si="3"/>
        <v>41256</v>
      </c>
      <c r="N85" s="541">
        <f t="shared" si="4"/>
        <v>1758088.6150716662</v>
      </c>
      <c r="O85" s="542">
        <f t="shared" si="5"/>
        <v>1758089</v>
      </c>
      <c r="P85" s="519"/>
      <c r="Q85" s="519"/>
      <c r="R85" s="519"/>
      <c r="S85" s="519"/>
      <c r="T85" s="519"/>
      <c r="U85" s="519"/>
      <c r="V85" s="519"/>
      <c r="W85" s="519"/>
      <c r="X85" s="519"/>
      <c r="Y85" s="519"/>
      <c r="Z85" s="519"/>
      <c r="AA85" s="519"/>
      <c r="AB85" s="519"/>
      <c r="AC85" s="519"/>
      <c r="AD85" s="519"/>
      <c r="AE85" s="519"/>
      <c r="AF85" s="519"/>
      <c r="AG85" s="519"/>
      <c r="AH85" s="519"/>
      <c r="AI85" s="519"/>
      <c r="AJ85" s="519"/>
      <c r="AK85" s="519"/>
      <c r="AL85" s="519"/>
      <c r="AM85" s="519"/>
      <c r="AN85" s="519"/>
      <c r="AO85" s="519"/>
      <c r="AP85" s="519"/>
      <c r="AQ85" s="519"/>
      <c r="AR85" s="519"/>
      <c r="AS85" s="519"/>
      <c r="AT85" s="519"/>
      <c r="AU85" s="519"/>
      <c r="AV85" s="519"/>
      <c r="AW85" s="519"/>
      <c r="AX85" s="519"/>
      <c r="AY85" s="519"/>
      <c r="AZ85" s="519"/>
      <c r="BA85" s="519"/>
      <c r="BB85" s="519"/>
      <c r="BC85" s="519"/>
      <c r="BD85" s="519"/>
      <c r="BE85" s="519"/>
      <c r="BF85" s="519"/>
      <c r="BG85" s="519"/>
      <c r="BH85" s="519"/>
      <c r="BI85" s="519"/>
      <c r="BJ85" s="519"/>
      <c r="BK85" s="519"/>
      <c r="BL85" s="519"/>
      <c r="BM85" s="519"/>
      <c r="BN85" s="519"/>
      <c r="BO85" s="519"/>
      <c r="BP85" s="519"/>
      <c r="BQ85" s="519"/>
      <c r="BR85" s="519"/>
      <c r="BS85" s="519"/>
      <c r="BT85" s="519"/>
      <c r="BU85" s="519"/>
      <c r="BV85" s="519"/>
      <c r="BW85" s="519"/>
      <c r="BX85" s="519"/>
      <c r="BY85" s="519"/>
      <c r="BZ85" s="519"/>
      <c r="CA85" s="519"/>
      <c r="CB85" s="519"/>
      <c r="CC85" s="519"/>
      <c r="CD85" s="519"/>
      <c r="CE85" s="519"/>
      <c r="CF85" s="519"/>
      <c r="CG85" s="519"/>
      <c r="CH85" s="519"/>
      <c r="CI85" s="519"/>
      <c r="CJ85" s="519"/>
      <c r="CK85" s="519"/>
      <c r="CL85" s="519"/>
      <c r="CM85" s="519"/>
      <c r="CN85" s="519"/>
      <c r="CO85" s="519"/>
      <c r="CP85" s="519"/>
      <c r="CQ85" s="519"/>
      <c r="CR85" s="519"/>
      <c r="CS85" s="519"/>
      <c r="CT85" s="519"/>
      <c r="CU85" s="519"/>
      <c r="CV85" s="519"/>
      <c r="CW85" s="519"/>
    </row>
    <row r="86" spans="5:101" s="536" customFormat="1" ht="15.75">
      <c r="E86" s="556">
        <v>3502</v>
      </c>
      <c r="F86" s="550" t="s">
        <v>94</v>
      </c>
      <c r="G86" s="541">
        <v>1541179.2714824837</v>
      </c>
      <c r="H86" s="541">
        <v>27872.763141945772</v>
      </c>
      <c r="I86" s="541">
        <v>8528.3783783783892</v>
      </c>
      <c r="J86" s="541"/>
      <c r="K86" s="541">
        <v>-4248.193180223283</v>
      </c>
      <c r="L86" s="541">
        <v>3348.2736842105264</v>
      </c>
      <c r="M86" s="541">
        <f t="shared" si="3"/>
        <v>35501</v>
      </c>
      <c r="N86" s="541">
        <f t="shared" si="4"/>
        <v>1576680.2714824837</v>
      </c>
      <c r="O86" s="542">
        <f t="shared" si="5"/>
        <v>1576680</v>
      </c>
      <c r="P86" s="519"/>
      <c r="Q86" s="519"/>
      <c r="R86" s="519"/>
      <c r="S86" s="519"/>
      <c r="T86" s="519"/>
      <c r="U86" s="519"/>
      <c r="V86" s="519"/>
      <c r="W86" s="519"/>
      <c r="X86" s="519"/>
      <c r="Y86" s="519"/>
      <c r="Z86" s="519"/>
      <c r="AA86" s="519"/>
      <c r="AB86" s="519"/>
      <c r="AC86" s="519"/>
      <c r="AD86" s="519"/>
      <c r="AE86" s="519"/>
      <c r="AF86" s="519"/>
      <c r="AG86" s="519"/>
      <c r="AH86" s="519"/>
      <c r="AI86" s="519"/>
      <c r="AJ86" s="519"/>
      <c r="AK86" s="519"/>
      <c r="AL86" s="519"/>
      <c r="AM86" s="519"/>
      <c r="AN86" s="519"/>
      <c r="AO86" s="519"/>
      <c r="AP86" s="519"/>
      <c r="AQ86" s="519"/>
      <c r="AR86" s="519"/>
      <c r="AS86" s="519"/>
      <c r="AT86" s="519"/>
      <c r="AU86" s="519"/>
      <c r="AV86" s="519"/>
      <c r="AW86" s="519"/>
      <c r="AX86" s="519"/>
      <c r="AY86" s="519"/>
      <c r="AZ86" s="519"/>
      <c r="BA86" s="519"/>
      <c r="BB86" s="519"/>
      <c r="BC86" s="519"/>
      <c r="BD86" s="519"/>
      <c r="BE86" s="519"/>
      <c r="BF86" s="519"/>
      <c r="BG86" s="519"/>
      <c r="BH86" s="519"/>
      <c r="BI86" s="519"/>
      <c r="BJ86" s="519"/>
      <c r="BK86" s="519"/>
      <c r="BL86" s="519"/>
      <c r="BM86" s="519"/>
      <c r="BN86" s="519"/>
      <c r="BO86" s="519"/>
      <c r="BP86" s="519"/>
      <c r="BQ86" s="519"/>
      <c r="BR86" s="519"/>
      <c r="BS86" s="519"/>
      <c r="BT86" s="519"/>
      <c r="BU86" s="519"/>
      <c r="BV86" s="519"/>
      <c r="BW86" s="519"/>
      <c r="BX86" s="519"/>
      <c r="BY86" s="519"/>
      <c r="BZ86" s="519"/>
      <c r="CA86" s="519"/>
      <c r="CB86" s="519"/>
      <c r="CC86" s="519"/>
      <c r="CD86" s="519"/>
      <c r="CE86" s="519"/>
      <c r="CF86" s="519"/>
      <c r="CG86" s="519"/>
      <c r="CH86" s="519"/>
      <c r="CI86" s="519"/>
      <c r="CJ86" s="519"/>
      <c r="CK86" s="519"/>
      <c r="CL86" s="519"/>
      <c r="CM86" s="519"/>
      <c r="CN86" s="519"/>
      <c r="CO86" s="519"/>
      <c r="CP86" s="519"/>
      <c r="CQ86" s="519"/>
      <c r="CR86" s="519"/>
      <c r="CS86" s="519"/>
      <c r="CT86" s="519"/>
      <c r="CU86" s="519"/>
      <c r="CV86" s="519"/>
      <c r="CW86" s="519"/>
    </row>
    <row r="87" spans="5:101" s="536" customFormat="1" ht="15.75">
      <c r="E87" s="556">
        <v>3315</v>
      </c>
      <c r="F87" s="552" t="s">
        <v>95</v>
      </c>
      <c r="G87" s="541">
        <v>882813.78500994609</v>
      </c>
      <c r="H87" s="541">
        <v>23042.583333333332</v>
      </c>
      <c r="I87" s="541">
        <v>2303.3816425120781</v>
      </c>
      <c r="J87" s="541"/>
      <c r="K87" s="541">
        <v>986</v>
      </c>
      <c r="L87" s="541">
        <v>4536</v>
      </c>
      <c r="M87" s="541">
        <f t="shared" si="3"/>
        <v>30868</v>
      </c>
      <c r="N87" s="541">
        <f t="shared" si="4"/>
        <v>913681.78500994609</v>
      </c>
      <c r="O87" s="542">
        <f t="shared" si="5"/>
        <v>913682</v>
      </c>
      <c r="P87" s="519"/>
      <c r="Q87" s="519"/>
      <c r="R87" s="519"/>
      <c r="S87" s="519"/>
      <c r="T87" s="519"/>
      <c r="U87" s="519"/>
      <c r="V87" s="519"/>
      <c r="W87" s="519"/>
      <c r="X87" s="519"/>
      <c r="Y87" s="519"/>
      <c r="Z87" s="519"/>
      <c r="AA87" s="519"/>
      <c r="AB87" s="519"/>
      <c r="AC87" s="519"/>
      <c r="AD87" s="519"/>
      <c r="AE87" s="519"/>
      <c r="AF87" s="519"/>
      <c r="AG87" s="519"/>
      <c r="AH87" s="519"/>
      <c r="AI87" s="519"/>
      <c r="AJ87" s="519"/>
      <c r="AK87" s="519"/>
      <c r="AL87" s="519"/>
      <c r="AM87" s="519"/>
      <c r="AN87" s="519"/>
      <c r="AO87" s="519"/>
      <c r="AP87" s="519"/>
      <c r="AQ87" s="519"/>
      <c r="AR87" s="519"/>
      <c r="AS87" s="519"/>
      <c r="AT87" s="519"/>
      <c r="AU87" s="519"/>
      <c r="AV87" s="519"/>
      <c r="AW87" s="519"/>
      <c r="AX87" s="519"/>
      <c r="AY87" s="519"/>
      <c r="AZ87" s="519"/>
      <c r="BA87" s="519"/>
      <c r="BB87" s="519"/>
      <c r="BC87" s="519"/>
      <c r="BD87" s="519"/>
      <c r="BE87" s="519"/>
      <c r="BF87" s="519"/>
      <c r="BG87" s="519"/>
      <c r="BH87" s="519"/>
      <c r="BI87" s="519"/>
      <c r="BJ87" s="519"/>
      <c r="BK87" s="519"/>
      <c r="BL87" s="519"/>
      <c r="BM87" s="519"/>
      <c r="BN87" s="519"/>
      <c r="BO87" s="519"/>
      <c r="BP87" s="519"/>
      <c r="BQ87" s="519"/>
      <c r="BR87" s="519"/>
      <c r="BS87" s="519"/>
      <c r="BT87" s="519"/>
      <c r="BU87" s="519"/>
      <c r="BV87" s="519"/>
      <c r="BW87" s="519"/>
      <c r="BX87" s="519"/>
      <c r="BY87" s="519"/>
      <c r="BZ87" s="519"/>
      <c r="CA87" s="519"/>
      <c r="CB87" s="519"/>
      <c r="CC87" s="519"/>
      <c r="CD87" s="519"/>
      <c r="CE87" s="519"/>
      <c r="CF87" s="519"/>
      <c r="CG87" s="519"/>
      <c r="CH87" s="519"/>
      <c r="CI87" s="519"/>
      <c r="CJ87" s="519"/>
      <c r="CK87" s="519"/>
      <c r="CL87" s="519"/>
      <c r="CM87" s="519"/>
      <c r="CN87" s="519"/>
      <c r="CO87" s="519"/>
      <c r="CP87" s="519"/>
      <c r="CQ87" s="519"/>
      <c r="CR87" s="519"/>
      <c r="CS87" s="519"/>
      <c r="CT87" s="519"/>
      <c r="CU87" s="519"/>
      <c r="CV87" s="519"/>
      <c r="CW87" s="519"/>
    </row>
    <row r="88" spans="5:101" s="536" customFormat="1" ht="15.75">
      <c r="E88" s="556">
        <v>3504</v>
      </c>
      <c r="F88" s="550" t="s">
        <v>96</v>
      </c>
      <c r="G88" s="541">
        <v>1990955.9462971035</v>
      </c>
      <c r="H88" s="541">
        <v>29466.916666666664</v>
      </c>
      <c r="I88" s="541">
        <v>2853.1400966183696</v>
      </c>
      <c r="J88" s="541"/>
      <c r="K88" s="541">
        <v>-2532.4637246963557</v>
      </c>
      <c r="L88" s="541">
        <v>1408.7142857142906</v>
      </c>
      <c r="M88" s="541">
        <f t="shared" si="3"/>
        <v>31196</v>
      </c>
      <c r="N88" s="541">
        <f t="shared" si="4"/>
        <v>2022151.9462971035</v>
      </c>
      <c r="O88" s="542">
        <f t="shared" si="5"/>
        <v>2022152</v>
      </c>
      <c r="P88" s="519"/>
      <c r="Q88" s="519"/>
      <c r="R88" s="519"/>
      <c r="S88" s="519"/>
      <c r="T88" s="519"/>
      <c r="U88" s="519"/>
      <c r="V88" s="519"/>
      <c r="W88" s="519"/>
      <c r="X88" s="519"/>
      <c r="Y88" s="519"/>
      <c r="Z88" s="519"/>
      <c r="AA88" s="519"/>
      <c r="AB88" s="519"/>
      <c r="AC88" s="519"/>
      <c r="AD88" s="519"/>
      <c r="AE88" s="519"/>
      <c r="AF88" s="519"/>
      <c r="AG88" s="519"/>
      <c r="AH88" s="519"/>
      <c r="AI88" s="519"/>
      <c r="AJ88" s="519"/>
      <c r="AK88" s="519"/>
      <c r="AL88" s="519"/>
      <c r="AM88" s="519"/>
      <c r="AN88" s="519"/>
      <c r="AO88" s="519"/>
      <c r="AP88" s="519"/>
      <c r="AQ88" s="519"/>
      <c r="AR88" s="519"/>
      <c r="AS88" s="519"/>
      <c r="AT88" s="519"/>
      <c r="AU88" s="519"/>
      <c r="AV88" s="519"/>
      <c r="AW88" s="519"/>
      <c r="AX88" s="519"/>
      <c r="AY88" s="519"/>
      <c r="AZ88" s="519"/>
      <c r="BA88" s="519"/>
      <c r="BB88" s="519"/>
      <c r="BC88" s="519"/>
      <c r="BD88" s="519"/>
      <c r="BE88" s="519"/>
      <c r="BF88" s="519"/>
      <c r="BG88" s="519"/>
      <c r="BH88" s="519"/>
      <c r="BI88" s="519"/>
      <c r="BJ88" s="519"/>
      <c r="BK88" s="519"/>
      <c r="BL88" s="519"/>
      <c r="BM88" s="519"/>
      <c r="BN88" s="519"/>
      <c r="BO88" s="519"/>
      <c r="BP88" s="519"/>
      <c r="BQ88" s="519"/>
      <c r="BR88" s="519"/>
      <c r="BS88" s="519"/>
      <c r="BT88" s="519"/>
      <c r="BU88" s="519"/>
      <c r="BV88" s="519"/>
      <c r="BW88" s="519"/>
      <c r="BX88" s="519"/>
      <c r="BY88" s="519"/>
      <c r="BZ88" s="519"/>
      <c r="CA88" s="519"/>
      <c r="CB88" s="519"/>
      <c r="CC88" s="519"/>
      <c r="CD88" s="519"/>
      <c r="CE88" s="519"/>
      <c r="CF88" s="519"/>
      <c r="CG88" s="519"/>
      <c r="CH88" s="519"/>
      <c r="CI88" s="519"/>
      <c r="CJ88" s="519"/>
      <c r="CK88" s="519"/>
      <c r="CL88" s="519"/>
      <c r="CM88" s="519"/>
      <c r="CN88" s="519"/>
      <c r="CO88" s="519"/>
      <c r="CP88" s="519"/>
      <c r="CQ88" s="519"/>
      <c r="CR88" s="519"/>
      <c r="CS88" s="519"/>
      <c r="CT88" s="519"/>
      <c r="CU88" s="519"/>
      <c r="CV88" s="519"/>
      <c r="CW88" s="519"/>
    </row>
    <row r="89" spans="5:101" s="536" customFormat="1" ht="15.75">
      <c r="E89" s="556">
        <v>3307</v>
      </c>
      <c r="F89" s="550" t="s">
        <v>97</v>
      </c>
      <c r="G89" s="541">
        <v>1005574.0759667043</v>
      </c>
      <c r="H89" s="541">
        <v>13952.826942355889</v>
      </c>
      <c r="I89" s="541">
        <v>5619.6172248803823</v>
      </c>
      <c r="J89" s="541"/>
      <c r="K89" s="541">
        <v>10868.260467836255</v>
      </c>
      <c r="L89" s="541">
        <v>1456.0756892230559</v>
      </c>
      <c r="M89" s="541">
        <f t="shared" si="3"/>
        <v>31897</v>
      </c>
      <c r="N89" s="541">
        <f t="shared" si="4"/>
        <v>1037471.0759667043</v>
      </c>
      <c r="O89" s="542">
        <f t="shared" si="5"/>
        <v>1037471</v>
      </c>
      <c r="P89" s="519"/>
      <c r="Q89" s="519"/>
      <c r="R89" s="519"/>
      <c r="S89" s="519"/>
      <c r="T89" s="519"/>
      <c r="U89" s="519"/>
      <c r="V89" s="519"/>
      <c r="W89" s="519"/>
      <c r="X89" s="519"/>
      <c r="Y89" s="519"/>
      <c r="Z89" s="519"/>
      <c r="AA89" s="519"/>
      <c r="AB89" s="519"/>
      <c r="AC89" s="519"/>
      <c r="AD89" s="519"/>
      <c r="AE89" s="519"/>
      <c r="AF89" s="519"/>
      <c r="AG89" s="519"/>
      <c r="AH89" s="519"/>
      <c r="AI89" s="519"/>
      <c r="AJ89" s="519"/>
      <c r="AK89" s="519"/>
      <c r="AL89" s="519"/>
      <c r="AM89" s="519"/>
      <c r="AN89" s="519"/>
      <c r="AO89" s="519"/>
      <c r="AP89" s="519"/>
      <c r="AQ89" s="519"/>
      <c r="AR89" s="519"/>
      <c r="AS89" s="519"/>
      <c r="AT89" s="519"/>
      <c r="AU89" s="519"/>
      <c r="AV89" s="519"/>
      <c r="AW89" s="519"/>
      <c r="AX89" s="519"/>
      <c r="AY89" s="519"/>
      <c r="AZ89" s="519"/>
      <c r="BA89" s="519"/>
      <c r="BB89" s="519"/>
      <c r="BC89" s="519"/>
      <c r="BD89" s="519"/>
      <c r="BE89" s="519"/>
      <c r="BF89" s="519"/>
      <c r="BG89" s="519"/>
      <c r="BH89" s="519"/>
      <c r="BI89" s="519"/>
      <c r="BJ89" s="519"/>
      <c r="BK89" s="519"/>
      <c r="BL89" s="519"/>
      <c r="BM89" s="519"/>
      <c r="BN89" s="519"/>
      <c r="BO89" s="519"/>
      <c r="BP89" s="519"/>
      <c r="BQ89" s="519"/>
      <c r="BR89" s="519"/>
      <c r="BS89" s="519"/>
      <c r="BT89" s="519"/>
      <c r="BU89" s="519"/>
      <c r="BV89" s="519"/>
      <c r="BW89" s="519"/>
      <c r="BX89" s="519"/>
      <c r="BY89" s="519"/>
      <c r="BZ89" s="519"/>
      <c r="CA89" s="519"/>
      <c r="CB89" s="519"/>
      <c r="CC89" s="519"/>
      <c r="CD89" s="519"/>
      <c r="CE89" s="519"/>
      <c r="CF89" s="519"/>
      <c r="CG89" s="519"/>
      <c r="CH89" s="519"/>
      <c r="CI89" s="519"/>
      <c r="CJ89" s="519"/>
      <c r="CK89" s="519"/>
      <c r="CL89" s="519"/>
      <c r="CM89" s="519"/>
      <c r="CN89" s="519"/>
      <c r="CO89" s="519"/>
      <c r="CP89" s="519"/>
      <c r="CQ89" s="519"/>
      <c r="CR89" s="519"/>
      <c r="CS89" s="519"/>
      <c r="CT89" s="519"/>
      <c r="CU89" s="519"/>
      <c r="CV89" s="519"/>
      <c r="CW89" s="519"/>
    </row>
    <row r="90" spans="5:101" s="536" customFormat="1" ht="15.75">
      <c r="E90" s="556">
        <v>3309</v>
      </c>
      <c r="F90" s="553" t="s">
        <v>98</v>
      </c>
      <c r="G90" s="541">
        <v>1151617.7826249925</v>
      </c>
      <c r="H90" s="541">
        <v>14880.582350613378</v>
      </c>
      <c r="I90" s="541">
        <v>-2041.2322274881471</v>
      </c>
      <c r="J90" s="541"/>
      <c r="K90" s="541">
        <v>7573.9089566020266</v>
      </c>
      <c r="L90" s="541">
        <v>-3326.4615275029723</v>
      </c>
      <c r="M90" s="541">
        <f t="shared" si="3"/>
        <v>17087</v>
      </c>
      <c r="N90" s="541">
        <f t="shared" si="4"/>
        <v>1168704.7826249925</v>
      </c>
      <c r="O90" s="542">
        <f t="shared" si="5"/>
        <v>1168705</v>
      </c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19"/>
      <c r="AA90" s="519"/>
      <c r="AB90" s="519"/>
      <c r="AC90" s="519"/>
      <c r="AD90" s="519"/>
      <c r="AE90" s="519"/>
      <c r="AF90" s="519"/>
      <c r="AG90" s="519"/>
      <c r="AH90" s="519"/>
      <c r="AI90" s="519"/>
      <c r="AJ90" s="519"/>
      <c r="AK90" s="519"/>
      <c r="AL90" s="519"/>
      <c r="AM90" s="519"/>
      <c r="AN90" s="519"/>
      <c r="AO90" s="519"/>
      <c r="AP90" s="519"/>
      <c r="AQ90" s="519"/>
      <c r="AR90" s="519"/>
      <c r="AS90" s="519"/>
      <c r="AT90" s="519"/>
      <c r="AU90" s="519"/>
      <c r="AV90" s="519"/>
      <c r="AW90" s="519"/>
      <c r="AX90" s="519"/>
      <c r="AY90" s="519"/>
      <c r="AZ90" s="519"/>
      <c r="BA90" s="519"/>
      <c r="BB90" s="519"/>
      <c r="BC90" s="519"/>
      <c r="BD90" s="519"/>
      <c r="BE90" s="519"/>
      <c r="BF90" s="519"/>
      <c r="BG90" s="519"/>
      <c r="BH90" s="519"/>
      <c r="BI90" s="519"/>
      <c r="BJ90" s="519"/>
      <c r="BK90" s="519"/>
      <c r="BL90" s="519"/>
      <c r="BM90" s="519"/>
      <c r="BN90" s="519"/>
      <c r="BO90" s="519"/>
      <c r="BP90" s="519"/>
      <c r="BQ90" s="519"/>
      <c r="BR90" s="519"/>
      <c r="BS90" s="519"/>
      <c r="BT90" s="519"/>
      <c r="BU90" s="519"/>
      <c r="BV90" s="519"/>
      <c r="BW90" s="519"/>
      <c r="BX90" s="519"/>
      <c r="BY90" s="519"/>
      <c r="BZ90" s="519"/>
      <c r="CA90" s="519"/>
      <c r="CB90" s="519"/>
      <c r="CC90" s="519"/>
      <c r="CD90" s="519"/>
      <c r="CE90" s="519"/>
      <c r="CF90" s="519"/>
      <c r="CG90" s="519"/>
      <c r="CH90" s="519"/>
      <c r="CI90" s="519"/>
      <c r="CJ90" s="519"/>
      <c r="CK90" s="519"/>
      <c r="CL90" s="519"/>
      <c r="CM90" s="519"/>
      <c r="CN90" s="519"/>
      <c r="CO90" s="519"/>
      <c r="CP90" s="519"/>
      <c r="CQ90" s="519"/>
      <c r="CR90" s="519"/>
      <c r="CS90" s="519"/>
      <c r="CT90" s="519"/>
      <c r="CU90" s="519"/>
      <c r="CV90" s="519"/>
      <c r="CW90" s="519"/>
    </row>
    <row r="91" spans="5:101" s="536" customFormat="1" ht="15.75">
      <c r="E91" s="556">
        <v>3509</v>
      </c>
      <c r="F91" s="550" t="s">
        <v>100</v>
      </c>
      <c r="G91" s="541">
        <v>2111182.7976621184</v>
      </c>
      <c r="H91" s="541">
        <v>45543.595687748762</v>
      </c>
      <c r="I91" s="541">
        <v>-3480.0000000000109</v>
      </c>
      <c r="J91" s="541"/>
      <c r="K91" s="541">
        <v>-11513.183157894737</v>
      </c>
      <c r="L91" s="541">
        <v>3507.1100103199274</v>
      </c>
      <c r="M91" s="541">
        <f t="shared" si="3"/>
        <v>34058</v>
      </c>
      <c r="N91" s="541">
        <f t="shared" si="4"/>
        <v>2145240.7976621184</v>
      </c>
      <c r="O91" s="542">
        <f t="shared" si="5"/>
        <v>2145241</v>
      </c>
      <c r="P91" s="519"/>
      <c r="Q91" s="519"/>
      <c r="R91" s="519"/>
      <c r="S91" s="519"/>
      <c r="T91" s="519"/>
      <c r="U91" s="519"/>
      <c r="V91" s="519"/>
      <c r="W91" s="519"/>
      <c r="X91" s="519"/>
      <c r="Y91" s="519"/>
      <c r="Z91" s="519"/>
      <c r="AA91" s="519"/>
      <c r="AB91" s="519"/>
      <c r="AC91" s="519"/>
      <c r="AD91" s="519"/>
      <c r="AE91" s="519"/>
      <c r="AF91" s="519"/>
      <c r="AG91" s="519"/>
      <c r="AH91" s="519"/>
      <c r="AI91" s="519"/>
      <c r="AJ91" s="519"/>
      <c r="AK91" s="519"/>
      <c r="AL91" s="519"/>
      <c r="AM91" s="519"/>
      <c r="AN91" s="519"/>
      <c r="AO91" s="519"/>
      <c r="AP91" s="519"/>
      <c r="AQ91" s="519"/>
      <c r="AR91" s="519"/>
      <c r="AS91" s="519"/>
      <c r="AT91" s="519"/>
      <c r="AU91" s="519"/>
      <c r="AV91" s="519"/>
      <c r="AW91" s="519"/>
      <c r="AX91" s="519"/>
      <c r="AY91" s="519"/>
      <c r="AZ91" s="519"/>
      <c r="BA91" s="519"/>
      <c r="BB91" s="519"/>
      <c r="BC91" s="519"/>
      <c r="BD91" s="519"/>
      <c r="BE91" s="519"/>
      <c r="BF91" s="519"/>
      <c r="BG91" s="519"/>
      <c r="BH91" s="519"/>
      <c r="BI91" s="519"/>
      <c r="BJ91" s="519"/>
      <c r="BK91" s="519"/>
      <c r="BL91" s="519"/>
      <c r="BM91" s="519"/>
      <c r="BN91" s="519"/>
      <c r="BO91" s="519"/>
      <c r="BP91" s="519"/>
      <c r="BQ91" s="519"/>
      <c r="BR91" s="519"/>
      <c r="BS91" s="519"/>
      <c r="BT91" s="519"/>
      <c r="BU91" s="519"/>
      <c r="BV91" s="519"/>
      <c r="BW91" s="519"/>
      <c r="BX91" s="519"/>
      <c r="BY91" s="519"/>
      <c r="BZ91" s="519"/>
      <c r="CA91" s="519"/>
      <c r="CB91" s="519"/>
      <c r="CC91" s="519"/>
      <c r="CD91" s="519"/>
      <c r="CE91" s="519"/>
      <c r="CF91" s="519"/>
      <c r="CG91" s="519"/>
      <c r="CH91" s="519"/>
      <c r="CI91" s="519"/>
      <c r="CJ91" s="519"/>
      <c r="CK91" s="519"/>
      <c r="CL91" s="519"/>
      <c r="CM91" s="519"/>
      <c r="CN91" s="519"/>
      <c r="CO91" s="519"/>
      <c r="CP91" s="519"/>
      <c r="CQ91" s="519"/>
      <c r="CR91" s="519"/>
      <c r="CS91" s="519"/>
      <c r="CT91" s="519"/>
      <c r="CU91" s="519"/>
      <c r="CV91" s="519"/>
      <c r="CW91" s="519"/>
    </row>
    <row r="92" spans="5:101" s="536" customFormat="1" ht="15.75">
      <c r="E92" s="556">
        <v>3521</v>
      </c>
      <c r="F92" s="547" t="s">
        <v>1571</v>
      </c>
      <c r="G92" s="541">
        <v>2724617.8698654701</v>
      </c>
      <c r="H92" s="541">
        <v>262352.36544297333</v>
      </c>
      <c r="I92" s="541">
        <v>1697.0588235294563</v>
      </c>
      <c r="J92" s="541"/>
      <c r="K92" s="541">
        <v>14253.369999999999</v>
      </c>
      <c r="L92" s="541">
        <v>6928.5868421052628</v>
      </c>
      <c r="M92" s="541">
        <f t="shared" si="3"/>
        <v>285231</v>
      </c>
      <c r="N92" s="541">
        <f t="shared" si="4"/>
        <v>3009848.8698654701</v>
      </c>
      <c r="O92" s="542">
        <f t="shared" si="5"/>
        <v>3009849</v>
      </c>
      <c r="P92" s="519"/>
      <c r="Q92" s="519"/>
      <c r="R92" s="519"/>
      <c r="S92" s="519"/>
      <c r="T92" s="519"/>
      <c r="U92" s="519"/>
      <c r="V92" s="519"/>
      <c r="W92" s="519"/>
      <c r="X92" s="519"/>
      <c r="Y92" s="519"/>
      <c r="Z92" s="519"/>
      <c r="AA92" s="519"/>
      <c r="AB92" s="519"/>
      <c r="AC92" s="519"/>
      <c r="AD92" s="519"/>
      <c r="AE92" s="519"/>
      <c r="AF92" s="519"/>
      <c r="AG92" s="519"/>
      <c r="AH92" s="519"/>
      <c r="AI92" s="519"/>
      <c r="AJ92" s="519"/>
      <c r="AK92" s="519"/>
      <c r="AL92" s="519"/>
      <c r="AM92" s="519"/>
      <c r="AN92" s="519"/>
      <c r="AO92" s="519"/>
      <c r="AP92" s="519"/>
      <c r="AQ92" s="519"/>
      <c r="AR92" s="519"/>
      <c r="AS92" s="519"/>
      <c r="AT92" s="519"/>
      <c r="AU92" s="519"/>
      <c r="AV92" s="519"/>
      <c r="AW92" s="519"/>
      <c r="AX92" s="519"/>
      <c r="AY92" s="519"/>
      <c r="AZ92" s="519"/>
      <c r="BA92" s="519"/>
      <c r="BB92" s="519"/>
      <c r="BC92" s="519"/>
      <c r="BD92" s="519"/>
      <c r="BE92" s="519"/>
      <c r="BF92" s="519"/>
      <c r="BG92" s="519"/>
      <c r="BH92" s="519"/>
      <c r="BI92" s="519"/>
      <c r="BJ92" s="519"/>
      <c r="BK92" s="519"/>
      <c r="BL92" s="519"/>
      <c r="BM92" s="519"/>
      <c r="BN92" s="519"/>
      <c r="BO92" s="519"/>
      <c r="BP92" s="519"/>
      <c r="BQ92" s="519"/>
      <c r="BR92" s="519"/>
      <c r="BS92" s="519"/>
      <c r="BT92" s="519"/>
      <c r="BU92" s="519"/>
      <c r="BV92" s="519"/>
      <c r="BW92" s="519"/>
      <c r="BX92" s="519"/>
      <c r="BY92" s="519"/>
      <c r="BZ92" s="519"/>
      <c r="CA92" s="519"/>
      <c r="CB92" s="519"/>
      <c r="CC92" s="519"/>
      <c r="CD92" s="519"/>
      <c r="CE92" s="519"/>
      <c r="CF92" s="519"/>
      <c r="CG92" s="519"/>
      <c r="CH92" s="519"/>
      <c r="CI92" s="519"/>
      <c r="CJ92" s="519"/>
      <c r="CK92" s="519"/>
      <c r="CL92" s="519"/>
      <c r="CM92" s="519"/>
      <c r="CN92" s="519"/>
      <c r="CO92" s="519"/>
      <c r="CP92" s="519"/>
      <c r="CQ92" s="519"/>
      <c r="CR92" s="519"/>
      <c r="CS92" s="519"/>
      <c r="CT92" s="519"/>
      <c r="CU92" s="519"/>
      <c r="CV92" s="519"/>
      <c r="CW92" s="519"/>
    </row>
    <row r="93" spans="5:101" s="536" customFormat="1" ht="15.75">
      <c r="E93" s="556">
        <v>3311</v>
      </c>
      <c r="F93" s="550" t="s">
        <v>103</v>
      </c>
      <c r="G93" s="541">
        <v>1861781.2143074269</v>
      </c>
      <c r="H93" s="541">
        <v>42568.698300836841</v>
      </c>
      <c r="I93" s="541">
        <v>-5146.8749999999854</v>
      </c>
      <c r="J93" s="541"/>
      <c r="K93" s="541">
        <v>-4243.9249598572696</v>
      </c>
      <c r="L93" s="541">
        <v>4404.631536638195</v>
      </c>
      <c r="M93" s="541">
        <f t="shared" si="3"/>
        <v>37583</v>
      </c>
      <c r="N93" s="541">
        <f t="shared" si="4"/>
        <v>1899364.2143074269</v>
      </c>
      <c r="O93" s="542">
        <f t="shared" si="5"/>
        <v>1899364</v>
      </c>
      <c r="P93" s="519"/>
      <c r="Q93" s="519"/>
      <c r="R93" s="519"/>
      <c r="S93" s="519"/>
      <c r="T93" s="519"/>
      <c r="U93" s="519"/>
      <c r="V93" s="519"/>
      <c r="W93" s="519"/>
      <c r="X93" s="519"/>
      <c r="Y93" s="519"/>
      <c r="Z93" s="519"/>
      <c r="AA93" s="519"/>
      <c r="AB93" s="519"/>
      <c r="AC93" s="519"/>
      <c r="AD93" s="519"/>
      <c r="AE93" s="519"/>
      <c r="AF93" s="519"/>
      <c r="AG93" s="519"/>
      <c r="AH93" s="519"/>
      <c r="AI93" s="519"/>
      <c r="AJ93" s="519"/>
      <c r="AK93" s="519"/>
      <c r="AL93" s="519"/>
      <c r="AM93" s="519"/>
      <c r="AN93" s="519"/>
      <c r="AO93" s="519"/>
      <c r="AP93" s="519"/>
      <c r="AQ93" s="519"/>
      <c r="AR93" s="519"/>
      <c r="AS93" s="519"/>
      <c r="AT93" s="519"/>
      <c r="AU93" s="519"/>
      <c r="AV93" s="519"/>
      <c r="AW93" s="519"/>
      <c r="AX93" s="519"/>
      <c r="AY93" s="519"/>
      <c r="AZ93" s="519"/>
      <c r="BA93" s="519"/>
      <c r="BB93" s="519"/>
      <c r="BC93" s="519"/>
      <c r="BD93" s="519"/>
      <c r="BE93" s="519"/>
      <c r="BF93" s="519"/>
      <c r="BG93" s="519"/>
      <c r="BH93" s="519"/>
      <c r="BI93" s="519"/>
      <c r="BJ93" s="519"/>
      <c r="BK93" s="519"/>
      <c r="BL93" s="519"/>
      <c r="BM93" s="519"/>
      <c r="BN93" s="519"/>
      <c r="BO93" s="519"/>
      <c r="BP93" s="519"/>
      <c r="BQ93" s="519"/>
      <c r="BR93" s="519"/>
      <c r="BS93" s="519"/>
      <c r="BT93" s="519"/>
      <c r="BU93" s="519"/>
      <c r="BV93" s="519"/>
      <c r="BW93" s="519"/>
      <c r="BX93" s="519"/>
      <c r="BY93" s="519"/>
      <c r="BZ93" s="519"/>
      <c r="CA93" s="519"/>
      <c r="CB93" s="519"/>
      <c r="CC93" s="519"/>
      <c r="CD93" s="519"/>
      <c r="CE93" s="519"/>
      <c r="CF93" s="519"/>
      <c r="CG93" s="519"/>
      <c r="CH93" s="519"/>
      <c r="CI93" s="519"/>
      <c r="CJ93" s="519"/>
      <c r="CK93" s="519"/>
      <c r="CL93" s="519"/>
      <c r="CM93" s="519"/>
      <c r="CN93" s="519"/>
      <c r="CO93" s="519"/>
      <c r="CP93" s="519"/>
      <c r="CQ93" s="519"/>
      <c r="CR93" s="519"/>
      <c r="CS93" s="519"/>
      <c r="CT93" s="519"/>
      <c r="CU93" s="519"/>
      <c r="CV93" s="519"/>
      <c r="CW93" s="519"/>
    </row>
    <row r="94" spans="5:101" s="536" customFormat="1" ht="15.75">
      <c r="E94" s="556">
        <v>3312</v>
      </c>
      <c r="F94" s="550" t="s">
        <v>102</v>
      </c>
      <c r="G94" s="541">
        <v>1005078.6106394335</v>
      </c>
      <c r="H94" s="541">
        <v>18629.333333333332</v>
      </c>
      <c r="I94" s="541">
        <v>2329.9065420560764</v>
      </c>
      <c r="J94" s="541"/>
      <c r="K94" s="541">
        <v>612</v>
      </c>
      <c r="L94" s="541">
        <v>621</v>
      </c>
      <c r="M94" s="541">
        <f t="shared" si="3"/>
        <v>22192</v>
      </c>
      <c r="N94" s="541">
        <f t="shared" si="4"/>
        <v>1027270.6106394335</v>
      </c>
      <c r="O94" s="542">
        <f t="shared" si="5"/>
        <v>1027271</v>
      </c>
      <c r="P94" s="519"/>
      <c r="Q94" s="519"/>
      <c r="R94" s="519"/>
      <c r="S94" s="519"/>
      <c r="T94" s="519"/>
      <c r="U94" s="519"/>
      <c r="V94" s="519"/>
      <c r="W94" s="519"/>
      <c r="X94" s="519"/>
      <c r="Y94" s="519"/>
      <c r="Z94" s="519"/>
      <c r="AA94" s="519"/>
      <c r="AB94" s="519"/>
      <c r="AC94" s="519"/>
      <c r="AD94" s="519"/>
      <c r="AE94" s="519"/>
      <c r="AF94" s="519"/>
      <c r="AG94" s="519"/>
      <c r="AH94" s="519"/>
      <c r="AI94" s="519"/>
      <c r="AJ94" s="519"/>
      <c r="AK94" s="519"/>
      <c r="AL94" s="519"/>
      <c r="AM94" s="519"/>
      <c r="AN94" s="519"/>
      <c r="AO94" s="519"/>
      <c r="AP94" s="519"/>
      <c r="AQ94" s="519"/>
      <c r="AR94" s="519"/>
      <c r="AS94" s="519"/>
      <c r="AT94" s="519"/>
      <c r="AU94" s="519"/>
      <c r="AV94" s="519"/>
      <c r="AW94" s="519"/>
      <c r="AX94" s="519"/>
      <c r="AY94" s="519"/>
      <c r="AZ94" s="519"/>
      <c r="BA94" s="519"/>
      <c r="BB94" s="519"/>
      <c r="BC94" s="519"/>
      <c r="BD94" s="519"/>
      <c r="BE94" s="519"/>
      <c r="BF94" s="519"/>
      <c r="BG94" s="519"/>
      <c r="BH94" s="519"/>
      <c r="BI94" s="519"/>
      <c r="BJ94" s="519"/>
      <c r="BK94" s="519"/>
      <c r="BL94" s="519"/>
      <c r="BM94" s="519"/>
      <c r="BN94" s="519"/>
      <c r="BO94" s="519"/>
      <c r="BP94" s="519"/>
      <c r="BQ94" s="519"/>
      <c r="BR94" s="519"/>
      <c r="BS94" s="519"/>
      <c r="BT94" s="519"/>
      <c r="BU94" s="519"/>
      <c r="BV94" s="519"/>
      <c r="BW94" s="519"/>
      <c r="BX94" s="519"/>
      <c r="BY94" s="519"/>
      <c r="BZ94" s="519"/>
      <c r="CA94" s="519"/>
      <c r="CB94" s="519"/>
      <c r="CC94" s="519"/>
      <c r="CD94" s="519"/>
      <c r="CE94" s="519"/>
      <c r="CF94" s="519"/>
      <c r="CG94" s="519"/>
      <c r="CH94" s="519"/>
      <c r="CI94" s="519"/>
      <c r="CJ94" s="519"/>
      <c r="CK94" s="519"/>
      <c r="CL94" s="519"/>
      <c r="CM94" s="519"/>
      <c r="CN94" s="519"/>
      <c r="CO94" s="519"/>
      <c r="CP94" s="519"/>
      <c r="CQ94" s="519"/>
      <c r="CR94" s="519"/>
      <c r="CS94" s="519"/>
      <c r="CT94" s="519"/>
      <c r="CU94" s="519"/>
      <c r="CV94" s="519"/>
      <c r="CW94" s="519"/>
    </row>
    <row r="95" spans="5:101" s="536" customFormat="1" ht="15.75">
      <c r="E95" s="556">
        <v>3314</v>
      </c>
      <c r="F95" s="552" t="s">
        <v>105</v>
      </c>
      <c r="G95" s="541">
        <v>959779.43791277707</v>
      </c>
      <c r="H95" s="541">
        <v>19738.25</v>
      </c>
      <c r="I95" s="541">
        <v>-4201.4492753623153</v>
      </c>
      <c r="J95" s="541"/>
      <c r="K95" s="541">
        <v>-10628.666666666672</v>
      </c>
      <c r="L95" s="541">
        <v>6543.6666666666642</v>
      </c>
      <c r="M95" s="541">
        <f t="shared" si="3"/>
        <v>11452</v>
      </c>
      <c r="N95" s="541">
        <f t="shared" si="4"/>
        <v>971231.43791277707</v>
      </c>
      <c r="O95" s="542">
        <f t="shared" si="5"/>
        <v>971231</v>
      </c>
      <c r="P95" s="519"/>
      <c r="Q95" s="519"/>
      <c r="R95" s="519"/>
      <c r="S95" s="519"/>
      <c r="T95" s="519"/>
      <c r="U95" s="519"/>
      <c r="V95" s="519"/>
      <c r="W95" s="519"/>
      <c r="X95" s="519"/>
      <c r="Y95" s="519"/>
      <c r="Z95" s="519"/>
      <c r="AA95" s="519"/>
      <c r="AB95" s="519"/>
      <c r="AC95" s="519"/>
      <c r="AD95" s="519"/>
      <c r="AE95" s="519"/>
      <c r="AF95" s="519"/>
      <c r="AG95" s="519"/>
      <c r="AH95" s="519"/>
      <c r="AI95" s="519"/>
      <c r="AJ95" s="519"/>
      <c r="AK95" s="519"/>
      <c r="AL95" s="519"/>
      <c r="AM95" s="519"/>
      <c r="AN95" s="519"/>
      <c r="AO95" s="519"/>
      <c r="AP95" s="519"/>
      <c r="AQ95" s="519"/>
      <c r="AR95" s="519"/>
      <c r="AS95" s="519"/>
      <c r="AT95" s="519"/>
      <c r="AU95" s="519"/>
      <c r="AV95" s="519"/>
      <c r="AW95" s="519"/>
      <c r="AX95" s="519"/>
      <c r="AY95" s="519"/>
      <c r="AZ95" s="519"/>
      <c r="BA95" s="519"/>
      <c r="BB95" s="519"/>
      <c r="BC95" s="519"/>
      <c r="BD95" s="519"/>
      <c r="BE95" s="519"/>
      <c r="BF95" s="519"/>
      <c r="BG95" s="519"/>
      <c r="BH95" s="519"/>
      <c r="BI95" s="519"/>
      <c r="BJ95" s="519"/>
      <c r="BK95" s="519"/>
      <c r="BL95" s="519"/>
      <c r="BM95" s="519"/>
      <c r="BN95" s="519"/>
      <c r="BO95" s="519"/>
      <c r="BP95" s="519"/>
      <c r="BQ95" s="519"/>
      <c r="BR95" s="519"/>
      <c r="BS95" s="519"/>
      <c r="BT95" s="519"/>
      <c r="BU95" s="519"/>
      <c r="BV95" s="519"/>
      <c r="BW95" s="519"/>
      <c r="BX95" s="519"/>
      <c r="BY95" s="519"/>
      <c r="BZ95" s="519"/>
      <c r="CA95" s="519"/>
      <c r="CB95" s="519"/>
      <c r="CC95" s="519"/>
      <c r="CD95" s="519"/>
      <c r="CE95" s="519"/>
      <c r="CF95" s="519"/>
      <c r="CG95" s="519"/>
      <c r="CH95" s="519"/>
      <c r="CI95" s="519"/>
      <c r="CJ95" s="519"/>
      <c r="CK95" s="519"/>
      <c r="CL95" s="519"/>
      <c r="CM95" s="519"/>
      <c r="CN95" s="519"/>
      <c r="CO95" s="519"/>
      <c r="CP95" s="519"/>
      <c r="CQ95" s="519"/>
      <c r="CR95" s="519"/>
      <c r="CS95" s="519"/>
      <c r="CT95" s="519"/>
      <c r="CU95" s="519"/>
      <c r="CV95" s="519"/>
      <c r="CW95" s="519"/>
    </row>
    <row r="96" spans="5:101" s="536" customFormat="1" ht="15.75">
      <c r="E96" s="556">
        <v>3313</v>
      </c>
      <c r="F96" s="550" t="s">
        <v>104</v>
      </c>
      <c r="G96" s="541">
        <v>1156553.4347995925</v>
      </c>
      <c r="H96" s="541">
        <v>26777.515826330535</v>
      </c>
      <c r="I96" s="541">
        <v>2262.2549019607773</v>
      </c>
      <c r="J96" s="541"/>
      <c r="K96" s="541">
        <v>-6819.7354592363308</v>
      </c>
      <c r="L96" s="541">
        <v>-3353.3485183547082</v>
      </c>
      <c r="M96" s="541">
        <f t="shared" si="3"/>
        <v>18867</v>
      </c>
      <c r="N96" s="541">
        <f t="shared" si="4"/>
        <v>1175420.4347995925</v>
      </c>
      <c r="O96" s="542">
        <f t="shared" si="5"/>
        <v>1175420</v>
      </c>
      <c r="P96" s="519"/>
      <c r="Q96" s="519"/>
      <c r="R96" s="519"/>
      <c r="S96" s="519"/>
      <c r="T96" s="519"/>
      <c r="U96" s="519"/>
      <c r="V96" s="519"/>
      <c r="W96" s="519"/>
      <c r="X96" s="519"/>
      <c r="Y96" s="519"/>
      <c r="Z96" s="519"/>
      <c r="AA96" s="519"/>
      <c r="AB96" s="519"/>
      <c r="AC96" s="519"/>
      <c r="AD96" s="519"/>
      <c r="AE96" s="519"/>
      <c r="AF96" s="519"/>
      <c r="AG96" s="519"/>
      <c r="AH96" s="519"/>
      <c r="AI96" s="519"/>
      <c r="AJ96" s="519"/>
      <c r="AK96" s="519"/>
      <c r="AL96" s="519"/>
      <c r="AM96" s="519"/>
      <c r="AN96" s="519"/>
      <c r="AO96" s="519"/>
      <c r="AP96" s="519"/>
      <c r="AQ96" s="519"/>
      <c r="AR96" s="519"/>
      <c r="AS96" s="519"/>
      <c r="AT96" s="519"/>
      <c r="AU96" s="519"/>
      <c r="AV96" s="519"/>
      <c r="AW96" s="519"/>
      <c r="AX96" s="519"/>
      <c r="AY96" s="519"/>
      <c r="AZ96" s="519"/>
      <c r="BA96" s="519"/>
      <c r="BB96" s="519"/>
      <c r="BC96" s="519"/>
      <c r="BD96" s="519"/>
      <c r="BE96" s="519"/>
      <c r="BF96" s="519"/>
      <c r="BG96" s="519"/>
      <c r="BH96" s="519"/>
      <c r="BI96" s="519"/>
      <c r="BJ96" s="519"/>
      <c r="BK96" s="519"/>
      <c r="BL96" s="519"/>
      <c r="BM96" s="519"/>
      <c r="BN96" s="519"/>
      <c r="BO96" s="519"/>
      <c r="BP96" s="519"/>
      <c r="BQ96" s="519"/>
      <c r="BR96" s="519"/>
      <c r="BS96" s="519"/>
      <c r="BT96" s="519"/>
      <c r="BU96" s="519"/>
      <c r="BV96" s="519"/>
      <c r="BW96" s="519"/>
      <c r="BX96" s="519"/>
      <c r="BY96" s="519"/>
      <c r="BZ96" s="519"/>
      <c r="CA96" s="519"/>
      <c r="CB96" s="519"/>
      <c r="CC96" s="519"/>
      <c r="CD96" s="519"/>
      <c r="CE96" s="519"/>
      <c r="CF96" s="519"/>
      <c r="CG96" s="519"/>
      <c r="CH96" s="519"/>
      <c r="CI96" s="519"/>
      <c r="CJ96" s="519"/>
      <c r="CK96" s="519"/>
      <c r="CL96" s="519"/>
      <c r="CM96" s="519"/>
      <c r="CN96" s="519"/>
      <c r="CO96" s="519"/>
      <c r="CP96" s="519"/>
      <c r="CQ96" s="519"/>
      <c r="CR96" s="519"/>
      <c r="CS96" s="519"/>
      <c r="CT96" s="519"/>
      <c r="CU96" s="519"/>
      <c r="CV96" s="519"/>
      <c r="CW96" s="519"/>
    </row>
    <row r="97" spans="4:101" s="536" customFormat="1" ht="15.75">
      <c r="E97" s="556">
        <v>3506</v>
      </c>
      <c r="F97" s="552" t="s">
        <v>107</v>
      </c>
      <c r="G97" s="541">
        <v>1468186.5512773416</v>
      </c>
      <c r="H97" s="541">
        <v>23298.500000000011</v>
      </c>
      <c r="I97" s="541">
        <v>7645.9807073955008</v>
      </c>
      <c r="J97" s="541"/>
      <c r="K97" s="541">
        <v>-17522.333333333343</v>
      </c>
      <c r="L97" s="541">
        <v>3386.6666666666715</v>
      </c>
      <c r="M97" s="541">
        <f t="shared" si="3"/>
        <v>16809</v>
      </c>
      <c r="N97" s="541">
        <f t="shared" si="4"/>
        <v>1484995.5512773416</v>
      </c>
      <c r="O97" s="542">
        <f t="shared" si="5"/>
        <v>1484996</v>
      </c>
      <c r="P97" s="519"/>
      <c r="Q97" s="519"/>
      <c r="R97" s="519"/>
      <c r="S97" s="519"/>
      <c r="T97" s="519"/>
      <c r="U97" s="519"/>
      <c r="V97" s="519"/>
      <c r="W97" s="519"/>
      <c r="X97" s="519"/>
      <c r="Y97" s="519"/>
      <c r="Z97" s="519"/>
      <c r="AA97" s="519"/>
      <c r="AB97" s="519"/>
      <c r="AC97" s="519"/>
      <c r="AD97" s="519"/>
      <c r="AE97" s="519"/>
      <c r="AF97" s="519"/>
      <c r="AG97" s="519"/>
      <c r="AH97" s="519"/>
      <c r="AI97" s="519"/>
      <c r="AJ97" s="519"/>
      <c r="AK97" s="519"/>
      <c r="AL97" s="519"/>
      <c r="AM97" s="519"/>
      <c r="AN97" s="519"/>
      <c r="AO97" s="519"/>
      <c r="AP97" s="519"/>
      <c r="AQ97" s="519"/>
      <c r="AR97" s="519"/>
      <c r="AS97" s="519"/>
      <c r="AT97" s="519"/>
      <c r="AU97" s="519"/>
      <c r="AV97" s="519"/>
      <c r="AW97" s="519"/>
      <c r="AX97" s="519"/>
      <c r="AY97" s="519"/>
      <c r="AZ97" s="519"/>
      <c r="BA97" s="519"/>
      <c r="BB97" s="519"/>
      <c r="BC97" s="519"/>
      <c r="BD97" s="519"/>
      <c r="BE97" s="519"/>
      <c r="BF97" s="519"/>
      <c r="BG97" s="519"/>
      <c r="BH97" s="519"/>
      <c r="BI97" s="519"/>
      <c r="BJ97" s="519"/>
      <c r="BK97" s="519"/>
      <c r="BL97" s="519"/>
      <c r="BM97" s="519"/>
      <c r="BN97" s="519"/>
      <c r="BO97" s="519"/>
      <c r="BP97" s="519"/>
      <c r="BQ97" s="519"/>
      <c r="BR97" s="519"/>
      <c r="BS97" s="519"/>
      <c r="BT97" s="519"/>
      <c r="BU97" s="519"/>
      <c r="BV97" s="519"/>
      <c r="BW97" s="519"/>
      <c r="BX97" s="519"/>
      <c r="BY97" s="519"/>
      <c r="BZ97" s="519"/>
      <c r="CA97" s="519"/>
      <c r="CB97" s="519"/>
      <c r="CC97" s="519"/>
      <c r="CD97" s="519"/>
      <c r="CE97" s="519"/>
      <c r="CF97" s="519"/>
      <c r="CG97" s="519"/>
      <c r="CH97" s="519"/>
      <c r="CI97" s="519"/>
      <c r="CJ97" s="519"/>
      <c r="CK97" s="519"/>
      <c r="CL97" s="519"/>
      <c r="CM97" s="519"/>
      <c r="CN97" s="519"/>
      <c r="CO97" s="519"/>
      <c r="CP97" s="519"/>
      <c r="CQ97" s="519"/>
      <c r="CR97" s="519"/>
      <c r="CS97" s="519"/>
      <c r="CT97" s="519"/>
      <c r="CU97" s="519"/>
      <c r="CV97" s="519"/>
      <c r="CW97" s="519"/>
    </row>
    <row r="98" spans="4:101" s="536" customFormat="1" ht="15.75">
      <c r="E98" s="556">
        <v>3507</v>
      </c>
      <c r="F98" s="552" t="s">
        <v>106</v>
      </c>
      <c r="G98" s="541">
        <v>1023925.0789207235</v>
      </c>
      <c r="H98" s="541">
        <v>25061.166666666668</v>
      </c>
      <c r="I98" s="541">
        <v>5347.0588235294217</v>
      </c>
      <c r="J98" s="541"/>
      <c r="K98" s="541">
        <v>5273</v>
      </c>
      <c r="L98" s="541">
        <v>736</v>
      </c>
      <c r="M98" s="541">
        <f t="shared" si="3"/>
        <v>36417</v>
      </c>
      <c r="N98" s="541">
        <f t="shared" si="4"/>
        <v>1060342.0789207234</v>
      </c>
      <c r="O98" s="542">
        <f t="shared" si="5"/>
        <v>1060342</v>
      </c>
      <c r="P98" s="519"/>
      <c r="Q98" s="519"/>
      <c r="R98" s="519"/>
      <c r="S98" s="519"/>
      <c r="T98" s="519"/>
      <c r="U98" s="519"/>
      <c r="V98" s="519"/>
      <c r="W98" s="519"/>
      <c r="X98" s="519"/>
      <c r="Y98" s="519"/>
      <c r="Z98" s="519"/>
      <c r="AA98" s="519"/>
      <c r="AB98" s="519"/>
      <c r="AC98" s="519"/>
      <c r="AD98" s="519"/>
      <c r="AE98" s="519"/>
      <c r="AF98" s="519"/>
      <c r="AG98" s="519"/>
      <c r="AH98" s="519"/>
      <c r="AI98" s="519"/>
      <c r="AJ98" s="519"/>
      <c r="AK98" s="519"/>
      <c r="AL98" s="519"/>
      <c r="AM98" s="519"/>
      <c r="AN98" s="519"/>
      <c r="AO98" s="519"/>
      <c r="AP98" s="519"/>
      <c r="AQ98" s="519"/>
      <c r="AR98" s="519"/>
      <c r="AS98" s="519"/>
      <c r="AT98" s="519"/>
      <c r="AU98" s="519"/>
      <c r="AV98" s="519"/>
      <c r="AW98" s="519"/>
      <c r="AX98" s="519"/>
      <c r="AY98" s="519"/>
      <c r="AZ98" s="519"/>
      <c r="BA98" s="519"/>
      <c r="BB98" s="519"/>
      <c r="BC98" s="519"/>
      <c r="BD98" s="519"/>
      <c r="BE98" s="519"/>
      <c r="BF98" s="519"/>
      <c r="BG98" s="519"/>
      <c r="BH98" s="519"/>
      <c r="BI98" s="519"/>
      <c r="BJ98" s="519"/>
      <c r="BK98" s="519"/>
      <c r="BL98" s="519"/>
      <c r="BM98" s="519"/>
      <c r="BN98" s="519"/>
      <c r="BO98" s="519"/>
      <c r="BP98" s="519"/>
      <c r="BQ98" s="519"/>
      <c r="BR98" s="519"/>
      <c r="BS98" s="519"/>
      <c r="BT98" s="519"/>
      <c r="BU98" s="519"/>
      <c r="BV98" s="519"/>
      <c r="BW98" s="519"/>
      <c r="BX98" s="519"/>
      <c r="BY98" s="519"/>
      <c r="BZ98" s="519"/>
      <c r="CA98" s="519"/>
      <c r="CB98" s="519"/>
      <c r="CC98" s="519"/>
      <c r="CD98" s="519"/>
      <c r="CE98" s="519"/>
      <c r="CF98" s="519"/>
      <c r="CG98" s="519"/>
      <c r="CH98" s="519"/>
      <c r="CI98" s="519"/>
      <c r="CJ98" s="519"/>
      <c r="CK98" s="519"/>
      <c r="CL98" s="519"/>
      <c r="CM98" s="519"/>
      <c r="CN98" s="519"/>
      <c r="CO98" s="519"/>
      <c r="CP98" s="519"/>
      <c r="CQ98" s="519"/>
      <c r="CR98" s="519"/>
      <c r="CS98" s="519"/>
      <c r="CT98" s="519"/>
      <c r="CU98" s="519"/>
      <c r="CV98" s="519"/>
      <c r="CW98" s="519"/>
    </row>
    <row r="99" spans="4:101" s="536" customFormat="1" ht="15.75">
      <c r="E99" s="556">
        <v>2052</v>
      </c>
      <c r="F99" s="550" t="s">
        <v>108</v>
      </c>
      <c r="G99" s="541">
        <v>2581671.2558817072</v>
      </c>
      <c r="H99" s="541">
        <v>59495.034574581608</v>
      </c>
      <c r="I99" s="541">
        <v>-8102.3255813952801</v>
      </c>
      <c r="J99" s="541"/>
      <c r="K99" s="541">
        <v>2832.2402490095992</v>
      </c>
      <c r="L99" s="541">
        <v>-5848.8926889805152</v>
      </c>
      <c r="M99" s="541">
        <f t="shared" si="3"/>
        <v>48376</v>
      </c>
      <c r="N99" s="541">
        <f t="shared" si="4"/>
        <v>2630047.2558817072</v>
      </c>
      <c r="O99" s="542">
        <f t="shared" si="5"/>
        <v>2630047</v>
      </c>
      <c r="P99" s="519"/>
      <c r="Q99" s="519"/>
      <c r="R99" s="519"/>
      <c r="S99" s="519"/>
      <c r="T99" s="519"/>
      <c r="U99" s="519"/>
      <c r="V99" s="519"/>
      <c r="W99" s="519"/>
      <c r="X99" s="519"/>
      <c r="Y99" s="519"/>
      <c r="Z99" s="519"/>
      <c r="AA99" s="519"/>
      <c r="AB99" s="519"/>
      <c r="AC99" s="519"/>
      <c r="AD99" s="519"/>
      <c r="AE99" s="519"/>
      <c r="AF99" s="519"/>
      <c r="AG99" s="519"/>
      <c r="AH99" s="519"/>
      <c r="AI99" s="519"/>
      <c r="AJ99" s="519"/>
      <c r="AK99" s="519"/>
      <c r="AL99" s="519"/>
      <c r="AM99" s="519"/>
      <c r="AN99" s="519"/>
      <c r="AO99" s="519"/>
      <c r="AP99" s="519"/>
      <c r="AQ99" s="519"/>
      <c r="AR99" s="519"/>
      <c r="AS99" s="519"/>
      <c r="AT99" s="519"/>
      <c r="AU99" s="519"/>
      <c r="AV99" s="519"/>
      <c r="AW99" s="519"/>
      <c r="AX99" s="519"/>
      <c r="AY99" s="519"/>
      <c r="AZ99" s="519"/>
      <c r="BA99" s="519"/>
      <c r="BB99" s="519"/>
      <c r="BC99" s="519"/>
      <c r="BD99" s="519"/>
      <c r="BE99" s="519"/>
      <c r="BF99" s="519"/>
      <c r="BG99" s="519"/>
      <c r="BH99" s="519"/>
      <c r="BI99" s="519"/>
      <c r="BJ99" s="519"/>
      <c r="BK99" s="519"/>
      <c r="BL99" s="519"/>
      <c r="BM99" s="519"/>
      <c r="BN99" s="519"/>
      <c r="BO99" s="519"/>
      <c r="BP99" s="519"/>
      <c r="BQ99" s="519"/>
      <c r="BR99" s="519"/>
      <c r="BS99" s="519"/>
      <c r="BT99" s="519"/>
      <c r="BU99" s="519"/>
      <c r="BV99" s="519"/>
      <c r="BW99" s="519"/>
      <c r="BX99" s="519"/>
      <c r="BY99" s="519"/>
      <c r="BZ99" s="519"/>
      <c r="CA99" s="519"/>
      <c r="CB99" s="519"/>
      <c r="CC99" s="519"/>
      <c r="CD99" s="519"/>
      <c r="CE99" s="519"/>
      <c r="CF99" s="519"/>
      <c r="CG99" s="519"/>
      <c r="CH99" s="519"/>
      <c r="CI99" s="519"/>
      <c r="CJ99" s="519"/>
      <c r="CK99" s="519"/>
      <c r="CL99" s="519"/>
      <c r="CM99" s="519"/>
      <c r="CN99" s="519"/>
      <c r="CO99" s="519"/>
      <c r="CP99" s="519"/>
      <c r="CQ99" s="519"/>
      <c r="CR99" s="519"/>
      <c r="CS99" s="519"/>
      <c r="CT99" s="519"/>
      <c r="CU99" s="519"/>
      <c r="CV99" s="519"/>
      <c r="CW99" s="519"/>
    </row>
    <row r="100" spans="4:101" s="536" customFormat="1" ht="15.75">
      <c r="E100" s="556">
        <v>2070</v>
      </c>
      <c r="F100" s="550" t="s">
        <v>109</v>
      </c>
      <c r="G100" s="541">
        <v>1329768.1259836629</v>
      </c>
      <c r="H100" s="541">
        <v>19352.391075514875</v>
      </c>
      <c r="I100" s="541">
        <v>-2076.2135922330131</v>
      </c>
      <c r="J100" s="541"/>
      <c r="K100" s="541">
        <v>9850.6288329519484</v>
      </c>
      <c r="L100" s="541">
        <v>-3053.6766372452794</v>
      </c>
      <c r="M100" s="541">
        <f t="shared" si="3"/>
        <v>24073</v>
      </c>
      <c r="N100" s="541">
        <f t="shared" si="4"/>
        <v>1353841.1259836629</v>
      </c>
      <c r="O100" s="542">
        <f t="shared" si="5"/>
        <v>1353841</v>
      </c>
      <c r="P100" s="519"/>
      <c r="Q100" s="519"/>
      <c r="R100" s="519"/>
      <c r="S100" s="519"/>
      <c r="T100" s="519"/>
      <c r="U100" s="519"/>
      <c r="V100" s="519"/>
      <c r="W100" s="519"/>
      <c r="X100" s="519"/>
      <c r="Y100" s="519"/>
      <c r="Z100" s="519"/>
      <c r="AA100" s="519"/>
      <c r="AB100" s="519"/>
      <c r="AC100" s="519"/>
      <c r="AD100" s="519"/>
      <c r="AE100" s="519"/>
      <c r="AF100" s="519"/>
      <c r="AG100" s="519"/>
      <c r="AH100" s="519"/>
      <c r="AI100" s="519"/>
      <c r="AJ100" s="519"/>
      <c r="AK100" s="519"/>
      <c r="AL100" s="519"/>
      <c r="AM100" s="519"/>
      <c r="AN100" s="519"/>
      <c r="AO100" s="519"/>
      <c r="AP100" s="519"/>
      <c r="AQ100" s="519"/>
      <c r="AR100" s="519"/>
      <c r="AS100" s="519"/>
      <c r="AT100" s="519"/>
      <c r="AU100" s="519"/>
      <c r="AV100" s="519"/>
      <c r="AW100" s="519"/>
      <c r="AX100" s="519"/>
      <c r="AY100" s="519"/>
      <c r="AZ100" s="519"/>
      <c r="BA100" s="519"/>
      <c r="BB100" s="519"/>
      <c r="BC100" s="519"/>
      <c r="BD100" s="519"/>
      <c r="BE100" s="519"/>
      <c r="BF100" s="519"/>
      <c r="BG100" s="519"/>
      <c r="BH100" s="519"/>
      <c r="BI100" s="519"/>
      <c r="BJ100" s="519"/>
      <c r="BK100" s="519"/>
      <c r="BL100" s="519"/>
      <c r="BM100" s="519"/>
      <c r="BN100" s="519"/>
      <c r="BO100" s="519"/>
      <c r="BP100" s="519"/>
      <c r="BQ100" s="519"/>
      <c r="BR100" s="519"/>
      <c r="BS100" s="519"/>
      <c r="BT100" s="519"/>
      <c r="BU100" s="519"/>
      <c r="BV100" s="519"/>
      <c r="BW100" s="519"/>
      <c r="BX100" s="519"/>
      <c r="BY100" s="519"/>
      <c r="BZ100" s="519"/>
      <c r="CA100" s="519"/>
      <c r="CB100" s="519"/>
      <c r="CC100" s="519"/>
      <c r="CD100" s="519"/>
      <c r="CE100" s="519"/>
      <c r="CF100" s="519"/>
      <c r="CG100" s="519"/>
      <c r="CH100" s="519"/>
      <c r="CI100" s="519"/>
      <c r="CJ100" s="519"/>
      <c r="CK100" s="519"/>
      <c r="CL100" s="519"/>
      <c r="CM100" s="519"/>
      <c r="CN100" s="519"/>
      <c r="CO100" s="519"/>
      <c r="CP100" s="519"/>
      <c r="CQ100" s="519"/>
      <c r="CR100" s="519"/>
      <c r="CS100" s="519"/>
      <c r="CT100" s="519"/>
      <c r="CU100" s="519"/>
      <c r="CV100" s="519"/>
      <c r="CW100" s="519"/>
    </row>
    <row r="101" spans="4:101" s="536" customFormat="1" ht="15.75">
      <c r="E101" s="556">
        <v>3500</v>
      </c>
      <c r="F101" s="544" t="s">
        <v>35</v>
      </c>
      <c r="G101" s="541">
        <v>961137.26489041967</v>
      </c>
      <c r="H101" s="541">
        <v>39756.137987826703</v>
      </c>
      <c r="I101" s="541">
        <v>-5384.6590909090937</v>
      </c>
      <c r="J101" s="541"/>
      <c r="K101" s="541">
        <v>-12147.103852488362</v>
      </c>
      <c r="L101" s="541">
        <v>-7544.8118152524175</v>
      </c>
      <c r="M101" s="541">
        <f t="shared" si="3"/>
        <v>14680</v>
      </c>
      <c r="N101" s="541">
        <f t="shared" si="4"/>
        <v>975817.26489041967</v>
      </c>
      <c r="O101" s="542">
        <f t="shared" si="5"/>
        <v>975817</v>
      </c>
      <c r="P101" s="519"/>
      <c r="Q101" s="519"/>
      <c r="R101" s="519"/>
      <c r="S101" s="519"/>
      <c r="T101" s="519"/>
      <c r="U101" s="519"/>
      <c r="V101" s="519"/>
      <c r="W101" s="519"/>
      <c r="X101" s="519"/>
      <c r="Y101" s="519"/>
      <c r="Z101" s="519"/>
      <c r="AA101" s="519"/>
      <c r="AB101" s="519"/>
      <c r="AC101" s="519"/>
      <c r="AD101" s="519"/>
      <c r="AE101" s="519"/>
      <c r="AF101" s="519"/>
      <c r="AG101" s="519"/>
      <c r="AH101" s="519"/>
      <c r="AI101" s="519"/>
      <c r="AJ101" s="519"/>
      <c r="AK101" s="519"/>
      <c r="AL101" s="519"/>
      <c r="AM101" s="519"/>
      <c r="AN101" s="519"/>
      <c r="AO101" s="519"/>
      <c r="AP101" s="519"/>
      <c r="AQ101" s="519"/>
      <c r="AR101" s="519"/>
      <c r="AS101" s="519"/>
      <c r="AT101" s="519"/>
      <c r="AU101" s="519"/>
      <c r="AV101" s="519"/>
      <c r="AW101" s="519"/>
      <c r="AX101" s="519"/>
      <c r="AY101" s="519"/>
      <c r="AZ101" s="519"/>
      <c r="BA101" s="519"/>
      <c r="BB101" s="519"/>
      <c r="BC101" s="519"/>
      <c r="BD101" s="519"/>
      <c r="BE101" s="519"/>
      <c r="BF101" s="519"/>
      <c r="BG101" s="519"/>
      <c r="BH101" s="519"/>
      <c r="BI101" s="519"/>
      <c r="BJ101" s="519"/>
      <c r="BK101" s="519"/>
      <c r="BL101" s="519"/>
      <c r="BM101" s="519"/>
      <c r="BN101" s="519"/>
      <c r="BO101" s="519"/>
      <c r="BP101" s="519"/>
      <c r="BQ101" s="519"/>
      <c r="BR101" s="519"/>
      <c r="BS101" s="519"/>
      <c r="BT101" s="519"/>
      <c r="BU101" s="519"/>
      <c r="BV101" s="519"/>
      <c r="BW101" s="519"/>
      <c r="BX101" s="519"/>
      <c r="BY101" s="519"/>
      <c r="BZ101" s="519"/>
      <c r="CA101" s="519"/>
      <c r="CB101" s="519"/>
      <c r="CC101" s="519"/>
      <c r="CD101" s="519"/>
      <c r="CE101" s="519"/>
      <c r="CF101" s="519"/>
      <c r="CG101" s="519"/>
      <c r="CH101" s="519"/>
      <c r="CI101" s="519"/>
      <c r="CJ101" s="519"/>
      <c r="CK101" s="519"/>
      <c r="CL101" s="519"/>
      <c r="CM101" s="519"/>
      <c r="CN101" s="519"/>
      <c r="CO101" s="519"/>
      <c r="CP101" s="519"/>
      <c r="CQ101" s="519"/>
      <c r="CR101" s="519"/>
      <c r="CS101" s="519"/>
      <c r="CT101" s="519"/>
      <c r="CU101" s="519"/>
      <c r="CV101" s="519"/>
      <c r="CW101" s="519"/>
    </row>
    <row r="102" spans="4:101" s="536" customFormat="1" ht="15.75">
      <c r="E102" s="556" t="e">
        <v>#N/A</v>
      </c>
      <c r="F102" s="546" t="s">
        <v>373</v>
      </c>
      <c r="G102" s="541">
        <v>2264178.6433087457</v>
      </c>
      <c r="H102" s="541">
        <v>38006.925664968876</v>
      </c>
      <c r="I102" s="541">
        <v>-12015.151515151376</v>
      </c>
      <c r="J102" s="541"/>
      <c r="K102" s="541">
        <v>5471.0284482173065</v>
      </c>
      <c r="L102" s="541">
        <v>-4913.4510453553285</v>
      </c>
      <c r="M102" s="541">
        <f t="shared" si="3"/>
        <v>26549</v>
      </c>
      <c r="N102" s="541">
        <f t="shared" si="4"/>
        <v>2290727.6433087457</v>
      </c>
      <c r="O102" s="542">
        <f t="shared" si="5"/>
        <v>2290728</v>
      </c>
      <c r="P102" s="519"/>
      <c r="Q102" s="519"/>
      <c r="R102" s="519"/>
      <c r="S102" s="519"/>
      <c r="T102" s="519"/>
      <c r="U102" s="519"/>
      <c r="V102" s="519"/>
      <c r="W102" s="519"/>
      <c r="X102" s="519"/>
      <c r="Y102" s="519"/>
      <c r="Z102" s="519"/>
      <c r="AA102" s="519"/>
      <c r="AB102" s="519"/>
      <c r="AC102" s="519"/>
      <c r="AD102" s="519"/>
      <c r="AE102" s="519"/>
      <c r="AF102" s="519"/>
      <c r="AG102" s="519"/>
      <c r="AH102" s="519"/>
      <c r="AI102" s="519"/>
      <c r="AJ102" s="519"/>
      <c r="AK102" s="519"/>
      <c r="AL102" s="519"/>
      <c r="AM102" s="519"/>
      <c r="AN102" s="519"/>
      <c r="AO102" s="519"/>
      <c r="AP102" s="519"/>
      <c r="AQ102" s="519"/>
      <c r="AR102" s="519"/>
      <c r="AS102" s="519"/>
      <c r="AT102" s="519"/>
      <c r="AU102" s="519"/>
      <c r="AV102" s="519"/>
      <c r="AW102" s="519"/>
      <c r="AX102" s="519"/>
      <c r="AY102" s="519"/>
      <c r="AZ102" s="519"/>
      <c r="BA102" s="519"/>
      <c r="BB102" s="519"/>
      <c r="BC102" s="519"/>
      <c r="BD102" s="519"/>
      <c r="BE102" s="519"/>
      <c r="BF102" s="519"/>
      <c r="BG102" s="519"/>
      <c r="BH102" s="519"/>
      <c r="BI102" s="519"/>
      <c r="BJ102" s="519"/>
      <c r="BK102" s="519"/>
      <c r="BL102" s="519"/>
      <c r="BM102" s="519"/>
      <c r="BN102" s="519"/>
      <c r="BO102" s="519"/>
      <c r="BP102" s="519"/>
      <c r="BQ102" s="519"/>
      <c r="BR102" s="519"/>
      <c r="BS102" s="519"/>
      <c r="BT102" s="519"/>
      <c r="BU102" s="519"/>
      <c r="BV102" s="519"/>
      <c r="BW102" s="519"/>
      <c r="BX102" s="519"/>
      <c r="BY102" s="519"/>
      <c r="BZ102" s="519"/>
      <c r="CA102" s="519"/>
      <c r="CB102" s="519"/>
      <c r="CC102" s="519"/>
      <c r="CD102" s="519"/>
      <c r="CE102" s="519"/>
      <c r="CF102" s="519"/>
      <c r="CG102" s="519"/>
      <c r="CH102" s="519"/>
      <c r="CI102" s="519"/>
      <c r="CJ102" s="519"/>
      <c r="CK102" s="519"/>
      <c r="CL102" s="519"/>
      <c r="CM102" s="519"/>
      <c r="CN102" s="519"/>
      <c r="CO102" s="519"/>
      <c r="CP102" s="519"/>
      <c r="CQ102" s="519"/>
      <c r="CR102" s="519"/>
      <c r="CS102" s="519"/>
      <c r="CT102" s="519"/>
      <c r="CU102" s="519"/>
      <c r="CV102" s="519"/>
      <c r="CW102" s="519"/>
    </row>
    <row r="103" spans="4:101" s="536" customFormat="1" ht="15.75">
      <c r="E103" s="556">
        <v>2077</v>
      </c>
      <c r="F103" s="550" t="s">
        <v>85</v>
      </c>
      <c r="G103" s="541">
        <v>3624715.37747643</v>
      </c>
      <c r="H103" s="541">
        <v>-11992.943024900964</v>
      </c>
      <c r="I103" s="541">
        <v>48935.135135135024</v>
      </c>
      <c r="J103" s="541">
        <v>58000</v>
      </c>
      <c r="K103" s="541">
        <v>-1552.8841935484197</v>
      </c>
      <c r="L103" s="541">
        <v>28010.232403589616</v>
      </c>
      <c r="M103" s="541">
        <f t="shared" si="3"/>
        <v>121400</v>
      </c>
      <c r="N103" s="541">
        <f t="shared" si="4"/>
        <v>3746115.37747643</v>
      </c>
      <c r="O103" s="542">
        <f t="shared" si="5"/>
        <v>3746115</v>
      </c>
      <c r="P103" s="519"/>
      <c r="Q103" s="519"/>
      <c r="R103" s="519"/>
      <c r="S103" s="519"/>
      <c r="T103" s="519"/>
      <c r="U103" s="519"/>
      <c r="V103" s="519"/>
      <c r="W103" s="519"/>
      <c r="X103" s="519"/>
      <c r="Y103" s="519"/>
      <c r="Z103" s="519"/>
      <c r="AA103" s="519"/>
      <c r="AB103" s="519"/>
      <c r="AC103" s="519"/>
      <c r="AD103" s="519"/>
      <c r="AE103" s="519"/>
      <c r="AF103" s="519"/>
      <c r="AG103" s="519"/>
      <c r="AH103" s="519"/>
      <c r="AI103" s="519"/>
      <c r="AJ103" s="519"/>
      <c r="AK103" s="519"/>
      <c r="AL103" s="519"/>
      <c r="AM103" s="519"/>
      <c r="AN103" s="519"/>
      <c r="AO103" s="519"/>
      <c r="AP103" s="519"/>
      <c r="AQ103" s="519"/>
      <c r="AR103" s="519"/>
      <c r="AS103" s="519"/>
      <c r="AT103" s="519"/>
      <c r="AU103" s="519"/>
      <c r="AV103" s="519"/>
      <c r="AW103" s="519"/>
      <c r="AX103" s="519"/>
      <c r="AY103" s="519"/>
      <c r="AZ103" s="519"/>
      <c r="BA103" s="519"/>
      <c r="BB103" s="519"/>
      <c r="BC103" s="519"/>
      <c r="BD103" s="519"/>
      <c r="BE103" s="519"/>
      <c r="BF103" s="519"/>
      <c r="BG103" s="519"/>
      <c r="BH103" s="519"/>
      <c r="BI103" s="519"/>
      <c r="BJ103" s="519"/>
      <c r="BK103" s="519"/>
      <c r="BL103" s="519"/>
      <c r="BM103" s="519"/>
      <c r="BN103" s="519"/>
      <c r="BO103" s="519"/>
      <c r="BP103" s="519"/>
      <c r="BQ103" s="519"/>
      <c r="BR103" s="519"/>
      <c r="BS103" s="519"/>
      <c r="BT103" s="519"/>
      <c r="BU103" s="519"/>
      <c r="BV103" s="519"/>
      <c r="BW103" s="519"/>
      <c r="BX103" s="519"/>
      <c r="BY103" s="519"/>
      <c r="BZ103" s="519"/>
      <c r="CA103" s="519"/>
      <c r="CB103" s="519"/>
      <c r="CC103" s="519"/>
      <c r="CD103" s="519"/>
      <c r="CE103" s="519"/>
      <c r="CF103" s="519"/>
      <c r="CG103" s="519"/>
      <c r="CH103" s="519"/>
      <c r="CI103" s="519"/>
      <c r="CJ103" s="519"/>
      <c r="CK103" s="519"/>
      <c r="CL103" s="519"/>
      <c r="CM103" s="519"/>
      <c r="CN103" s="519"/>
      <c r="CO103" s="519"/>
      <c r="CP103" s="519"/>
      <c r="CQ103" s="519"/>
      <c r="CR103" s="519"/>
      <c r="CS103" s="519"/>
      <c r="CT103" s="519"/>
      <c r="CU103" s="519"/>
      <c r="CV103" s="519"/>
      <c r="CW103" s="519"/>
    </row>
    <row r="104" spans="4:101" s="536" customFormat="1" ht="15.75">
      <c r="E104" s="556">
        <v>3316</v>
      </c>
      <c r="F104" s="550" t="s">
        <v>110</v>
      </c>
      <c r="G104" s="541">
        <v>872192.03179775295</v>
      </c>
      <c r="H104" s="541">
        <v>17521</v>
      </c>
      <c r="I104" s="541">
        <v>3800</v>
      </c>
      <c r="J104" s="541"/>
      <c r="K104" s="541">
        <v>5189</v>
      </c>
      <c r="L104" s="541">
        <v>391</v>
      </c>
      <c r="M104" s="541">
        <f t="shared" si="3"/>
        <v>26901</v>
      </c>
      <c r="N104" s="541">
        <f t="shared" si="4"/>
        <v>899093.03179775295</v>
      </c>
      <c r="O104" s="542">
        <f t="shared" si="5"/>
        <v>899093</v>
      </c>
      <c r="P104" s="519"/>
      <c r="Q104" s="519"/>
      <c r="R104" s="519"/>
      <c r="S104" s="519"/>
      <c r="T104" s="519"/>
      <c r="U104" s="519"/>
      <c r="V104" s="519"/>
      <c r="W104" s="519"/>
      <c r="X104" s="519"/>
      <c r="Y104" s="519"/>
      <c r="Z104" s="519"/>
      <c r="AA104" s="519"/>
      <c r="AB104" s="519"/>
      <c r="AC104" s="519"/>
      <c r="AD104" s="519"/>
      <c r="AE104" s="519"/>
      <c r="AF104" s="519"/>
      <c r="AG104" s="519"/>
      <c r="AH104" s="519"/>
      <c r="AI104" s="519"/>
      <c r="AJ104" s="519"/>
      <c r="AK104" s="519"/>
      <c r="AL104" s="519"/>
      <c r="AM104" s="519"/>
      <c r="AN104" s="519"/>
      <c r="AO104" s="519"/>
      <c r="AP104" s="519"/>
      <c r="AQ104" s="519"/>
      <c r="AR104" s="519"/>
      <c r="AS104" s="519"/>
      <c r="AT104" s="519"/>
      <c r="AU104" s="519"/>
      <c r="AV104" s="519"/>
      <c r="AW104" s="519"/>
      <c r="AX104" s="519"/>
      <c r="AY104" s="519"/>
      <c r="AZ104" s="519"/>
      <c r="BA104" s="519"/>
      <c r="BB104" s="519"/>
      <c r="BC104" s="519"/>
      <c r="BD104" s="519"/>
      <c r="BE104" s="519"/>
      <c r="BF104" s="519"/>
      <c r="BG104" s="519"/>
      <c r="BH104" s="519"/>
      <c r="BI104" s="519"/>
      <c r="BJ104" s="519"/>
      <c r="BK104" s="519"/>
      <c r="BL104" s="519"/>
      <c r="BM104" s="519"/>
      <c r="BN104" s="519"/>
      <c r="BO104" s="519"/>
      <c r="BP104" s="519"/>
      <c r="BQ104" s="519"/>
      <c r="BR104" s="519"/>
      <c r="BS104" s="519"/>
      <c r="BT104" s="519"/>
      <c r="BU104" s="519"/>
      <c r="BV104" s="519"/>
      <c r="BW104" s="519"/>
      <c r="BX104" s="519"/>
      <c r="BY104" s="519"/>
      <c r="BZ104" s="519"/>
      <c r="CA104" s="519"/>
      <c r="CB104" s="519"/>
      <c r="CC104" s="519"/>
      <c r="CD104" s="519"/>
      <c r="CE104" s="519"/>
      <c r="CF104" s="519"/>
      <c r="CG104" s="519"/>
      <c r="CH104" s="519"/>
      <c r="CI104" s="519"/>
      <c r="CJ104" s="519"/>
      <c r="CK104" s="519"/>
      <c r="CL104" s="519"/>
      <c r="CM104" s="519"/>
      <c r="CN104" s="519"/>
      <c r="CO104" s="519"/>
      <c r="CP104" s="519"/>
      <c r="CQ104" s="519"/>
      <c r="CR104" s="519"/>
      <c r="CS104" s="519"/>
      <c r="CT104" s="519"/>
      <c r="CU104" s="519"/>
      <c r="CV104" s="519"/>
      <c r="CW104" s="519"/>
    </row>
    <row r="105" spans="4:101" s="536" customFormat="1" ht="15.75">
      <c r="E105" s="556">
        <v>2055</v>
      </c>
      <c r="F105" s="536" t="s">
        <v>111</v>
      </c>
      <c r="G105" s="541">
        <v>1341312.1376696809</v>
      </c>
      <c r="H105" s="541">
        <v>21851.746263385736</v>
      </c>
      <c r="I105" s="541">
        <v>2395.0738916256114</v>
      </c>
      <c r="J105" s="541">
        <v>368.5</v>
      </c>
      <c r="K105" s="541">
        <v>-3066.2098245614015</v>
      </c>
      <c r="L105" s="541">
        <v>-563.88721804510988</v>
      </c>
      <c r="M105" s="541">
        <f t="shared" si="3"/>
        <v>20985</v>
      </c>
      <c r="N105" s="541">
        <f t="shared" si="4"/>
        <v>1362297.1376696809</v>
      </c>
      <c r="O105" s="542">
        <f t="shared" si="5"/>
        <v>1362297</v>
      </c>
      <c r="P105" s="519"/>
      <c r="Q105" s="519"/>
      <c r="R105" s="519"/>
      <c r="S105" s="519"/>
      <c r="T105" s="519"/>
      <c r="U105" s="519"/>
      <c r="V105" s="519"/>
      <c r="W105" s="519"/>
      <c r="X105" s="519"/>
      <c r="Y105" s="519"/>
      <c r="Z105" s="519"/>
      <c r="AA105" s="519"/>
      <c r="AB105" s="519"/>
      <c r="AC105" s="519"/>
      <c r="AD105" s="519"/>
      <c r="AE105" s="519"/>
      <c r="AF105" s="519"/>
      <c r="AG105" s="519"/>
      <c r="AH105" s="519"/>
      <c r="AI105" s="519"/>
      <c r="AJ105" s="519"/>
      <c r="AK105" s="519"/>
      <c r="AL105" s="519"/>
      <c r="AM105" s="519"/>
      <c r="AN105" s="519"/>
      <c r="AO105" s="519"/>
      <c r="AP105" s="519"/>
      <c r="AQ105" s="519"/>
      <c r="AR105" s="519"/>
      <c r="AS105" s="519"/>
      <c r="AT105" s="519"/>
      <c r="AU105" s="519"/>
      <c r="AV105" s="519"/>
      <c r="AW105" s="519"/>
      <c r="AX105" s="519"/>
      <c r="AY105" s="519"/>
      <c r="AZ105" s="519"/>
      <c r="BA105" s="519"/>
      <c r="BB105" s="519"/>
      <c r="BC105" s="519"/>
      <c r="BD105" s="519"/>
      <c r="BE105" s="519"/>
      <c r="BF105" s="519"/>
      <c r="BG105" s="519"/>
      <c r="BH105" s="519"/>
      <c r="BI105" s="519"/>
      <c r="BJ105" s="519"/>
      <c r="BK105" s="519"/>
      <c r="BL105" s="519"/>
      <c r="BM105" s="519"/>
      <c r="BN105" s="519"/>
      <c r="BO105" s="519"/>
      <c r="BP105" s="519"/>
      <c r="BQ105" s="519"/>
      <c r="BR105" s="519"/>
      <c r="BS105" s="519"/>
      <c r="BT105" s="519"/>
      <c r="BU105" s="519"/>
      <c r="BV105" s="519"/>
      <c r="BW105" s="519"/>
      <c r="BX105" s="519"/>
      <c r="BY105" s="519"/>
      <c r="BZ105" s="519"/>
      <c r="CA105" s="519"/>
      <c r="CB105" s="519"/>
      <c r="CC105" s="519"/>
      <c r="CD105" s="519"/>
      <c r="CE105" s="519"/>
      <c r="CF105" s="519"/>
      <c r="CG105" s="519"/>
      <c r="CH105" s="519"/>
      <c r="CI105" s="519"/>
      <c r="CJ105" s="519"/>
      <c r="CK105" s="519"/>
      <c r="CL105" s="519"/>
      <c r="CM105" s="519"/>
      <c r="CN105" s="519"/>
      <c r="CO105" s="519"/>
      <c r="CP105" s="519"/>
      <c r="CQ105" s="519"/>
      <c r="CR105" s="519"/>
      <c r="CS105" s="519"/>
      <c r="CT105" s="519"/>
      <c r="CU105" s="519"/>
      <c r="CV105" s="519"/>
      <c r="CW105" s="519"/>
    </row>
    <row r="106" spans="4:101" s="536" customFormat="1" ht="15.75">
      <c r="E106" s="556">
        <v>2057</v>
      </c>
      <c r="F106" s="536" t="s">
        <v>112</v>
      </c>
      <c r="G106" s="541">
        <v>1327534.6871609967</v>
      </c>
      <c r="H106" s="541">
        <v>26119.442731538147</v>
      </c>
      <c r="I106" s="541">
        <v>-30444.000000000033</v>
      </c>
      <c r="J106" s="541">
        <v>901189.00376265682</v>
      </c>
      <c r="K106" s="541">
        <v>-12877.150338637301</v>
      </c>
      <c r="L106" s="541">
        <v>8677.855032931162</v>
      </c>
      <c r="M106" s="541">
        <f t="shared" si="3"/>
        <v>892665</v>
      </c>
      <c r="N106" s="541">
        <f t="shared" si="4"/>
        <v>2220199.6871609967</v>
      </c>
      <c r="O106" s="542">
        <f t="shared" si="5"/>
        <v>2220200</v>
      </c>
      <c r="P106" s="519"/>
      <c r="Q106" s="519"/>
      <c r="R106" s="519"/>
      <c r="S106" s="519"/>
      <c r="T106" s="519"/>
      <c r="U106" s="519"/>
      <c r="V106" s="519"/>
      <c r="W106" s="519"/>
      <c r="X106" s="519"/>
      <c r="Y106" s="519"/>
      <c r="Z106" s="519"/>
      <c r="AA106" s="519"/>
      <c r="AB106" s="519"/>
      <c r="AC106" s="519"/>
      <c r="AD106" s="519"/>
      <c r="AE106" s="519"/>
      <c r="AF106" s="519"/>
      <c r="AG106" s="519"/>
      <c r="AH106" s="519"/>
      <c r="AI106" s="519"/>
      <c r="AJ106" s="519"/>
      <c r="AK106" s="519"/>
      <c r="AL106" s="519"/>
      <c r="AM106" s="519"/>
      <c r="AN106" s="519"/>
      <c r="AO106" s="519"/>
      <c r="AP106" s="519"/>
      <c r="AQ106" s="519"/>
      <c r="AR106" s="519"/>
      <c r="AS106" s="519"/>
      <c r="AT106" s="519"/>
      <c r="AU106" s="519"/>
      <c r="AV106" s="519"/>
      <c r="AW106" s="519"/>
      <c r="AX106" s="519"/>
      <c r="AY106" s="519"/>
      <c r="AZ106" s="519"/>
      <c r="BA106" s="519"/>
      <c r="BB106" s="519"/>
      <c r="BC106" s="519"/>
      <c r="BD106" s="519"/>
      <c r="BE106" s="519"/>
      <c r="BF106" s="519"/>
      <c r="BG106" s="519"/>
      <c r="BH106" s="519"/>
      <c r="BI106" s="519"/>
      <c r="BJ106" s="519"/>
      <c r="BK106" s="519"/>
      <c r="BL106" s="519"/>
      <c r="BM106" s="519"/>
      <c r="BN106" s="519"/>
      <c r="BO106" s="519"/>
      <c r="BP106" s="519"/>
      <c r="BQ106" s="519"/>
      <c r="BR106" s="519"/>
      <c r="BS106" s="519"/>
      <c r="BT106" s="519"/>
      <c r="BU106" s="519"/>
      <c r="BV106" s="519"/>
      <c r="BW106" s="519"/>
      <c r="BX106" s="519"/>
      <c r="BY106" s="519"/>
      <c r="BZ106" s="519"/>
      <c r="CA106" s="519"/>
      <c r="CB106" s="519"/>
      <c r="CC106" s="519"/>
      <c r="CD106" s="519"/>
      <c r="CE106" s="519"/>
      <c r="CF106" s="519"/>
      <c r="CG106" s="519"/>
      <c r="CH106" s="519"/>
      <c r="CI106" s="519"/>
      <c r="CJ106" s="519"/>
      <c r="CK106" s="519"/>
      <c r="CL106" s="519"/>
      <c r="CM106" s="519"/>
      <c r="CN106" s="519"/>
      <c r="CO106" s="519"/>
      <c r="CP106" s="519"/>
      <c r="CQ106" s="519"/>
      <c r="CR106" s="519"/>
      <c r="CS106" s="519"/>
      <c r="CT106" s="519"/>
      <c r="CU106" s="519"/>
      <c r="CV106" s="519"/>
      <c r="CW106" s="519"/>
    </row>
    <row r="107" spans="4:101" s="536" customFormat="1" ht="15.75">
      <c r="E107" s="556">
        <v>2056</v>
      </c>
      <c r="F107" s="536" t="s">
        <v>113</v>
      </c>
      <c r="G107" s="541">
        <v>1540799.4804762427</v>
      </c>
      <c r="H107" s="541">
        <v>932.5</v>
      </c>
      <c r="I107" s="541">
        <v>7770.454545454535</v>
      </c>
      <c r="J107" s="541">
        <v>-901189.00376265694</v>
      </c>
      <c r="K107" s="541">
        <v>0</v>
      </c>
      <c r="L107" s="541">
        <v>3266</v>
      </c>
      <c r="M107" s="541">
        <f t="shared" si="3"/>
        <v>-889220</v>
      </c>
      <c r="N107" s="541">
        <f t="shared" si="4"/>
        <v>651579.48047624272</v>
      </c>
      <c r="O107" s="542">
        <f t="shared" si="5"/>
        <v>651579</v>
      </c>
      <c r="P107" s="519"/>
      <c r="Q107" s="519"/>
      <c r="R107" s="519"/>
      <c r="S107" s="519"/>
      <c r="T107" s="519"/>
      <c r="U107" s="519"/>
      <c r="V107" s="519"/>
      <c r="W107" s="519"/>
      <c r="X107" s="519"/>
      <c r="Y107" s="519"/>
      <c r="Z107" s="519"/>
      <c r="AA107" s="519"/>
      <c r="AB107" s="519"/>
      <c r="AC107" s="519"/>
      <c r="AD107" s="519"/>
      <c r="AE107" s="519"/>
      <c r="AF107" s="519"/>
      <c r="AG107" s="519"/>
      <c r="AH107" s="519"/>
      <c r="AI107" s="519"/>
      <c r="AJ107" s="519"/>
      <c r="AK107" s="519"/>
      <c r="AL107" s="519"/>
      <c r="AM107" s="519"/>
      <c r="AN107" s="519"/>
      <c r="AO107" s="519"/>
      <c r="AP107" s="519"/>
      <c r="AQ107" s="519"/>
      <c r="AR107" s="519"/>
      <c r="AS107" s="519"/>
      <c r="AT107" s="519"/>
      <c r="AU107" s="519"/>
      <c r="AV107" s="519"/>
      <c r="AW107" s="519"/>
      <c r="AX107" s="519"/>
      <c r="AY107" s="519"/>
      <c r="AZ107" s="519"/>
      <c r="BA107" s="519"/>
      <c r="BB107" s="519"/>
      <c r="BC107" s="519"/>
      <c r="BD107" s="519"/>
      <c r="BE107" s="519"/>
      <c r="BF107" s="519"/>
      <c r="BG107" s="519"/>
      <c r="BH107" s="519"/>
      <c r="BI107" s="519"/>
      <c r="BJ107" s="519"/>
      <c r="BK107" s="519"/>
      <c r="BL107" s="519"/>
      <c r="BM107" s="519"/>
      <c r="BN107" s="519"/>
      <c r="BO107" s="519"/>
      <c r="BP107" s="519"/>
      <c r="BQ107" s="519"/>
      <c r="BR107" s="519"/>
      <c r="BS107" s="519"/>
      <c r="BT107" s="519"/>
      <c r="BU107" s="519"/>
      <c r="BV107" s="519"/>
      <c r="BW107" s="519"/>
      <c r="BX107" s="519"/>
      <c r="BY107" s="519"/>
      <c r="BZ107" s="519"/>
      <c r="CA107" s="519"/>
      <c r="CB107" s="519"/>
      <c r="CC107" s="519"/>
      <c r="CD107" s="519"/>
      <c r="CE107" s="519"/>
      <c r="CF107" s="519"/>
      <c r="CG107" s="519"/>
      <c r="CH107" s="519"/>
      <c r="CI107" s="519"/>
      <c r="CJ107" s="519"/>
      <c r="CK107" s="519"/>
      <c r="CL107" s="519"/>
      <c r="CM107" s="519"/>
      <c r="CN107" s="519"/>
      <c r="CO107" s="519"/>
      <c r="CP107" s="519"/>
      <c r="CQ107" s="519"/>
      <c r="CR107" s="519"/>
      <c r="CS107" s="519"/>
      <c r="CT107" s="519"/>
      <c r="CU107" s="519"/>
      <c r="CV107" s="519"/>
      <c r="CW107" s="519"/>
    </row>
    <row r="108" spans="4:101" s="536" customFormat="1" ht="15.75">
      <c r="E108" s="556">
        <v>2076</v>
      </c>
      <c r="F108" s="550" t="s">
        <v>114</v>
      </c>
      <c r="G108" s="541">
        <v>2510400.2641843371</v>
      </c>
      <c r="H108" s="541">
        <v>43618.990364145662</v>
      </c>
      <c r="I108" s="541">
        <v>-7551.5151515151701</v>
      </c>
      <c r="J108" s="541"/>
      <c r="K108" s="541">
        <v>-666.72654282766234</v>
      </c>
      <c r="L108" s="541">
        <v>-1880.5187675069942</v>
      </c>
      <c r="M108" s="541">
        <f t="shared" si="3"/>
        <v>33520</v>
      </c>
      <c r="N108" s="541">
        <f t="shared" si="4"/>
        <v>2543920.2641843371</v>
      </c>
      <c r="O108" s="542">
        <f t="shared" si="5"/>
        <v>2543920</v>
      </c>
      <c r="P108" s="519"/>
      <c r="Q108" s="519"/>
      <c r="R108" s="519"/>
      <c r="S108" s="519"/>
      <c r="T108" s="519"/>
      <c r="U108" s="519"/>
      <c r="V108" s="519"/>
      <c r="W108" s="519"/>
      <c r="X108" s="519"/>
      <c r="Y108" s="519"/>
      <c r="Z108" s="519"/>
      <c r="AA108" s="519"/>
      <c r="AB108" s="519"/>
      <c r="AC108" s="519"/>
      <c r="AD108" s="519"/>
      <c r="AE108" s="519"/>
      <c r="AF108" s="519"/>
      <c r="AG108" s="519"/>
      <c r="AH108" s="519"/>
      <c r="AI108" s="519"/>
      <c r="AJ108" s="519"/>
      <c r="AK108" s="519"/>
      <c r="AL108" s="519"/>
      <c r="AM108" s="519"/>
      <c r="AN108" s="519"/>
      <c r="AO108" s="519"/>
      <c r="AP108" s="519"/>
      <c r="AQ108" s="519"/>
      <c r="AR108" s="519"/>
      <c r="AS108" s="519"/>
      <c r="AT108" s="519"/>
      <c r="AU108" s="519"/>
      <c r="AV108" s="519"/>
      <c r="AW108" s="519"/>
      <c r="AX108" s="519"/>
      <c r="AY108" s="519"/>
      <c r="AZ108" s="519"/>
      <c r="BA108" s="519"/>
      <c r="BB108" s="519"/>
      <c r="BC108" s="519"/>
      <c r="BD108" s="519"/>
      <c r="BE108" s="519"/>
      <c r="BF108" s="519"/>
      <c r="BG108" s="519"/>
      <c r="BH108" s="519"/>
      <c r="BI108" s="519"/>
      <c r="BJ108" s="519"/>
      <c r="BK108" s="519"/>
      <c r="BL108" s="519"/>
      <c r="BM108" s="519"/>
      <c r="BN108" s="519"/>
      <c r="BO108" s="519"/>
      <c r="BP108" s="519"/>
      <c r="BQ108" s="519"/>
      <c r="BR108" s="519"/>
      <c r="BS108" s="519"/>
      <c r="BT108" s="519"/>
      <c r="BU108" s="519"/>
      <c r="BV108" s="519"/>
      <c r="BW108" s="519"/>
      <c r="BX108" s="519"/>
      <c r="BY108" s="519"/>
      <c r="BZ108" s="519"/>
      <c r="CA108" s="519"/>
      <c r="CB108" s="519"/>
      <c r="CC108" s="519"/>
      <c r="CD108" s="519"/>
      <c r="CE108" s="519"/>
      <c r="CF108" s="519"/>
      <c r="CG108" s="519"/>
      <c r="CH108" s="519"/>
      <c r="CI108" s="519"/>
      <c r="CJ108" s="519"/>
      <c r="CK108" s="519"/>
      <c r="CL108" s="519"/>
      <c r="CM108" s="519"/>
      <c r="CN108" s="519"/>
      <c r="CO108" s="519"/>
      <c r="CP108" s="519"/>
      <c r="CQ108" s="519"/>
      <c r="CR108" s="519"/>
      <c r="CS108" s="519"/>
      <c r="CT108" s="519"/>
      <c r="CU108" s="519"/>
      <c r="CV108" s="519"/>
      <c r="CW108" s="519"/>
    </row>
    <row r="109" spans="4:101" s="536" customFormat="1" ht="15.75">
      <c r="E109" s="556">
        <v>2060</v>
      </c>
      <c r="F109" s="550" t="s">
        <v>115</v>
      </c>
      <c r="G109" s="541">
        <v>2640835.9429660402</v>
      </c>
      <c r="H109" s="541">
        <v>35500.813759398501</v>
      </c>
      <c r="I109" s="541">
        <v>-15159.788359788374</v>
      </c>
      <c r="J109" s="541"/>
      <c r="K109" s="541">
        <v>1588.9347368421013</v>
      </c>
      <c r="L109" s="541">
        <v>899.12443609024649</v>
      </c>
      <c r="M109" s="541">
        <f t="shared" si="3"/>
        <v>22829</v>
      </c>
      <c r="N109" s="541">
        <f t="shared" si="4"/>
        <v>2663664.9429660402</v>
      </c>
      <c r="O109" s="542">
        <f t="shared" si="5"/>
        <v>2663665</v>
      </c>
      <c r="P109" s="519"/>
      <c r="Q109" s="519"/>
      <c r="R109" s="519"/>
      <c r="S109" s="519"/>
      <c r="T109" s="519"/>
      <c r="U109" s="519"/>
      <c r="V109" s="519"/>
      <c r="W109" s="519"/>
      <c r="X109" s="519"/>
      <c r="Y109" s="519"/>
      <c r="Z109" s="519"/>
      <c r="AA109" s="519"/>
      <c r="AB109" s="519"/>
      <c r="AC109" s="519"/>
      <c r="AD109" s="519"/>
      <c r="AE109" s="519"/>
      <c r="AF109" s="519"/>
      <c r="AG109" s="519"/>
      <c r="AH109" s="519"/>
      <c r="AI109" s="519"/>
      <c r="AJ109" s="519"/>
      <c r="AK109" s="519"/>
      <c r="AL109" s="519"/>
      <c r="AM109" s="519"/>
      <c r="AN109" s="519"/>
      <c r="AO109" s="519"/>
      <c r="AP109" s="519"/>
      <c r="AQ109" s="519"/>
      <c r="AR109" s="519"/>
      <c r="AS109" s="519"/>
      <c r="AT109" s="519"/>
      <c r="AU109" s="519"/>
      <c r="AV109" s="519"/>
      <c r="AW109" s="519"/>
      <c r="AX109" s="519"/>
      <c r="AY109" s="519"/>
      <c r="AZ109" s="519"/>
      <c r="BA109" s="519"/>
      <c r="BB109" s="519"/>
      <c r="BC109" s="519"/>
      <c r="BD109" s="519"/>
      <c r="BE109" s="519"/>
      <c r="BF109" s="519"/>
      <c r="BG109" s="519"/>
      <c r="BH109" s="519"/>
      <c r="BI109" s="519"/>
      <c r="BJ109" s="519"/>
      <c r="BK109" s="519"/>
      <c r="BL109" s="519"/>
      <c r="BM109" s="519"/>
      <c r="BN109" s="519"/>
      <c r="BO109" s="519"/>
      <c r="BP109" s="519"/>
      <c r="BQ109" s="519"/>
      <c r="BR109" s="519"/>
      <c r="BS109" s="519"/>
      <c r="BT109" s="519"/>
      <c r="BU109" s="519"/>
      <c r="BV109" s="519"/>
      <c r="BW109" s="519"/>
      <c r="BX109" s="519"/>
      <c r="BY109" s="519"/>
      <c r="BZ109" s="519"/>
      <c r="CA109" s="519"/>
      <c r="CB109" s="519"/>
      <c r="CC109" s="519"/>
      <c r="CD109" s="519"/>
      <c r="CE109" s="519"/>
      <c r="CF109" s="519"/>
      <c r="CG109" s="519"/>
      <c r="CH109" s="519"/>
      <c r="CI109" s="519"/>
      <c r="CJ109" s="519"/>
      <c r="CK109" s="519"/>
      <c r="CL109" s="519"/>
      <c r="CM109" s="519"/>
      <c r="CN109" s="519"/>
      <c r="CO109" s="519"/>
      <c r="CP109" s="519"/>
      <c r="CQ109" s="519"/>
      <c r="CR109" s="519"/>
      <c r="CS109" s="519"/>
      <c r="CT109" s="519"/>
      <c r="CU109" s="519"/>
      <c r="CV109" s="519"/>
      <c r="CW109" s="519"/>
    </row>
    <row r="110" spans="4:101" s="536" customFormat="1" ht="15.75">
      <c r="E110" s="556">
        <v>3518</v>
      </c>
      <c r="F110" s="550" t="s">
        <v>1572</v>
      </c>
      <c r="G110" s="541">
        <v>2635628.7100639064</v>
      </c>
      <c r="H110" s="541">
        <v>32184.614473684211</v>
      </c>
      <c r="I110" s="541">
        <v>-674.3467933490283</v>
      </c>
      <c r="J110" s="541"/>
      <c r="K110" s="541">
        <v>7022.4928286549839</v>
      </c>
      <c r="L110" s="541">
        <v>15953.511842105258</v>
      </c>
      <c r="M110" s="541">
        <f t="shared" si="3"/>
        <v>54486</v>
      </c>
      <c r="N110" s="541">
        <f t="shared" si="4"/>
        <v>2690114.7100639064</v>
      </c>
      <c r="O110" s="542">
        <f t="shared" si="5"/>
        <v>2690115</v>
      </c>
      <c r="P110" s="519"/>
      <c r="Q110" s="519"/>
      <c r="R110" s="519"/>
      <c r="S110" s="519"/>
      <c r="T110" s="519"/>
      <c r="U110" s="519"/>
      <c r="V110" s="519"/>
      <c r="W110" s="519"/>
      <c r="X110" s="519"/>
      <c r="Y110" s="519"/>
      <c r="Z110" s="519"/>
      <c r="AA110" s="519"/>
      <c r="AB110" s="519"/>
      <c r="AC110" s="519"/>
      <c r="AD110" s="519"/>
      <c r="AE110" s="519"/>
      <c r="AF110" s="519"/>
      <c r="AG110" s="519"/>
      <c r="AH110" s="519"/>
      <c r="AI110" s="519"/>
      <c r="AJ110" s="519"/>
      <c r="AK110" s="519"/>
      <c r="AL110" s="519"/>
      <c r="AM110" s="519"/>
      <c r="AN110" s="519"/>
      <c r="AO110" s="519"/>
      <c r="AP110" s="519"/>
      <c r="AQ110" s="519"/>
      <c r="AR110" s="519"/>
      <c r="AS110" s="519"/>
      <c r="AT110" s="519"/>
      <c r="AU110" s="519"/>
      <c r="AV110" s="519"/>
      <c r="AW110" s="519"/>
      <c r="AX110" s="519"/>
      <c r="AY110" s="519"/>
      <c r="AZ110" s="519"/>
      <c r="BA110" s="519"/>
      <c r="BB110" s="519"/>
      <c r="BC110" s="519"/>
      <c r="BD110" s="519"/>
      <c r="BE110" s="519"/>
      <c r="BF110" s="519"/>
      <c r="BG110" s="519"/>
      <c r="BH110" s="519"/>
      <c r="BI110" s="519"/>
      <c r="BJ110" s="519"/>
      <c r="BK110" s="519"/>
      <c r="BL110" s="519"/>
      <c r="BM110" s="519"/>
      <c r="BN110" s="519"/>
      <c r="BO110" s="519"/>
      <c r="BP110" s="519"/>
      <c r="BQ110" s="519"/>
      <c r="BR110" s="519"/>
      <c r="BS110" s="519"/>
      <c r="BT110" s="519"/>
      <c r="BU110" s="519"/>
      <c r="BV110" s="519"/>
      <c r="BW110" s="519"/>
      <c r="BX110" s="519"/>
      <c r="BY110" s="519"/>
      <c r="BZ110" s="519"/>
      <c r="CA110" s="519"/>
      <c r="CB110" s="519"/>
      <c r="CC110" s="519"/>
      <c r="CD110" s="519"/>
      <c r="CE110" s="519"/>
      <c r="CF110" s="519"/>
      <c r="CG110" s="519"/>
      <c r="CH110" s="519"/>
      <c r="CI110" s="519"/>
      <c r="CJ110" s="519"/>
      <c r="CK110" s="519"/>
      <c r="CL110" s="519"/>
      <c r="CM110" s="519"/>
      <c r="CN110" s="519"/>
      <c r="CO110" s="519"/>
      <c r="CP110" s="519"/>
      <c r="CQ110" s="519"/>
      <c r="CR110" s="519"/>
      <c r="CS110" s="519"/>
      <c r="CT110" s="519"/>
      <c r="CU110" s="519"/>
      <c r="CV110" s="519"/>
      <c r="CW110" s="519"/>
    </row>
    <row r="111" spans="4:101" s="536" customFormat="1" ht="15.75">
      <c r="E111" s="556">
        <v>2054</v>
      </c>
      <c r="F111" s="550" t="s">
        <v>117</v>
      </c>
      <c r="G111" s="541">
        <v>1090386.7169423881</v>
      </c>
      <c r="H111" s="541">
        <v>25704.25</v>
      </c>
      <c r="I111" s="541">
        <v>1715.0627615062735</v>
      </c>
      <c r="J111" s="541"/>
      <c r="K111" s="541">
        <v>-2629.8333333333358</v>
      </c>
      <c r="L111" s="541">
        <v>391</v>
      </c>
      <c r="M111" s="541">
        <f t="shared" si="3"/>
        <v>25180</v>
      </c>
      <c r="N111" s="541">
        <f t="shared" si="4"/>
        <v>1115566.7169423881</v>
      </c>
      <c r="O111" s="542">
        <f t="shared" si="5"/>
        <v>1115567</v>
      </c>
      <c r="P111" s="519"/>
      <c r="Q111" s="519"/>
      <c r="R111" s="519"/>
      <c r="S111" s="519"/>
      <c r="T111" s="519"/>
      <c r="U111" s="519"/>
      <c r="V111" s="519"/>
      <c r="W111" s="519"/>
      <c r="X111" s="519"/>
      <c r="Y111" s="519"/>
      <c r="Z111" s="519"/>
      <c r="AA111" s="519"/>
      <c r="AB111" s="519"/>
      <c r="AC111" s="519"/>
      <c r="AD111" s="519"/>
      <c r="AE111" s="519"/>
      <c r="AF111" s="519"/>
      <c r="AG111" s="519"/>
      <c r="AH111" s="519"/>
      <c r="AI111" s="519"/>
      <c r="AJ111" s="519"/>
      <c r="AK111" s="519"/>
      <c r="AL111" s="519"/>
      <c r="AM111" s="519"/>
      <c r="AN111" s="519"/>
      <c r="AO111" s="519"/>
      <c r="AP111" s="519"/>
      <c r="AQ111" s="519"/>
      <c r="AR111" s="519"/>
      <c r="AS111" s="519"/>
      <c r="AT111" s="519"/>
      <c r="AU111" s="519"/>
      <c r="AV111" s="519"/>
      <c r="AW111" s="519"/>
      <c r="AX111" s="519"/>
      <c r="AY111" s="519"/>
      <c r="AZ111" s="519"/>
      <c r="BA111" s="519"/>
      <c r="BB111" s="519"/>
      <c r="BC111" s="519"/>
      <c r="BD111" s="519"/>
      <c r="BE111" s="519"/>
      <c r="BF111" s="519"/>
      <c r="BG111" s="519"/>
      <c r="BH111" s="519"/>
      <c r="BI111" s="519"/>
      <c r="BJ111" s="519"/>
      <c r="BK111" s="519"/>
      <c r="BL111" s="519"/>
      <c r="BM111" s="519"/>
      <c r="BN111" s="519"/>
      <c r="BO111" s="519"/>
      <c r="BP111" s="519"/>
      <c r="BQ111" s="519"/>
      <c r="BR111" s="519"/>
      <c r="BS111" s="519"/>
      <c r="BT111" s="519"/>
      <c r="BU111" s="519"/>
      <c r="BV111" s="519"/>
      <c r="BW111" s="519"/>
      <c r="BX111" s="519"/>
      <c r="BY111" s="519"/>
      <c r="BZ111" s="519"/>
      <c r="CA111" s="519"/>
      <c r="CB111" s="519"/>
      <c r="CC111" s="519"/>
      <c r="CD111" s="519"/>
      <c r="CE111" s="519"/>
      <c r="CF111" s="519"/>
      <c r="CG111" s="519"/>
      <c r="CH111" s="519"/>
      <c r="CI111" s="519"/>
      <c r="CJ111" s="519"/>
      <c r="CK111" s="519"/>
      <c r="CL111" s="519"/>
      <c r="CM111" s="519"/>
      <c r="CN111" s="519"/>
      <c r="CO111" s="519"/>
      <c r="CP111" s="519"/>
      <c r="CQ111" s="519"/>
      <c r="CR111" s="519"/>
      <c r="CS111" s="519"/>
      <c r="CT111" s="519"/>
      <c r="CU111" s="519"/>
      <c r="CV111" s="519"/>
      <c r="CW111" s="519"/>
    </row>
    <row r="112" spans="4:101" s="536" customFormat="1" ht="15.75">
      <c r="D112" s="536" t="s">
        <v>1573</v>
      </c>
      <c r="E112" s="556" t="e">
        <v>#N/A</v>
      </c>
      <c r="G112" s="543">
        <v>147383686.29284155</v>
      </c>
      <c r="H112" s="541">
        <v>2777790.3364602257</v>
      </c>
      <c r="I112" s="541">
        <v>-92861.710887545603</v>
      </c>
      <c r="J112" s="541">
        <v>105020.99999999988</v>
      </c>
      <c r="K112" s="541">
        <v>65341.488849354246</v>
      </c>
      <c r="L112" s="541">
        <v>317411.95279618481</v>
      </c>
      <c r="M112" s="541">
        <f t="shared" si="3"/>
        <v>3172703</v>
      </c>
      <c r="N112" s="541">
        <f t="shared" si="4"/>
        <v>150556389.29284155</v>
      </c>
      <c r="O112" s="542">
        <f t="shared" si="5"/>
        <v>150556389</v>
      </c>
      <c r="P112" s="519"/>
      <c r="Q112" s="519"/>
      <c r="R112" s="519"/>
      <c r="S112" s="519"/>
      <c r="T112" s="519"/>
      <c r="U112" s="519"/>
      <c r="V112" s="519"/>
      <c r="W112" s="519"/>
      <c r="X112" s="519"/>
      <c r="Y112" s="519"/>
      <c r="Z112" s="519"/>
      <c r="AA112" s="519"/>
      <c r="AB112" s="519"/>
      <c r="AC112" s="519"/>
      <c r="AD112" s="519"/>
      <c r="AE112" s="519"/>
      <c r="AF112" s="519"/>
      <c r="AG112" s="519"/>
      <c r="AH112" s="519"/>
      <c r="AI112" s="519"/>
      <c r="AJ112" s="519"/>
      <c r="AK112" s="519"/>
      <c r="AL112" s="519"/>
      <c r="AM112" s="519"/>
      <c r="AN112" s="519"/>
      <c r="AO112" s="519"/>
      <c r="AP112" s="519"/>
      <c r="AQ112" s="519"/>
      <c r="AR112" s="519"/>
      <c r="AS112" s="519"/>
      <c r="AT112" s="519"/>
      <c r="AU112" s="519"/>
      <c r="AV112" s="519"/>
      <c r="AW112" s="519"/>
      <c r="AX112" s="519"/>
      <c r="AY112" s="519"/>
      <c r="AZ112" s="519"/>
      <c r="BA112" s="519"/>
      <c r="BB112" s="519"/>
      <c r="BC112" s="519"/>
      <c r="BD112" s="519"/>
      <c r="BE112" s="519"/>
      <c r="BF112" s="519"/>
      <c r="BG112" s="519"/>
      <c r="BH112" s="519"/>
      <c r="BI112" s="519"/>
      <c r="BJ112" s="519"/>
      <c r="BK112" s="519"/>
      <c r="BL112" s="519"/>
      <c r="BM112" s="519"/>
      <c r="BN112" s="519"/>
      <c r="BO112" s="519"/>
      <c r="BP112" s="519"/>
      <c r="BQ112" s="519"/>
      <c r="BR112" s="519"/>
      <c r="BS112" s="519"/>
      <c r="BT112" s="519"/>
      <c r="BU112" s="519"/>
      <c r="BV112" s="519"/>
      <c r="BW112" s="519"/>
      <c r="BX112" s="519"/>
      <c r="BY112" s="519"/>
      <c r="BZ112" s="519"/>
      <c r="CA112" s="519"/>
      <c r="CB112" s="519"/>
      <c r="CC112" s="519"/>
      <c r="CD112" s="519"/>
      <c r="CE112" s="519"/>
      <c r="CF112" s="519"/>
      <c r="CG112" s="519"/>
      <c r="CH112" s="519"/>
      <c r="CI112" s="519"/>
      <c r="CJ112" s="519"/>
      <c r="CK112" s="519"/>
      <c r="CL112" s="519"/>
      <c r="CM112" s="519"/>
      <c r="CN112" s="519"/>
      <c r="CO112" s="519"/>
      <c r="CP112" s="519"/>
      <c r="CQ112" s="519"/>
      <c r="CR112" s="519"/>
      <c r="CS112" s="519"/>
      <c r="CT112" s="519"/>
      <c r="CU112" s="519"/>
      <c r="CV112" s="519"/>
      <c r="CW112" s="519"/>
    </row>
    <row r="113" spans="4:101" s="536" customFormat="1" ht="15.75">
      <c r="D113" s="536" t="s">
        <v>6</v>
      </c>
      <c r="E113" s="556" t="e">
        <v>#N/A</v>
      </c>
      <c r="F113" s="546" t="s">
        <v>409</v>
      </c>
      <c r="G113" s="541">
        <v>6254116.8195119444</v>
      </c>
      <c r="H113" s="541">
        <v>500</v>
      </c>
      <c r="I113" s="541">
        <v>-18000.419642857145</v>
      </c>
      <c r="J113" s="541"/>
      <c r="K113" s="541">
        <v>-6279</v>
      </c>
      <c r="L113" s="541">
        <v>-3727.5952380952294</v>
      </c>
      <c r="M113" s="541">
        <f t="shared" si="3"/>
        <v>-27507</v>
      </c>
      <c r="N113" s="541">
        <f t="shared" si="4"/>
        <v>6226609.8195119444</v>
      </c>
      <c r="O113" s="542">
        <f t="shared" si="5"/>
        <v>6226610</v>
      </c>
      <c r="P113" s="519"/>
      <c r="Q113" s="519"/>
      <c r="R113" s="519"/>
      <c r="S113" s="519"/>
      <c r="T113" s="519"/>
      <c r="U113" s="519"/>
      <c r="V113" s="519"/>
      <c r="W113" s="519"/>
      <c r="X113" s="519"/>
      <c r="Y113" s="519"/>
      <c r="Z113" s="519"/>
      <c r="AA113" s="519"/>
      <c r="AB113" s="519"/>
      <c r="AC113" s="519"/>
      <c r="AD113" s="519"/>
      <c r="AE113" s="519"/>
      <c r="AF113" s="519"/>
      <c r="AG113" s="519"/>
      <c r="AH113" s="519"/>
      <c r="AI113" s="519"/>
      <c r="AJ113" s="519"/>
      <c r="AK113" s="519"/>
      <c r="AL113" s="519"/>
      <c r="AM113" s="519"/>
      <c r="AN113" s="519"/>
      <c r="AO113" s="519"/>
      <c r="AP113" s="519"/>
      <c r="AQ113" s="519"/>
      <c r="AR113" s="519"/>
      <c r="AS113" s="519"/>
      <c r="AT113" s="519"/>
      <c r="AU113" s="519"/>
      <c r="AV113" s="519"/>
      <c r="AW113" s="519"/>
      <c r="AX113" s="519"/>
      <c r="AY113" s="519"/>
      <c r="AZ113" s="519"/>
      <c r="BA113" s="519"/>
      <c r="BB113" s="519"/>
      <c r="BC113" s="519"/>
      <c r="BD113" s="519"/>
      <c r="BE113" s="519"/>
      <c r="BF113" s="519"/>
      <c r="BG113" s="519"/>
      <c r="BH113" s="519"/>
      <c r="BI113" s="519"/>
      <c r="BJ113" s="519"/>
      <c r="BK113" s="519"/>
      <c r="BL113" s="519"/>
      <c r="BM113" s="519"/>
      <c r="BN113" s="519"/>
      <c r="BO113" s="519"/>
      <c r="BP113" s="519"/>
      <c r="BQ113" s="519"/>
      <c r="BR113" s="519"/>
      <c r="BS113" s="519"/>
      <c r="BT113" s="519"/>
      <c r="BU113" s="519"/>
      <c r="BV113" s="519"/>
      <c r="BW113" s="519"/>
      <c r="BX113" s="519"/>
      <c r="BY113" s="519"/>
      <c r="BZ113" s="519"/>
      <c r="CA113" s="519"/>
      <c r="CB113" s="519"/>
      <c r="CC113" s="519"/>
      <c r="CD113" s="519"/>
      <c r="CE113" s="519"/>
      <c r="CF113" s="519"/>
      <c r="CG113" s="519"/>
      <c r="CH113" s="519"/>
      <c r="CI113" s="519"/>
      <c r="CJ113" s="519"/>
      <c r="CK113" s="519"/>
      <c r="CL113" s="519"/>
      <c r="CM113" s="519"/>
      <c r="CN113" s="519"/>
      <c r="CO113" s="519"/>
      <c r="CP113" s="519"/>
      <c r="CQ113" s="519"/>
      <c r="CR113" s="519"/>
      <c r="CS113" s="519"/>
      <c r="CT113" s="519"/>
      <c r="CU113" s="519"/>
      <c r="CV113" s="519"/>
      <c r="CW113" s="519"/>
    </row>
    <row r="114" spans="4:101" s="536" customFormat="1" ht="15.75">
      <c r="E114" s="556">
        <v>5408</v>
      </c>
      <c r="F114" s="552" t="s">
        <v>118</v>
      </c>
      <c r="G114" s="541">
        <v>3947717.1986985453</v>
      </c>
      <c r="H114" s="541">
        <v>1269346.0000000002</v>
      </c>
      <c r="I114" s="541">
        <v>-9907.7189781021698</v>
      </c>
      <c r="J114" s="541">
        <v>-24500</v>
      </c>
      <c r="K114" s="541">
        <v>19918.910908506099</v>
      </c>
      <c r="L114" s="541">
        <v>50147.166666666664</v>
      </c>
      <c r="M114" s="541">
        <f t="shared" si="3"/>
        <v>1305004</v>
      </c>
      <c r="N114" s="541">
        <f t="shared" si="4"/>
        <v>5252721.1986985449</v>
      </c>
      <c r="O114" s="542">
        <f t="shared" si="5"/>
        <v>5252721</v>
      </c>
      <c r="P114" s="519"/>
      <c r="Q114" s="519"/>
      <c r="R114" s="519"/>
      <c r="S114" s="519"/>
      <c r="T114" s="519"/>
      <c r="U114" s="519"/>
      <c r="V114" s="519"/>
      <c r="W114" s="519"/>
      <c r="X114" s="519"/>
      <c r="Y114" s="519"/>
      <c r="Z114" s="519"/>
      <c r="AA114" s="519"/>
      <c r="AB114" s="519"/>
      <c r="AC114" s="519"/>
      <c r="AD114" s="519"/>
      <c r="AE114" s="519"/>
      <c r="AF114" s="519"/>
      <c r="AG114" s="519"/>
      <c r="AH114" s="519"/>
      <c r="AI114" s="519"/>
      <c r="AJ114" s="519"/>
      <c r="AK114" s="519"/>
      <c r="AL114" s="519"/>
      <c r="AM114" s="519"/>
      <c r="AN114" s="519"/>
      <c r="AO114" s="519"/>
      <c r="AP114" s="519"/>
      <c r="AQ114" s="519"/>
      <c r="AR114" s="519"/>
      <c r="AS114" s="519"/>
      <c r="AT114" s="519"/>
      <c r="AU114" s="519"/>
      <c r="AV114" s="519"/>
      <c r="AW114" s="519"/>
      <c r="AX114" s="519"/>
      <c r="AY114" s="519"/>
      <c r="AZ114" s="519"/>
      <c r="BA114" s="519"/>
      <c r="BB114" s="519"/>
      <c r="BC114" s="519"/>
      <c r="BD114" s="519"/>
      <c r="BE114" s="519"/>
      <c r="BF114" s="519"/>
      <c r="BG114" s="519"/>
      <c r="BH114" s="519"/>
      <c r="BI114" s="519"/>
      <c r="BJ114" s="519"/>
      <c r="BK114" s="519"/>
      <c r="BL114" s="519"/>
      <c r="BM114" s="519"/>
      <c r="BN114" s="519"/>
      <c r="BO114" s="519"/>
      <c r="BP114" s="519"/>
      <c r="BQ114" s="519"/>
      <c r="BR114" s="519"/>
      <c r="BS114" s="519"/>
      <c r="BT114" s="519"/>
      <c r="BU114" s="519"/>
      <c r="BV114" s="519"/>
      <c r="BW114" s="519"/>
      <c r="BX114" s="519"/>
      <c r="BY114" s="519"/>
      <c r="BZ114" s="519"/>
      <c r="CA114" s="519"/>
      <c r="CB114" s="519"/>
      <c r="CC114" s="519"/>
      <c r="CD114" s="519"/>
      <c r="CE114" s="519"/>
      <c r="CF114" s="519"/>
      <c r="CG114" s="519"/>
      <c r="CH114" s="519"/>
      <c r="CI114" s="519"/>
      <c r="CJ114" s="519"/>
      <c r="CK114" s="519"/>
      <c r="CL114" s="519"/>
      <c r="CM114" s="519"/>
      <c r="CN114" s="519"/>
      <c r="CO114" s="519"/>
      <c r="CP114" s="519"/>
      <c r="CQ114" s="519"/>
      <c r="CR114" s="519"/>
      <c r="CS114" s="519"/>
      <c r="CT114" s="519"/>
      <c r="CU114" s="519"/>
      <c r="CV114" s="519"/>
      <c r="CW114" s="519"/>
    </row>
    <row r="115" spans="4:101" s="536" customFormat="1" ht="15.75">
      <c r="E115" s="556" t="e">
        <v>#N/A</v>
      </c>
      <c r="F115" s="546" t="s">
        <v>381</v>
      </c>
      <c r="G115" s="541">
        <v>4407599.7909544529</v>
      </c>
      <c r="H115" s="541">
        <v>3485</v>
      </c>
      <c r="I115" s="541">
        <v>18586.213490959726</v>
      </c>
      <c r="J115" s="541"/>
      <c r="K115" s="541">
        <v>-10187.833333333323</v>
      </c>
      <c r="L115" s="541">
        <v>2154.4047619047469</v>
      </c>
      <c r="M115" s="541">
        <f t="shared" si="3"/>
        <v>14038</v>
      </c>
      <c r="N115" s="541">
        <f t="shared" si="4"/>
        <v>4421637.7909544529</v>
      </c>
      <c r="O115" s="542">
        <f t="shared" si="5"/>
        <v>4421638</v>
      </c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  <c r="AE115" s="519"/>
      <c r="AF115" s="519"/>
      <c r="AG115" s="519"/>
      <c r="AH115" s="519"/>
      <c r="AI115" s="519"/>
      <c r="AJ115" s="519"/>
      <c r="AK115" s="519"/>
      <c r="AL115" s="519"/>
      <c r="AM115" s="519"/>
      <c r="AN115" s="519"/>
      <c r="AO115" s="519"/>
      <c r="AP115" s="519"/>
      <c r="AQ115" s="519"/>
      <c r="AR115" s="519"/>
      <c r="AS115" s="519"/>
      <c r="AT115" s="519"/>
      <c r="AU115" s="519"/>
      <c r="AV115" s="519"/>
      <c r="AW115" s="519"/>
      <c r="AX115" s="519"/>
      <c r="AY115" s="519"/>
      <c r="AZ115" s="519"/>
      <c r="BA115" s="519"/>
      <c r="BB115" s="519"/>
      <c r="BC115" s="519"/>
      <c r="BD115" s="519"/>
      <c r="BE115" s="519"/>
      <c r="BF115" s="519"/>
      <c r="BG115" s="519"/>
      <c r="BH115" s="519"/>
      <c r="BI115" s="519"/>
      <c r="BJ115" s="519"/>
      <c r="BK115" s="519"/>
      <c r="BL115" s="519"/>
      <c r="BM115" s="519"/>
      <c r="BN115" s="519"/>
      <c r="BO115" s="519"/>
      <c r="BP115" s="519"/>
      <c r="BQ115" s="519"/>
      <c r="BR115" s="519"/>
      <c r="BS115" s="519"/>
      <c r="BT115" s="519"/>
      <c r="BU115" s="519"/>
      <c r="BV115" s="519"/>
      <c r="BW115" s="519"/>
      <c r="BX115" s="519"/>
      <c r="BY115" s="519"/>
      <c r="BZ115" s="519"/>
      <c r="CA115" s="519"/>
      <c r="CB115" s="519"/>
      <c r="CC115" s="519"/>
      <c r="CD115" s="519"/>
      <c r="CE115" s="519"/>
      <c r="CF115" s="519"/>
      <c r="CG115" s="519"/>
      <c r="CH115" s="519"/>
      <c r="CI115" s="519"/>
      <c r="CJ115" s="519"/>
      <c r="CK115" s="519"/>
      <c r="CL115" s="519"/>
      <c r="CM115" s="519"/>
      <c r="CN115" s="519"/>
      <c r="CO115" s="519"/>
      <c r="CP115" s="519"/>
      <c r="CQ115" s="519"/>
      <c r="CR115" s="519"/>
      <c r="CS115" s="519"/>
      <c r="CT115" s="519"/>
      <c r="CU115" s="519"/>
      <c r="CV115" s="519"/>
      <c r="CW115" s="519"/>
    </row>
    <row r="116" spans="4:101" s="536" customFormat="1" ht="15.75">
      <c r="E116" s="556" t="e">
        <v>#N/A</v>
      </c>
      <c r="F116" s="546" t="s">
        <v>52</v>
      </c>
      <c r="G116" s="541">
        <v>5544096.3238203563</v>
      </c>
      <c r="H116" s="541">
        <v>6519.333333333333</v>
      </c>
      <c r="I116" s="541">
        <v>-8288.9085714285848</v>
      </c>
      <c r="J116" s="541"/>
      <c r="K116" s="541">
        <v>14687.833333333328</v>
      </c>
      <c r="L116" s="541">
        <v>-2097.76190476189</v>
      </c>
      <c r="M116" s="541">
        <f t="shared" si="3"/>
        <v>10820</v>
      </c>
      <c r="N116" s="541">
        <f t="shared" si="4"/>
        <v>5554916.3238203563</v>
      </c>
      <c r="O116" s="542">
        <f t="shared" si="5"/>
        <v>5554916</v>
      </c>
      <c r="P116" s="519"/>
      <c r="Q116" s="519"/>
      <c r="R116" s="519"/>
      <c r="S116" s="519"/>
      <c r="T116" s="519"/>
      <c r="U116" s="519"/>
      <c r="V116" s="519"/>
      <c r="W116" s="519"/>
      <c r="X116" s="519"/>
      <c r="Y116" s="519"/>
      <c r="Z116" s="519"/>
      <c r="AA116" s="519"/>
      <c r="AB116" s="519"/>
      <c r="AC116" s="519"/>
      <c r="AD116" s="519"/>
      <c r="AE116" s="519"/>
      <c r="AF116" s="519"/>
      <c r="AG116" s="519"/>
      <c r="AH116" s="519"/>
      <c r="AI116" s="519"/>
      <c r="AJ116" s="519"/>
      <c r="AK116" s="519"/>
      <c r="AL116" s="519"/>
      <c r="AM116" s="519"/>
      <c r="AN116" s="519"/>
      <c r="AO116" s="519"/>
      <c r="AP116" s="519"/>
      <c r="AQ116" s="519"/>
      <c r="AR116" s="519"/>
      <c r="AS116" s="519"/>
      <c r="AT116" s="519"/>
      <c r="AU116" s="519"/>
      <c r="AV116" s="519"/>
      <c r="AW116" s="519"/>
      <c r="AX116" s="519"/>
      <c r="AY116" s="519"/>
      <c r="AZ116" s="519"/>
      <c r="BA116" s="519"/>
      <c r="BB116" s="519"/>
      <c r="BC116" s="519"/>
      <c r="BD116" s="519"/>
      <c r="BE116" s="519"/>
      <c r="BF116" s="519"/>
      <c r="BG116" s="519"/>
      <c r="BH116" s="519"/>
      <c r="BI116" s="519"/>
      <c r="BJ116" s="519"/>
      <c r="BK116" s="519"/>
      <c r="BL116" s="519"/>
      <c r="BM116" s="519"/>
      <c r="BN116" s="519"/>
      <c r="BO116" s="519"/>
      <c r="BP116" s="519"/>
      <c r="BQ116" s="519"/>
      <c r="BR116" s="519"/>
      <c r="BS116" s="519"/>
      <c r="BT116" s="519"/>
      <c r="BU116" s="519"/>
      <c r="BV116" s="519"/>
      <c r="BW116" s="519"/>
      <c r="BX116" s="519"/>
      <c r="BY116" s="519"/>
      <c r="BZ116" s="519"/>
      <c r="CA116" s="519"/>
      <c r="CB116" s="519"/>
      <c r="CC116" s="519"/>
      <c r="CD116" s="519"/>
      <c r="CE116" s="519"/>
      <c r="CF116" s="519"/>
      <c r="CG116" s="519"/>
      <c r="CH116" s="519"/>
      <c r="CI116" s="519"/>
      <c r="CJ116" s="519"/>
      <c r="CK116" s="519"/>
      <c r="CL116" s="519"/>
      <c r="CM116" s="519"/>
      <c r="CN116" s="519"/>
      <c r="CO116" s="519"/>
      <c r="CP116" s="519"/>
      <c r="CQ116" s="519"/>
      <c r="CR116" s="519"/>
      <c r="CS116" s="519"/>
      <c r="CT116" s="519"/>
      <c r="CU116" s="519"/>
      <c r="CV116" s="519"/>
      <c r="CW116" s="519"/>
    </row>
    <row r="117" spans="4:101" s="536" customFormat="1" ht="15.75">
      <c r="E117" s="556" t="e">
        <v>#N/A</v>
      </c>
      <c r="F117" s="546" t="s">
        <v>1537</v>
      </c>
      <c r="G117" s="541">
        <v>6259799.5681495573</v>
      </c>
      <c r="H117" s="541">
        <v>9599.8333333333521</v>
      </c>
      <c r="I117" s="541">
        <v>1060.3530534351303</v>
      </c>
      <c r="J117" s="541"/>
      <c r="K117" s="541">
        <v>28184.666666666642</v>
      </c>
      <c r="L117" s="541">
        <v>1490.238095238197</v>
      </c>
      <c r="M117" s="541">
        <f t="shared" si="3"/>
        <v>40335</v>
      </c>
      <c r="N117" s="541">
        <f t="shared" si="4"/>
        <v>6300134.5681495573</v>
      </c>
      <c r="O117" s="542">
        <f t="shared" si="5"/>
        <v>6300135</v>
      </c>
      <c r="P117" s="519"/>
      <c r="Q117" s="519"/>
      <c r="R117" s="519"/>
      <c r="S117" s="519"/>
      <c r="T117" s="519"/>
      <c r="U117" s="519"/>
      <c r="V117" s="519"/>
      <c r="W117" s="519"/>
      <c r="X117" s="519"/>
      <c r="Y117" s="519"/>
      <c r="Z117" s="519"/>
      <c r="AA117" s="519"/>
      <c r="AB117" s="519"/>
      <c r="AC117" s="519"/>
      <c r="AD117" s="519"/>
      <c r="AE117" s="519"/>
      <c r="AF117" s="519"/>
      <c r="AG117" s="519"/>
      <c r="AH117" s="519"/>
      <c r="AI117" s="519"/>
      <c r="AJ117" s="519"/>
      <c r="AK117" s="519"/>
      <c r="AL117" s="519"/>
      <c r="AM117" s="519"/>
      <c r="AN117" s="519"/>
      <c r="AO117" s="519"/>
      <c r="AP117" s="519"/>
      <c r="AQ117" s="519"/>
      <c r="AR117" s="519"/>
      <c r="AS117" s="519"/>
      <c r="AT117" s="519"/>
      <c r="AU117" s="519"/>
      <c r="AV117" s="519"/>
      <c r="AW117" s="519"/>
      <c r="AX117" s="519"/>
      <c r="AY117" s="519"/>
      <c r="AZ117" s="519"/>
      <c r="BA117" s="519"/>
      <c r="BB117" s="519"/>
      <c r="BC117" s="519"/>
      <c r="BD117" s="519"/>
      <c r="BE117" s="519"/>
      <c r="BF117" s="519"/>
      <c r="BG117" s="519"/>
      <c r="BH117" s="519"/>
      <c r="BI117" s="519"/>
      <c r="BJ117" s="519"/>
      <c r="BK117" s="519"/>
      <c r="BL117" s="519"/>
      <c r="BM117" s="519"/>
      <c r="BN117" s="519"/>
      <c r="BO117" s="519"/>
      <c r="BP117" s="519"/>
      <c r="BQ117" s="519"/>
      <c r="BR117" s="519"/>
      <c r="BS117" s="519"/>
      <c r="BT117" s="519"/>
      <c r="BU117" s="519"/>
      <c r="BV117" s="519"/>
      <c r="BW117" s="519"/>
      <c r="BX117" s="519"/>
      <c r="BY117" s="519"/>
      <c r="BZ117" s="519"/>
      <c r="CA117" s="519"/>
      <c r="CB117" s="519"/>
      <c r="CC117" s="519"/>
      <c r="CD117" s="519"/>
      <c r="CE117" s="519"/>
      <c r="CF117" s="519"/>
      <c r="CG117" s="519"/>
      <c r="CH117" s="519"/>
      <c r="CI117" s="519"/>
      <c r="CJ117" s="519"/>
      <c r="CK117" s="519"/>
      <c r="CL117" s="519"/>
      <c r="CM117" s="519"/>
      <c r="CN117" s="519"/>
      <c r="CO117" s="519"/>
      <c r="CP117" s="519"/>
      <c r="CQ117" s="519"/>
      <c r="CR117" s="519"/>
      <c r="CS117" s="519"/>
      <c r="CT117" s="519"/>
      <c r="CU117" s="519"/>
      <c r="CV117" s="519"/>
      <c r="CW117" s="519"/>
    </row>
    <row r="118" spans="4:101" s="536" customFormat="1" ht="15.75">
      <c r="E118" s="556">
        <v>5405</v>
      </c>
      <c r="F118" s="536" t="s">
        <v>119</v>
      </c>
      <c r="G118" s="541">
        <v>4709475.0020265253</v>
      </c>
      <c r="H118" s="541">
        <v>1488634.3333333333</v>
      </c>
      <c r="I118" s="541">
        <v>-3811.6826923076806</v>
      </c>
      <c r="J118" s="541">
        <v>-4694</v>
      </c>
      <c r="K118" s="541">
        <v>10158.833333333314</v>
      </c>
      <c r="L118" s="541">
        <v>14866.999999999978</v>
      </c>
      <c r="M118" s="541">
        <f t="shared" si="3"/>
        <v>1505154</v>
      </c>
      <c r="N118" s="541">
        <f t="shared" si="4"/>
        <v>6214629.0020265253</v>
      </c>
      <c r="O118" s="542">
        <f t="shared" si="5"/>
        <v>6214629</v>
      </c>
      <c r="P118" s="519"/>
      <c r="Q118" s="519"/>
      <c r="R118" s="519"/>
      <c r="S118" s="519"/>
      <c r="T118" s="519"/>
      <c r="U118" s="519"/>
      <c r="V118" s="519"/>
      <c r="W118" s="519"/>
      <c r="X118" s="519"/>
      <c r="Y118" s="519"/>
      <c r="Z118" s="519"/>
      <c r="AA118" s="519"/>
      <c r="AB118" s="519"/>
      <c r="AC118" s="519"/>
      <c r="AD118" s="519"/>
      <c r="AE118" s="519"/>
      <c r="AF118" s="519"/>
      <c r="AG118" s="519"/>
      <c r="AH118" s="519"/>
      <c r="AI118" s="519"/>
      <c r="AJ118" s="519"/>
      <c r="AK118" s="519"/>
      <c r="AL118" s="519"/>
      <c r="AM118" s="519"/>
      <c r="AN118" s="519"/>
      <c r="AO118" s="519"/>
      <c r="AP118" s="519"/>
      <c r="AQ118" s="519"/>
      <c r="AR118" s="519"/>
      <c r="AS118" s="519"/>
      <c r="AT118" s="519"/>
      <c r="AU118" s="519"/>
      <c r="AV118" s="519"/>
      <c r="AW118" s="519"/>
      <c r="AX118" s="519"/>
      <c r="AY118" s="519"/>
      <c r="AZ118" s="519"/>
      <c r="BA118" s="519"/>
      <c r="BB118" s="519"/>
      <c r="BC118" s="519"/>
      <c r="BD118" s="519"/>
      <c r="BE118" s="519"/>
      <c r="BF118" s="519"/>
      <c r="BG118" s="519"/>
      <c r="BH118" s="519"/>
      <c r="BI118" s="519"/>
      <c r="BJ118" s="519"/>
      <c r="BK118" s="519"/>
      <c r="BL118" s="519"/>
      <c r="BM118" s="519"/>
      <c r="BN118" s="519"/>
      <c r="BO118" s="519"/>
      <c r="BP118" s="519"/>
      <c r="BQ118" s="519"/>
      <c r="BR118" s="519"/>
      <c r="BS118" s="519"/>
      <c r="BT118" s="519"/>
      <c r="BU118" s="519"/>
      <c r="BV118" s="519"/>
      <c r="BW118" s="519"/>
      <c r="BX118" s="519"/>
      <c r="BY118" s="519"/>
      <c r="BZ118" s="519"/>
      <c r="CA118" s="519"/>
      <c r="CB118" s="519"/>
      <c r="CC118" s="519"/>
      <c r="CD118" s="519"/>
      <c r="CE118" s="519"/>
      <c r="CF118" s="519"/>
      <c r="CG118" s="519"/>
      <c r="CH118" s="519"/>
      <c r="CI118" s="519"/>
      <c r="CJ118" s="519"/>
      <c r="CK118" s="519"/>
      <c r="CL118" s="519"/>
      <c r="CM118" s="519"/>
      <c r="CN118" s="519"/>
      <c r="CO118" s="519"/>
      <c r="CP118" s="519"/>
      <c r="CQ118" s="519"/>
      <c r="CR118" s="519"/>
      <c r="CS118" s="519"/>
      <c r="CT118" s="519"/>
      <c r="CU118" s="519"/>
      <c r="CV118" s="519"/>
      <c r="CW118" s="519"/>
    </row>
    <row r="119" spans="4:101" s="536" customFormat="1" ht="15.75">
      <c r="E119" s="556">
        <v>4003</v>
      </c>
      <c r="F119" s="536" t="s">
        <v>120</v>
      </c>
      <c r="G119" s="541">
        <v>5407606.0711423112</v>
      </c>
      <c r="H119" s="541">
        <v>17305.473333333342</v>
      </c>
      <c r="I119" s="541">
        <v>-9011.6666666665096</v>
      </c>
      <c r="J119" s="541">
        <v>-2608</v>
      </c>
      <c r="K119" s="541">
        <v>-64278.166666666686</v>
      </c>
      <c r="L119" s="541">
        <v>34473.910476190475</v>
      </c>
      <c r="M119" s="541">
        <f t="shared" si="3"/>
        <v>-24118</v>
      </c>
      <c r="N119" s="541">
        <f t="shared" si="4"/>
        <v>5383488.0711423112</v>
      </c>
      <c r="O119" s="542">
        <f t="shared" si="5"/>
        <v>5383488</v>
      </c>
      <c r="P119" s="519"/>
      <c r="Q119" s="519"/>
      <c r="R119" s="519"/>
      <c r="S119" s="519"/>
      <c r="T119" s="519"/>
      <c r="U119" s="519"/>
      <c r="V119" s="519"/>
      <c r="W119" s="519"/>
      <c r="X119" s="519"/>
      <c r="Y119" s="519"/>
      <c r="Z119" s="519"/>
      <c r="AA119" s="519"/>
      <c r="AB119" s="519"/>
      <c r="AC119" s="519"/>
      <c r="AD119" s="519"/>
      <c r="AE119" s="519"/>
      <c r="AF119" s="519"/>
      <c r="AG119" s="519"/>
      <c r="AH119" s="519"/>
      <c r="AI119" s="519"/>
      <c r="AJ119" s="519"/>
      <c r="AK119" s="519"/>
      <c r="AL119" s="519"/>
      <c r="AM119" s="519"/>
      <c r="AN119" s="519"/>
      <c r="AO119" s="519"/>
      <c r="AP119" s="519"/>
      <c r="AQ119" s="519"/>
      <c r="AR119" s="519"/>
      <c r="AS119" s="519"/>
      <c r="AT119" s="519"/>
      <c r="AU119" s="519"/>
      <c r="AV119" s="519"/>
      <c r="AW119" s="519"/>
      <c r="AX119" s="519"/>
      <c r="AY119" s="519"/>
      <c r="AZ119" s="519"/>
      <c r="BA119" s="519"/>
      <c r="BB119" s="519"/>
      <c r="BC119" s="519"/>
      <c r="BD119" s="519"/>
      <c r="BE119" s="519"/>
      <c r="BF119" s="519"/>
      <c r="BG119" s="519"/>
      <c r="BH119" s="519"/>
      <c r="BI119" s="519"/>
      <c r="BJ119" s="519"/>
      <c r="BK119" s="519"/>
      <c r="BL119" s="519"/>
      <c r="BM119" s="519"/>
      <c r="BN119" s="519"/>
      <c r="BO119" s="519"/>
      <c r="BP119" s="519"/>
      <c r="BQ119" s="519"/>
      <c r="BR119" s="519"/>
      <c r="BS119" s="519"/>
      <c r="BT119" s="519"/>
      <c r="BU119" s="519"/>
      <c r="BV119" s="519"/>
      <c r="BW119" s="519"/>
      <c r="BX119" s="519"/>
      <c r="BY119" s="519"/>
      <c r="BZ119" s="519"/>
      <c r="CA119" s="519"/>
      <c r="CB119" s="519"/>
      <c r="CC119" s="519"/>
      <c r="CD119" s="519"/>
      <c r="CE119" s="519"/>
      <c r="CF119" s="519"/>
      <c r="CG119" s="519"/>
      <c r="CH119" s="519"/>
      <c r="CI119" s="519"/>
      <c r="CJ119" s="519"/>
      <c r="CK119" s="519"/>
      <c r="CL119" s="519"/>
      <c r="CM119" s="519"/>
      <c r="CN119" s="519"/>
      <c r="CO119" s="519"/>
      <c r="CP119" s="519"/>
      <c r="CQ119" s="519"/>
      <c r="CR119" s="519"/>
      <c r="CS119" s="519"/>
      <c r="CT119" s="519"/>
      <c r="CU119" s="519"/>
      <c r="CV119" s="519"/>
      <c r="CW119" s="519"/>
    </row>
    <row r="120" spans="4:101" s="536" customFormat="1" ht="15.75">
      <c r="E120" s="556" t="e">
        <v>#N/A</v>
      </c>
      <c r="F120" s="546" t="s">
        <v>121</v>
      </c>
      <c r="G120" s="541">
        <v>4430555.8260966428</v>
      </c>
      <c r="H120" s="541">
        <v>8382</v>
      </c>
      <c r="I120" s="541">
        <v>5746.8292682926649</v>
      </c>
      <c r="J120" s="541"/>
      <c r="K120" s="541">
        <v>20932.5</v>
      </c>
      <c r="L120" s="541">
        <v>76.166666666667879</v>
      </c>
      <c r="M120" s="541">
        <f t="shared" si="3"/>
        <v>35137</v>
      </c>
      <c r="N120" s="541">
        <f t="shared" si="4"/>
        <v>4465692.8260966428</v>
      </c>
      <c r="O120" s="542">
        <f t="shared" si="5"/>
        <v>4465693</v>
      </c>
      <c r="P120" s="519"/>
      <c r="Q120" s="519"/>
      <c r="R120" s="519"/>
      <c r="S120" s="519"/>
      <c r="T120" s="519"/>
      <c r="U120" s="519"/>
      <c r="V120" s="519"/>
      <c r="W120" s="519"/>
      <c r="X120" s="519"/>
      <c r="Y120" s="519"/>
      <c r="Z120" s="519"/>
      <c r="AA120" s="519"/>
      <c r="AB120" s="519"/>
      <c r="AC120" s="519"/>
      <c r="AD120" s="519"/>
      <c r="AE120" s="519"/>
      <c r="AF120" s="519"/>
      <c r="AG120" s="519"/>
      <c r="AH120" s="519"/>
      <c r="AI120" s="519"/>
      <c r="AJ120" s="519"/>
      <c r="AK120" s="519"/>
      <c r="AL120" s="519"/>
      <c r="AM120" s="519"/>
      <c r="AN120" s="519"/>
      <c r="AO120" s="519"/>
      <c r="AP120" s="519"/>
      <c r="AQ120" s="519"/>
      <c r="AR120" s="519"/>
      <c r="AS120" s="519"/>
      <c r="AT120" s="519"/>
      <c r="AU120" s="519"/>
      <c r="AV120" s="519"/>
      <c r="AW120" s="519"/>
      <c r="AX120" s="519"/>
      <c r="AY120" s="519"/>
      <c r="AZ120" s="519"/>
      <c r="BA120" s="519"/>
      <c r="BB120" s="519"/>
      <c r="BC120" s="519"/>
      <c r="BD120" s="519"/>
      <c r="BE120" s="519"/>
      <c r="BF120" s="519"/>
      <c r="BG120" s="519"/>
      <c r="BH120" s="519"/>
      <c r="BI120" s="519"/>
      <c r="BJ120" s="519"/>
      <c r="BK120" s="519"/>
      <c r="BL120" s="519"/>
      <c r="BM120" s="519"/>
      <c r="BN120" s="519"/>
      <c r="BO120" s="519"/>
      <c r="BP120" s="519"/>
      <c r="BQ120" s="519"/>
      <c r="BR120" s="519"/>
      <c r="BS120" s="519"/>
      <c r="BT120" s="519"/>
      <c r="BU120" s="519"/>
      <c r="BV120" s="519"/>
      <c r="BW120" s="519"/>
      <c r="BX120" s="519"/>
      <c r="BY120" s="519"/>
      <c r="BZ120" s="519"/>
      <c r="CA120" s="519"/>
      <c r="CB120" s="519"/>
      <c r="CC120" s="519"/>
      <c r="CD120" s="519"/>
      <c r="CE120" s="519"/>
      <c r="CF120" s="519"/>
      <c r="CG120" s="519"/>
      <c r="CH120" s="519"/>
      <c r="CI120" s="519"/>
      <c r="CJ120" s="519"/>
      <c r="CK120" s="519"/>
      <c r="CL120" s="519"/>
      <c r="CM120" s="519"/>
      <c r="CN120" s="519"/>
      <c r="CO120" s="519"/>
      <c r="CP120" s="519"/>
      <c r="CQ120" s="519"/>
      <c r="CR120" s="519"/>
      <c r="CS120" s="519"/>
      <c r="CT120" s="519"/>
      <c r="CU120" s="519"/>
      <c r="CV120" s="519"/>
      <c r="CW120" s="519"/>
    </row>
    <row r="121" spans="4:101" s="536" customFormat="1" ht="15.75">
      <c r="E121" s="556" t="e">
        <v>#N/A</v>
      </c>
      <c r="F121" s="546" t="s">
        <v>122</v>
      </c>
      <c r="G121" s="541">
        <v>7257951.848739272</v>
      </c>
      <c r="H121" s="541">
        <v>1113.1599999999162</v>
      </c>
      <c r="I121" s="541">
        <v>28289.3599999996</v>
      </c>
      <c r="J121" s="541"/>
      <c r="K121" s="541">
        <v>70986.813333333426</v>
      </c>
      <c r="L121" s="541">
        <v>6470.714285714198</v>
      </c>
      <c r="M121" s="541">
        <f t="shared" si="3"/>
        <v>106860</v>
      </c>
      <c r="N121" s="541">
        <f t="shared" si="4"/>
        <v>7364811.848739272</v>
      </c>
      <c r="O121" s="542">
        <f t="shared" si="5"/>
        <v>7364812</v>
      </c>
      <c r="P121" s="519"/>
      <c r="Q121" s="519"/>
      <c r="R121" s="519"/>
      <c r="S121" s="519"/>
      <c r="T121" s="519"/>
      <c r="U121" s="519"/>
      <c r="V121" s="519"/>
      <c r="W121" s="519"/>
      <c r="X121" s="519"/>
      <c r="Y121" s="519"/>
      <c r="Z121" s="519"/>
      <c r="AA121" s="519"/>
      <c r="AB121" s="519"/>
      <c r="AC121" s="519"/>
      <c r="AD121" s="519"/>
      <c r="AE121" s="519"/>
      <c r="AF121" s="519"/>
      <c r="AG121" s="519"/>
      <c r="AH121" s="519"/>
      <c r="AI121" s="519"/>
      <c r="AJ121" s="519"/>
      <c r="AK121" s="519"/>
      <c r="AL121" s="519"/>
      <c r="AM121" s="519"/>
      <c r="AN121" s="519"/>
      <c r="AO121" s="519"/>
      <c r="AP121" s="519"/>
      <c r="AQ121" s="519"/>
      <c r="AR121" s="519"/>
      <c r="AS121" s="519"/>
      <c r="AT121" s="519"/>
      <c r="AU121" s="519"/>
      <c r="AV121" s="519"/>
      <c r="AW121" s="519"/>
      <c r="AX121" s="519"/>
      <c r="AY121" s="519"/>
      <c r="AZ121" s="519"/>
      <c r="BA121" s="519"/>
      <c r="BB121" s="519"/>
      <c r="BC121" s="519"/>
      <c r="BD121" s="519"/>
      <c r="BE121" s="519"/>
      <c r="BF121" s="519"/>
      <c r="BG121" s="519"/>
      <c r="BH121" s="519"/>
      <c r="BI121" s="519"/>
      <c r="BJ121" s="519"/>
      <c r="BK121" s="519"/>
      <c r="BL121" s="519"/>
      <c r="BM121" s="519"/>
      <c r="BN121" s="519"/>
      <c r="BO121" s="519"/>
      <c r="BP121" s="519"/>
      <c r="BQ121" s="519"/>
      <c r="BR121" s="519"/>
      <c r="BS121" s="519"/>
      <c r="BT121" s="519"/>
      <c r="BU121" s="519"/>
      <c r="BV121" s="519"/>
      <c r="BW121" s="519"/>
      <c r="BX121" s="519"/>
      <c r="BY121" s="519"/>
      <c r="BZ121" s="519"/>
      <c r="CA121" s="519"/>
      <c r="CB121" s="519"/>
      <c r="CC121" s="519"/>
      <c r="CD121" s="519"/>
      <c r="CE121" s="519"/>
      <c r="CF121" s="519"/>
      <c r="CG121" s="519"/>
      <c r="CH121" s="519"/>
      <c r="CI121" s="519"/>
      <c r="CJ121" s="519"/>
      <c r="CK121" s="519"/>
      <c r="CL121" s="519"/>
      <c r="CM121" s="519"/>
      <c r="CN121" s="519"/>
      <c r="CO121" s="519"/>
      <c r="CP121" s="519"/>
      <c r="CQ121" s="519"/>
      <c r="CR121" s="519"/>
      <c r="CS121" s="519"/>
      <c r="CT121" s="519"/>
      <c r="CU121" s="519"/>
      <c r="CV121" s="519"/>
      <c r="CW121" s="519"/>
    </row>
    <row r="122" spans="4:101" s="536" customFormat="1" ht="15.75">
      <c r="E122" s="556">
        <v>5427</v>
      </c>
      <c r="F122" s="554" t="s">
        <v>134</v>
      </c>
      <c r="G122" s="541">
        <v>5659756.1029030718</v>
      </c>
      <c r="H122" s="541">
        <v>422813.21000000008</v>
      </c>
      <c r="I122" s="541">
        <v>2610.9528301886749</v>
      </c>
      <c r="J122" s="541"/>
      <c r="K122" s="541">
        <v>65156.256666666552</v>
      </c>
      <c r="L122" s="541">
        <v>5126.2500000000146</v>
      </c>
      <c r="M122" s="541">
        <f t="shared" si="3"/>
        <v>495707</v>
      </c>
      <c r="N122" s="541">
        <f t="shared" si="4"/>
        <v>6155463.1029030718</v>
      </c>
      <c r="O122" s="542">
        <f t="shared" si="5"/>
        <v>6155463</v>
      </c>
      <c r="P122" s="519"/>
      <c r="Q122" s="519"/>
      <c r="R122" s="519"/>
      <c r="S122" s="519"/>
      <c r="T122" s="519"/>
      <c r="U122" s="519"/>
      <c r="V122" s="519"/>
      <c r="W122" s="519"/>
      <c r="X122" s="519"/>
      <c r="Y122" s="519"/>
      <c r="Z122" s="519"/>
      <c r="AA122" s="519"/>
      <c r="AB122" s="519"/>
      <c r="AC122" s="519"/>
      <c r="AD122" s="519"/>
      <c r="AE122" s="519"/>
      <c r="AF122" s="519"/>
      <c r="AG122" s="519"/>
      <c r="AH122" s="519"/>
      <c r="AI122" s="519"/>
      <c r="AJ122" s="519"/>
      <c r="AK122" s="519"/>
      <c r="AL122" s="519"/>
      <c r="AM122" s="519"/>
      <c r="AN122" s="519"/>
      <c r="AO122" s="519"/>
      <c r="AP122" s="519"/>
      <c r="AQ122" s="519"/>
      <c r="AR122" s="519"/>
      <c r="AS122" s="519"/>
      <c r="AT122" s="519"/>
      <c r="AU122" s="519"/>
      <c r="AV122" s="519"/>
      <c r="AW122" s="519"/>
      <c r="AX122" s="519"/>
      <c r="AY122" s="519"/>
      <c r="AZ122" s="519"/>
      <c r="BA122" s="519"/>
      <c r="BB122" s="519"/>
      <c r="BC122" s="519"/>
      <c r="BD122" s="519"/>
      <c r="BE122" s="519"/>
      <c r="BF122" s="519"/>
      <c r="BG122" s="519"/>
      <c r="BH122" s="519"/>
      <c r="BI122" s="519"/>
      <c r="BJ122" s="519"/>
      <c r="BK122" s="519"/>
      <c r="BL122" s="519"/>
      <c r="BM122" s="519"/>
      <c r="BN122" s="519"/>
      <c r="BO122" s="519"/>
      <c r="BP122" s="519"/>
      <c r="BQ122" s="519"/>
      <c r="BR122" s="519"/>
      <c r="BS122" s="519"/>
      <c r="BT122" s="519"/>
      <c r="BU122" s="519"/>
      <c r="BV122" s="519"/>
      <c r="BW122" s="519"/>
      <c r="BX122" s="519"/>
      <c r="BY122" s="519"/>
      <c r="BZ122" s="519"/>
      <c r="CA122" s="519"/>
      <c r="CB122" s="519"/>
      <c r="CC122" s="519"/>
      <c r="CD122" s="519"/>
      <c r="CE122" s="519"/>
      <c r="CF122" s="519"/>
      <c r="CG122" s="519"/>
      <c r="CH122" s="519"/>
      <c r="CI122" s="519"/>
      <c r="CJ122" s="519"/>
      <c r="CK122" s="519"/>
      <c r="CL122" s="519"/>
      <c r="CM122" s="519"/>
      <c r="CN122" s="519"/>
      <c r="CO122" s="519"/>
      <c r="CP122" s="519"/>
      <c r="CQ122" s="519"/>
      <c r="CR122" s="519"/>
      <c r="CS122" s="519"/>
      <c r="CT122" s="519"/>
      <c r="CU122" s="519"/>
      <c r="CV122" s="519"/>
      <c r="CW122" s="519"/>
    </row>
    <row r="123" spans="4:101" s="536" customFormat="1" ht="15.75">
      <c r="E123" s="556" t="e">
        <v>#N/A</v>
      </c>
      <c r="F123" s="546" t="s">
        <v>434</v>
      </c>
      <c r="G123" s="541">
        <v>690894.66666666674</v>
      </c>
      <c r="H123" s="541">
        <v>45117.166666666664</v>
      </c>
      <c r="I123" s="541">
        <v>5700</v>
      </c>
      <c r="J123" s="541"/>
      <c r="K123" s="541">
        <v>-21261.000000000065</v>
      </c>
      <c r="L123" s="541">
        <v>2467.1190476189977</v>
      </c>
      <c r="M123" s="541">
        <f t="shared" si="3"/>
        <v>32023</v>
      </c>
      <c r="N123" s="541">
        <f t="shared" si="4"/>
        <v>722917.66666666674</v>
      </c>
      <c r="O123" s="542">
        <f t="shared" si="5"/>
        <v>722918</v>
      </c>
      <c r="P123" s="519"/>
      <c r="Q123" s="519"/>
      <c r="R123" s="519"/>
      <c r="S123" s="519"/>
      <c r="T123" s="519"/>
      <c r="U123" s="519"/>
      <c r="V123" s="519"/>
      <c r="W123" s="519"/>
      <c r="X123" s="519"/>
      <c r="Y123" s="519"/>
      <c r="Z123" s="519"/>
      <c r="AA123" s="519"/>
      <c r="AB123" s="519"/>
      <c r="AC123" s="519"/>
      <c r="AD123" s="519"/>
      <c r="AE123" s="519"/>
      <c r="AF123" s="519"/>
      <c r="AG123" s="519"/>
      <c r="AH123" s="519"/>
      <c r="AI123" s="519"/>
      <c r="AJ123" s="519"/>
      <c r="AK123" s="519"/>
      <c r="AL123" s="519"/>
      <c r="AM123" s="519"/>
      <c r="AN123" s="519"/>
      <c r="AO123" s="519"/>
      <c r="AP123" s="519"/>
      <c r="AQ123" s="519"/>
      <c r="AR123" s="519"/>
      <c r="AS123" s="519"/>
      <c r="AT123" s="519"/>
      <c r="AU123" s="519"/>
      <c r="AV123" s="519"/>
      <c r="AW123" s="519"/>
      <c r="AX123" s="519"/>
      <c r="AY123" s="519"/>
      <c r="AZ123" s="519"/>
      <c r="BA123" s="519"/>
      <c r="BB123" s="519"/>
      <c r="BC123" s="519"/>
      <c r="BD123" s="519"/>
      <c r="BE123" s="519"/>
      <c r="BF123" s="519"/>
      <c r="BG123" s="519"/>
      <c r="BH123" s="519"/>
      <c r="BI123" s="519"/>
      <c r="BJ123" s="519"/>
      <c r="BK123" s="519"/>
      <c r="BL123" s="519"/>
      <c r="BM123" s="519"/>
      <c r="BN123" s="519"/>
      <c r="BO123" s="519"/>
      <c r="BP123" s="519"/>
      <c r="BQ123" s="519"/>
      <c r="BR123" s="519"/>
      <c r="BS123" s="519"/>
      <c r="BT123" s="519"/>
      <c r="BU123" s="519"/>
      <c r="BV123" s="519"/>
      <c r="BW123" s="519"/>
      <c r="BX123" s="519"/>
      <c r="BY123" s="519"/>
      <c r="BZ123" s="519"/>
      <c r="CA123" s="519"/>
      <c r="CB123" s="519"/>
      <c r="CC123" s="519"/>
      <c r="CD123" s="519"/>
      <c r="CE123" s="519"/>
      <c r="CF123" s="519"/>
      <c r="CG123" s="519"/>
      <c r="CH123" s="519"/>
      <c r="CI123" s="519"/>
      <c r="CJ123" s="519"/>
      <c r="CK123" s="519"/>
      <c r="CL123" s="519"/>
      <c r="CM123" s="519"/>
      <c r="CN123" s="519"/>
      <c r="CO123" s="519"/>
      <c r="CP123" s="519"/>
      <c r="CQ123" s="519"/>
      <c r="CR123" s="519"/>
      <c r="CS123" s="519"/>
      <c r="CT123" s="519"/>
      <c r="CU123" s="519"/>
      <c r="CV123" s="519"/>
      <c r="CW123" s="519"/>
    </row>
    <row r="124" spans="4:101" s="536" customFormat="1" ht="15.75">
      <c r="E124" s="556" t="e">
        <v>#N/A</v>
      </c>
      <c r="F124" s="546" t="s">
        <v>1540</v>
      </c>
      <c r="G124" s="541">
        <v>7996558.391360309</v>
      </c>
      <c r="H124" s="541">
        <v>15966</v>
      </c>
      <c r="I124" s="541">
        <v>-11727.43571715554</v>
      </c>
      <c r="J124" s="541">
        <v>-68274.510000000009</v>
      </c>
      <c r="K124" s="541">
        <v>-23883.976666666684</v>
      </c>
      <c r="L124" s="541">
        <v>34172.738060142889</v>
      </c>
      <c r="M124" s="541">
        <f t="shared" si="3"/>
        <v>-53747</v>
      </c>
      <c r="N124" s="541">
        <f t="shared" si="4"/>
        <v>7942811.391360309</v>
      </c>
      <c r="O124" s="542">
        <f t="shared" si="5"/>
        <v>7942811</v>
      </c>
      <c r="P124" s="519"/>
      <c r="Q124" s="519"/>
      <c r="R124" s="519"/>
      <c r="S124" s="519"/>
      <c r="T124" s="519"/>
      <c r="U124" s="519"/>
      <c r="V124" s="519"/>
      <c r="W124" s="519"/>
      <c r="X124" s="519"/>
      <c r="Y124" s="519"/>
      <c r="Z124" s="519"/>
      <c r="AA124" s="519"/>
      <c r="AB124" s="519"/>
      <c r="AC124" s="519"/>
      <c r="AD124" s="519"/>
      <c r="AE124" s="519"/>
      <c r="AF124" s="519"/>
      <c r="AG124" s="519"/>
      <c r="AH124" s="519"/>
      <c r="AI124" s="519"/>
      <c r="AJ124" s="519"/>
      <c r="AK124" s="519"/>
      <c r="AL124" s="519"/>
      <c r="AM124" s="519"/>
      <c r="AN124" s="519"/>
      <c r="AO124" s="519"/>
      <c r="AP124" s="519"/>
      <c r="AQ124" s="519"/>
      <c r="AR124" s="519"/>
      <c r="AS124" s="519"/>
      <c r="AT124" s="519"/>
      <c r="AU124" s="519"/>
      <c r="AV124" s="519"/>
      <c r="AW124" s="519"/>
      <c r="AX124" s="519"/>
      <c r="AY124" s="519"/>
      <c r="AZ124" s="519"/>
      <c r="BA124" s="519"/>
      <c r="BB124" s="519"/>
      <c r="BC124" s="519"/>
      <c r="BD124" s="519"/>
      <c r="BE124" s="519"/>
      <c r="BF124" s="519"/>
      <c r="BG124" s="519"/>
      <c r="BH124" s="519"/>
      <c r="BI124" s="519"/>
      <c r="BJ124" s="519"/>
      <c r="BK124" s="519"/>
      <c r="BL124" s="519"/>
      <c r="BM124" s="519"/>
      <c r="BN124" s="519"/>
      <c r="BO124" s="519"/>
      <c r="BP124" s="519"/>
      <c r="BQ124" s="519"/>
      <c r="BR124" s="519"/>
      <c r="BS124" s="519"/>
      <c r="BT124" s="519"/>
      <c r="BU124" s="519"/>
      <c r="BV124" s="519"/>
      <c r="BW124" s="519"/>
      <c r="BX124" s="519"/>
      <c r="BY124" s="519"/>
      <c r="BZ124" s="519"/>
      <c r="CA124" s="519"/>
      <c r="CB124" s="519"/>
      <c r="CC124" s="519"/>
      <c r="CD124" s="519"/>
      <c r="CE124" s="519"/>
      <c r="CF124" s="519"/>
      <c r="CG124" s="519"/>
      <c r="CH124" s="519"/>
      <c r="CI124" s="519"/>
      <c r="CJ124" s="519"/>
      <c r="CK124" s="519"/>
      <c r="CL124" s="519"/>
      <c r="CM124" s="519"/>
      <c r="CN124" s="519"/>
      <c r="CO124" s="519"/>
      <c r="CP124" s="519"/>
      <c r="CQ124" s="519"/>
      <c r="CR124" s="519"/>
      <c r="CS124" s="519"/>
      <c r="CT124" s="519"/>
      <c r="CU124" s="519"/>
      <c r="CV124" s="519"/>
      <c r="CW124" s="519"/>
    </row>
    <row r="125" spans="4:101" s="536" customFormat="1" ht="15.75">
      <c r="E125" s="556" t="e">
        <v>#N/A</v>
      </c>
      <c r="F125" s="546" t="s">
        <v>123</v>
      </c>
      <c r="G125" s="541">
        <v>5073102.0171037409</v>
      </c>
      <c r="H125" s="541">
        <v>2000</v>
      </c>
      <c r="I125" s="541">
        <v>20013.771539744372</v>
      </c>
      <c r="J125" s="541"/>
      <c r="K125" s="541">
        <v>21258.033333333326</v>
      </c>
      <c r="L125" s="541">
        <v>7416.1904761904689</v>
      </c>
      <c r="M125" s="541">
        <f t="shared" si="3"/>
        <v>50688</v>
      </c>
      <c r="N125" s="541">
        <f t="shared" si="4"/>
        <v>5123790.0171037409</v>
      </c>
      <c r="O125" s="542">
        <f t="shared" si="5"/>
        <v>5123790</v>
      </c>
      <c r="P125" s="519"/>
      <c r="Q125" s="519"/>
      <c r="R125" s="519"/>
      <c r="S125" s="519"/>
      <c r="T125" s="519"/>
      <c r="U125" s="519"/>
      <c r="V125" s="519"/>
      <c r="W125" s="519"/>
      <c r="X125" s="519"/>
      <c r="Y125" s="519"/>
      <c r="Z125" s="519"/>
      <c r="AA125" s="519"/>
      <c r="AB125" s="519"/>
      <c r="AC125" s="519"/>
      <c r="AD125" s="519"/>
      <c r="AE125" s="519"/>
      <c r="AF125" s="519"/>
      <c r="AG125" s="519"/>
      <c r="AH125" s="519"/>
      <c r="AI125" s="519"/>
      <c r="AJ125" s="519"/>
      <c r="AK125" s="519"/>
      <c r="AL125" s="519"/>
      <c r="AM125" s="519"/>
      <c r="AN125" s="519"/>
      <c r="AO125" s="519"/>
      <c r="AP125" s="519"/>
      <c r="AQ125" s="519"/>
      <c r="AR125" s="519"/>
      <c r="AS125" s="519"/>
      <c r="AT125" s="519"/>
      <c r="AU125" s="519"/>
      <c r="AV125" s="519"/>
      <c r="AW125" s="519"/>
      <c r="AX125" s="519"/>
      <c r="AY125" s="519"/>
      <c r="AZ125" s="519"/>
      <c r="BA125" s="519"/>
      <c r="BB125" s="519"/>
      <c r="BC125" s="519"/>
      <c r="BD125" s="519"/>
      <c r="BE125" s="519"/>
      <c r="BF125" s="519"/>
      <c r="BG125" s="519"/>
      <c r="BH125" s="519"/>
      <c r="BI125" s="519"/>
      <c r="BJ125" s="519"/>
      <c r="BK125" s="519"/>
      <c r="BL125" s="519"/>
      <c r="BM125" s="519"/>
      <c r="BN125" s="519"/>
      <c r="BO125" s="519"/>
      <c r="BP125" s="519"/>
      <c r="BQ125" s="519"/>
      <c r="BR125" s="519"/>
      <c r="BS125" s="519"/>
      <c r="BT125" s="519"/>
      <c r="BU125" s="519"/>
      <c r="BV125" s="519"/>
      <c r="BW125" s="519"/>
      <c r="BX125" s="519"/>
      <c r="BY125" s="519"/>
      <c r="BZ125" s="519"/>
      <c r="CA125" s="519"/>
      <c r="CB125" s="519"/>
      <c r="CC125" s="519"/>
      <c r="CD125" s="519"/>
      <c r="CE125" s="519"/>
      <c r="CF125" s="519"/>
      <c r="CG125" s="519"/>
      <c r="CH125" s="519"/>
      <c r="CI125" s="519"/>
      <c r="CJ125" s="519"/>
      <c r="CK125" s="519"/>
      <c r="CL125" s="519"/>
      <c r="CM125" s="519"/>
      <c r="CN125" s="519"/>
      <c r="CO125" s="519"/>
      <c r="CP125" s="519"/>
      <c r="CQ125" s="519"/>
      <c r="CR125" s="519"/>
      <c r="CS125" s="519"/>
      <c r="CT125" s="519"/>
      <c r="CU125" s="519"/>
      <c r="CV125" s="519"/>
      <c r="CW125" s="519"/>
    </row>
    <row r="126" spans="4:101" s="536" customFormat="1" ht="15.75">
      <c r="E126" s="556" t="e">
        <v>#N/A</v>
      </c>
      <c r="F126" s="546" t="s">
        <v>1539</v>
      </c>
      <c r="G126" s="541">
        <v>4541440.0736030182</v>
      </c>
      <c r="H126" s="541"/>
      <c r="I126" s="541">
        <v>908.71237458193946</v>
      </c>
      <c r="J126" s="541"/>
      <c r="K126" s="541">
        <v>0</v>
      </c>
      <c r="L126" s="541">
        <v>0</v>
      </c>
      <c r="M126" s="541">
        <f t="shared" si="3"/>
        <v>909</v>
      </c>
      <c r="N126" s="541">
        <f t="shared" si="4"/>
        <v>4542349.0736030182</v>
      </c>
      <c r="O126" s="542">
        <f t="shared" si="5"/>
        <v>4542349</v>
      </c>
      <c r="P126" s="519"/>
      <c r="Q126" s="519"/>
      <c r="R126" s="519"/>
      <c r="S126" s="519"/>
      <c r="T126" s="519"/>
      <c r="U126" s="519"/>
      <c r="V126" s="519"/>
      <c r="W126" s="519"/>
      <c r="X126" s="519"/>
      <c r="Y126" s="519"/>
      <c r="Z126" s="519"/>
      <c r="AA126" s="519"/>
      <c r="AB126" s="519"/>
      <c r="AC126" s="519"/>
      <c r="AD126" s="519"/>
      <c r="AE126" s="519"/>
      <c r="AF126" s="519"/>
      <c r="AG126" s="519"/>
      <c r="AH126" s="519"/>
      <c r="AI126" s="519"/>
      <c r="AJ126" s="519"/>
      <c r="AK126" s="519"/>
      <c r="AL126" s="519"/>
      <c r="AM126" s="519"/>
      <c r="AN126" s="519"/>
      <c r="AO126" s="519"/>
      <c r="AP126" s="519"/>
      <c r="AQ126" s="519"/>
      <c r="AR126" s="519"/>
      <c r="AS126" s="519"/>
      <c r="AT126" s="519"/>
      <c r="AU126" s="519"/>
      <c r="AV126" s="519"/>
      <c r="AW126" s="519"/>
      <c r="AX126" s="519"/>
      <c r="AY126" s="519"/>
      <c r="AZ126" s="519"/>
      <c r="BA126" s="519"/>
      <c r="BB126" s="519"/>
      <c r="BC126" s="519"/>
      <c r="BD126" s="519"/>
      <c r="BE126" s="519"/>
      <c r="BF126" s="519"/>
      <c r="BG126" s="519"/>
      <c r="BH126" s="519"/>
      <c r="BI126" s="519"/>
      <c r="BJ126" s="519"/>
      <c r="BK126" s="519"/>
      <c r="BL126" s="519"/>
      <c r="BM126" s="519"/>
      <c r="BN126" s="519"/>
      <c r="BO126" s="519"/>
      <c r="BP126" s="519"/>
      <c r="BQ126" s="519"/>
      <c r="BR126" s="519"/>
      <c r="BS126" s="519"/>
      <c r="BT126" s="519"/>
      <c r="BU126" s="519"/>
      <c r="BV126" s="519"/>
      <c r="BW126" s="519"/>
      <c r="BX126" s="519"/>
      <c r="BY126" s="519"/>
      <c r="BZ126" s="519"/>
      <c r="CA126" s="519"/>
      <c r="CB126" s="519"/>
      <c r="CC126" s="519"/>
      <c r="CD126" s="519"/>
      <c r="CE126" s="519"/>
      <c r="CF126" s="519"/>
      <c r="CG126" s="519"/>
      <c r="CH126" s="519"/>
      <c r="CI126" s="519"/>
      <c r="CJ126" s="519"/>
      <c r="CK126" s="519"/>
      <c r="CL126" s="519"/>
      <c r="CM126" s="519"/>
      <c r="CN126" s="519"/>
      <c r="CO126" s="519"/>
      <c r="CP126" s="519"/>
      <c r="CQ126" s="519"/>
      <c r="CR126" s="519"/>
      <c r="CS126" s="519"/>
      <c r="CT126" s="519"/>
      <c r="CU126" s="519"/>
      <c r="CV126" s="519"/>
      <c r="CW126" s="519"/>
    </row>
    <row r="127" spans="4:101" s="536" customFormat="1" ht="15.75">
      <c r="E127" s="556" t="e">
        <v>#N/A</v>
      </c>
      <c r="F127" s="546" t="s">
        <v>1534</v>
      </c>
      <c r="G127" s="541">
        <v>0</v>
      </c>
      <c r="H127" s="541"/>
      <c r="I127" s="541">
        <v>13090</v>
      </c>
      <c r="J127" s="541"/>
      <c r="K127" s="541">
        <v>0</v>
      </c>
      <c r="L127" s="541">
        <v>0</v>
      </c>
      <c r="M127" s="541">
        <f t="shared" si="3"/>
        <v>13090</v>
      </c>
      <c r="N127" s="541">
        <f t="shared" si="4"/>
        <v>13090</v>
      </c>
      <c r="O127" s="542">
        <f t="shared" si="5"/>
        <v>13090</v>
      </c>
      <c r="P127" s="519"/>
      <c r="Q127" s="519"/>
      <c r="R127" s="519"/>
      <c r="S127" s="519"/>
      <c r="T127" s="519"/>
      <c r="U127" s="519"/>
      <c r="V127" s="519"/>
      <c r="W127" s="519"/>
      <c r="X127" s="519"/>
      <c r="Y127" s="519"/>
      <c r="Z127" s="519"/>
      <c r="AA127" s="519"/>
      <c r="AB127" s="519"/>
      <c r="AC127" s="519"/>
      <c r="AD127" s="519"/>
      <c r="AE127" s="519"/>
      <c r="AF127" s="519"/>
      <c r="AG127" s="519"/>
      <c r="AH127" s="519"/>
      <c r="AI127" s="519"/>
      <c r="AJ127" s="519"/>
      <c r="AK127" s="519"/>
      <c r="AL127" s="519"/>
      <c r="AM127" s="519"/>
      <c r="AN127" s="519"/>
      <c r="AO127" s="519"/>
      <c r="AP127" s="519"/>
      <c r="AQ127" s="519"/>
      <c r="AR127" s="519"/>
      <c r="AS127" s="519"/>
      <c r="AT127" s="519"/>
      <c r="AU127" s="519"/>
      <c r="AV127" s="519"/>
      <c r="AW127" s="519"/>
      <c r="AX127" s="519"/>
      <c r="AY127" s="519"/>
      <c r="AZ127" s="519"/>
      <c r="BA127" s="519"/>
      <c r="BB127" s="519"/>
      <c r="BC127" s="519"/>
      <c r="BD127" s="519"/>
      <c r="BE127" s="519"/>
      <c r="BF127" s="519"/>
      <c r="BG127" s="519"/>
      <c r="BH127" s="519"/>
      <c r="BI127" s="519"/>
      <c r="BJ127" s="519"/>
      <c r="BK127" s="519"/>
      <c r="BL127" s="519"/>
      <c r="BM127" s="519"/>
      <c r="BN127" s="519"/>
      <c r="BO127" s="519"/>
      <c r="BP127" s="519"/>
      <c r="BQ127" s="519"/>
      <c r="BR127" s="519"/>
      <c r="BS127" s="519"/>
      <c r="BT127" s="519"/>
      <c r="BU127" s="519"/>
      <c r="BV127" s="519"/>
      <c r="BW127" s="519"/>
      <c r="BX127" s="519"/>
      <c r="BY127" s="519"/>
      <c r="BZ127" s="519"/>
      <c r="CA127" s="519"/>
      <c r="CB127" s="519"/>
      <c r="CC127" s="519"/>
      <c r="CD127" s="519"/>
      <c r="CE127" s="519"/>
      <c r="CF127" s="519"/>
      <c r="CG127" s="519"/>
      <c r="CH127" s="519"/>
      <c r="CI127" s="519"/>
      <c r="CJ127" s="519"/>
      <c r="CK127" s="519"/>
      <c r="CL127" s="519"/>
      <c r="CM127" s="519"/>
      <c r="CN127" s="519"/>
      <c r="CO127" s="519"/>
      <c r="CP127" s="519"/>
      <c r="CQ127" s="519"/>
      <c r="CR127" s="519"/>
      <c r="CS127" s="519"/>
      <c r="CT127" s="519"/>
      <c r="CU127" s="519"/>
      <c r="CV127" s="519"/>
      <c r="CW127" s="519"/>
    </row>
    <row r="128" spans="4:101" s="536" customFormat="1" ht="15.75">
      <c r="E128" s="556">
        <v>5404</v>
      </c>
      <c r="F128" s="549" t="s">
        <v>127</v>
      </c>
      <c r="G128" s="541"/>
      <c r="H128" s="541"/>
      <c r="I128" s="541"/>
      <c r="J128" s="541"/>
      <c r="K128" s="541"/>
      <c r="L128" s="541">
        <v>0</v>
      </c>
      <c r="M128" s="541">
        <f t="shared" si="3"/>
        <v>0</v>
      </c>
      <c r="N128" s="541">
        <f t="shared" si="4"/>
        <v>0</v>
      </c>
      <c r="O128" s="542">
        <v>3942251</v>
      </c>
      <c r="P128" s="519"/>
      <c r="Q128" s="519"/>
      <c r="R128" s="519"/>
      <c r="S128" s="519"/>
      <c r="T128" s="519"/>
      <c r="U128" s="519"/>
      <c r="V128" s="519"/>
      <c r="W128" s="519"/>
      <c r="X128" s="519"/>
      <c r="Y128" s="519"/>
      <c r="Z128" s="519"/>
      <c r="AA128" s="519"/>
      <c r="AB128" s="519"/>
      <c r="AC128" s="519"/>
      <c r="AD128" s="519"/>
      <c r="AE128" s="519"/>
      <c r="AF128" s="519"/>
      <c r="AG128" s="519"/>
      <c r="AH128" s="519"/>
      <c r="AI128" s="519"/>
      <c r="AJ128" s="519"/>
      <c r="AK128" s="519"/>
      <c r="AL128" s="519"/>
      <c r="AM128" s="519"/>
      <c r="AN128" s="519"/>
      <c r="AO128" s="519"/>
      <c r="AP128" s="519"/>
      <c r="AQ128" s="519"/>
      <c r="AR128" s="519"/>
      <c r="AS128" s="519"/>
      <c r="AT128" s="519"/>
      <c r="AU128" s="519"/>
      <c r="AV128" s="519"/>
      <c r="AW128" s="519"/>
      <c r="AX128" s="519"/>
      <c r="AY128" s="519"/>
      <c r="AZ128" s="519"/>
      <c r="BA128" s="519"/>
      <c r="BB128" s="519"/>
      <c r="BC128" s="519"/>
      <c r="BD128" s="519"/>
      <c r="BE128" s="519"/>
      <c r="BF128" s="519"/>
      <c r="BG128" s="519"/>
      <c r="BH128" s="519"/>
      <c r="BI128" s="519"/>
      <c r="BJ128" s="519"/>
      <c r="BK128" s="519"/>
      <c r="BL128" s="519"/>
      <c r="BM128" s="519"/>
      <c r="BN128" s="519"/>
      <c r="BO128" s="519"/>
      <c r="BP128" s="519"/>
      <c r="BQ128" s="519"/>
      <c r="BR128" s="519"/>
      <c r="BS128" s="519"/>
      <c r="BT128" s="519"/>
      <c r="BU128" s="519"/>
      <c r="BV128" s="519"/>
      <c r="BW128" s="519"/>
      <c r="BX128" s="519"/>
      <c r="BY128" s="519"/>
      <c r="BZ128" s="519"/>
      <c r="CA128" s="519"/>
      <c r="CB128" s="519"/>
      <c r="CC128" s="519"/>
      <c r="CD128" s="519"/>
      <c r="CE128" s="519"/>
      <c r="CF128" s="519"/>
      <c r="CG128" s="519"/>
      <c r="CH128" s="519"/>
      <c r="CI128" s="519"/>
      <c r="CJ128" s="519"/>
      <c r="CK128" s="519"/>
      <c r="CL128" s="519"/>
      <c r="CM128" s="519"/>
      <c r="CN128" s="519"/>
      <c r="CO128" s="519"/>
      <c r="CP128" s="519"/>
      <c r="CQ128" s="519"/>
      <c r="CR128" s="519"/>
      <c r="CS128" s="519"/>
      <c r="CT128" s="519"/>
      <c r="CU128" s="519"/>
      <c r="CV128" s="519"/>
      <c r="CW128" s="519"/>
    </row>
    <row r="129" spans="4:101" s="536" customFormat="1" ht="15.75">
      <c r="E129" s="556">
        <v>5407</v>
      </c>
      <c r="F129" s="552" t="s">
        <v>125</v>
      </c>
      <c r="G129" s="541">
        <v>5072900.176905741</v>
      </c>
      <c r="H129" s="541">
        <v>1170533.0000000002</v>
      </c>
      <c r="I129" s="541">
        <v>-7215.3970917225588</v>
      </c>
      <c r="J129" s="541">
        <v>-7021</v>
      </c>
      <c r="K129" s="541">
        <v>-19524.666666666668</v>
      </c>
      <c r="L129" s="541">
        <v>9034.7380952380972</v>
      </c>
      <c r="M129" s="541">
        <f t="shared" si="3"/>
        <v>1145807</v>
      </c>
      <c r="N129" s="541">
        <f t="shared" si="4"/>
        <v>6218707.176905741</v>
      </c>
      <c r="O129" s="542">
        <f t="shared" si="5"/>
        <v>6218707</v>
      </c>
      <c r="P129" s="519"/>
      <c r="Q129" s="519"/>
      <c r="R129" s="519"/>
      <c r="S129" s="519"/>
      <c r="T129" s="519"/>
      <c r="U129" s="519"/>
      <c r="V129" s="519"/>
      <c r="W129" s="519"/>
      <c r="X129" s="519"/>
      <c r="Y129" s="519"/>
      <c r="Z129" s="519"/>
      <c r="AA129" s="519"/>
      <c r="AB129" s="519"/>
      <c r="AC129" s="519"/>
      <c r="AD129" s="519"/>
      <c r="AE129" s="519"/>
      <c r="AF129" s="519"/>
      <c r="AG129" s="519"/>
      <c r="AH129" s="519"/>
      <c r="AI129" s="519"/>
      <c r="AJ129" s="519"/>
      <c r="AK129" s="519"/>
      <c r="AL129" s="519"/>
      <c r="AM129" s="519"/>
      <c r="AN129" s="519"/>
      <c r="AO129" s="519"/>
      <c r="AP129" s="519"/>
      <c r="AQ129" s="519"/>
      <c r="AR129" s="519"/>
      <c r="AS129" s="519"/>
      <c r="AT129" s="519"/>
      <c r="AU129" s="519"/>
      <c r="AV129" s="519"/>
      <c r="AW129" s="519"/>
      <c r="AX129" s="519"/>
      <c r="AY129" s="519"/>
      <c r="AZ129" s="519"/>
      <c r="BA129" s="519"/>
      <c r="BB129" s="519"/>
      <c r="BC129" s="519"/>
      <c r="BD129" s="519"/>
      <c r="BE129" s="519"/>
      <c r="BF129" s="519"/>
      <c r="BG129" s="519"/>
      <c r="BH129" s="519"/>
      <c r="BI129" s="519"/>
      <c r="BJ129" s="519"/>
      <c r="BK129" s="519"/>
      <c r="BL129" s="519"/>
      <c r="BM129" s="519"/>
      <c r="BN129" s="519"/>
      <c r="BO129" s="519"/>
      <c r="BP129" s="519"/>
      <c r="BQ129" s="519"/>
      <c r="BR129" s="519"/>
      <c r="BS129" s="519"/>
      <c r="BT129" s="519"/>
      <c r="BU129" s="519"/>
      <c r="BV129" s="519"/>
      <c r="BW129" s="519"/>
      <c r="BX129" s="519"/>
      <c r="BY129" s="519"/>
      <c r="BZ129" s="519"/>
      <c r="CA129" s="519"/>
      <c r="CB129" s="519"/>
      <c r="CC129" s="519"/>
      <c r="CD129" s="519"/>
      <c r="CE129" s="519"/>
      <c r="CF129" s="519"/>
      <c r="CG129" s="519"/>
      <c r="CH129" s="519"/>
      <c r="CI129" s="519"/>
      <c r="CJ129" s="519"/>
      <c r="CK129" s="519"/>
      <c r="CL129" s="519"/>
      <c r="CM129" s="519"/>
      <c r="CN129" s="519"/>
      <c r="CO129" s="519"/>
      <c r="CP129" s="519"/>
      <c r="CQ129" s="519"/>
      <c r="CR129" s="519"/>
      <c r="CS129" s="519"/>
      <c r="CT129" s="519"/>
      <c r="CU129" s="519"/>
      <c r="CV129" s="519"/>
      <c r="CW129" s="519"/>
    </row>
    <row r="130" spans="4:101" s="536" customFormat="1" ht="15.75">
      <c r="E130" s="556">
        <v>5403</v>
      </c>
      <c r="F130" s="552" t="s">
        <v>126</v>
      </c>
      <c r="G130" s="541">
        <v>1972618.4050172165</v>
      </c>
      <c r="H130" s="541">
        <v>374937.66666666669</v>
      </c>
      <c r="I130" s="541">
        <v>-624.08433734940502</v>
      </c>
      <c r="J130" s="541">
        <v>-275</v>
      </c>
      <c r="K130" s="541">
        <v>-22986.166666666664</v>
      </c>
      <c r="L130" s="541">
        <v>1490.2380952380952</v>
      </c>
      <c r="M130" s="541">
        <f t="shared" si="3"/>
        <v>352543</v>
      </c>
      <c r="N130" s="541">
        <f t="shared" si="4"/>
        <v>2325161.4050172167</v>
      </c>
      <c r="O130" s="542">
        <f t="shared" si="5"/>
        <v>2325161</v>
      </c>
      <c r="P130" s="519"/>
      <c r="Q130" s="519"/>
      <c r="R130" s="519"/>
      <c r="S130" s="519"/>
      <c r="T130" s="519"/>
      <c r="U130" s="519"/>
      <c r="V130" s="519"/>
      <c r="W130" s="519"/>
      <c r="X130" s="519"/>
      <c r="Y130" s="519"/>
      <c r="Z130" s="519"/>
      <c r="AA130" s="519"/>
      <c r="AB130" s="519"/>
      <c r="AC130" s="519"/>
      <c r="AD130" s="519"/>
      <c r="AE130" s="519"/>
      <c r="AF130" s="519"/>
      <c r="AG130" s="519"/>
      <c r="AH130" s="519"/>
      <c r="AI130" s="519"/>
      <c r="AJ130" s="519"/>
      <c r="AK130" s="519"/>
      <c r="AL130" s="519"/>
      <c r="AM130" s="519"/>
      <c r="AN130" s="519"/>
      <c r="AO130" s="519"/>
      <c r="AP130" s="519"/>
      <c r="AQ130" s="519"/>
      <c r="AR130" s="519"/>
      <c r="AS130" s="519"/>
      <c r="AT130" s="519"/>
      <c r="AU130" s="519"/>
      <c r="AV130" s="519"/>
      <c r="AW130" s="519"/>
      <c r="AX130" s="519"/>
      <c r="AY130" s="519"/>
      <c r="AZ130" s="519"/>
      <c r="BA130" s="519"/>
      <c r="BB130" s="519"/>
      <c r="BC130" s="519"/>
      <c r="BD130" s="519"/>
      <c r="BE130" s="519"/>
      <c r="BF130" s="519"/>
      <c r="BG130" s="519"/>
      <c r="BH130" s="519"/>
      <c r="BI130" s="519"/>
      <c r="BJ130" s="519"/>
      <c r="BK130" s="519"/>
      <c r="BL130" s="519"/>
      <c r="BM130" s="519"/>
      <c r="BN130" s="519"/>
      <c r="BO130" s="519"/>
      <c r="BP130" s="519"/>
      <c r="BQ130" s="519"/>
      <c r="BR130" s="519"/>
      <c r="BS130" s="519"/>
      <c r="BT130" s="519"/>
      <c r="BU130" s="519"/>
      <c r="BV130" s="519"/>
      <c r="BW130" s="519"/>
      <c r="BX130" s="519"/>
      <c r="BY130" s="519"/>
      <c r="BZ130" s="519"/>
      <c r="CA130" s="519"/>
      <c r="CB130" s="519"/>
      <c r="CC130" s="519"/>
      <c r="CD130" s="519"/>
      <c r="CE130" s="519"/>
      <c r="CF130" s="519"/>
      <c r="CG130" s="519"/>
      <c r="CH130" s="519"/>
      <c r="CI130" s="519"/>
      <c r="CJ130" s="519"/>
      <c r="CK130" s="519"/>
      <c r="CL130" s="519"/>
      <c r="CM130" s="519"/>
      <c r="CN130" s="519"/>
      <c r="CO130" s="519"/>
      <c r="CP130" s="519"/>
      <c r="CQ130" s="519"/>
      <c r="CR130" s="519"/>
      <c r="CS130" s="519"/>
      <c r="CT130" s="519"/>
      <c r="CU130" s="519"/>
      <c r="CV130" s="519"/>
      <c r="CW130" s="519"/>
    </row>
    <row r="131" spans="4:101" s="536" customFormat="1" ht="15.75">
      <c r="E131" s="556" t="e">
        <v>#N/A</v>
      </c>
      <c r="F131" s="546" t="s">
        <v>1535</v>
      </c>
      <c r="G131" s="541">
        <v>13558</v>
      </c>
      <c r="H131" s="541">
        <v>5176</v>
      </c>
      <c r="I131" s="541">
        <v>57365</v>
      </c>
      <c r="J131" s="541"/>
      <c r="K131" s="541">
        <v>31635.333333333328</v>
      </c>
      <c r="L131" s="541">
        <v>0</v>
      </c>
      <c r="M131" s="541">
        <f t="shared" si="3"/>
        <v>94176</v>
      </c>
      <c r="N131" s="541">
        <f t="shared" si="4"/>
        <v>107734</v>
      </c>
      <c r="O131" s="542">
        <f t="shared" si="5"/>
        <v>107734</v>
      </c>
      <c r="P131" s="519"/>
      <c r="Q131" s="519"/>
      <c r="R131" s="519"/>
      <c r="S131" s="519"/>
      <c r="T131" s="519"/>
      <c r="U131" s="519"/>
      <c r="V131" s="519"/>
      <c r="W131" s="519"/>
      <c r="X131" s="519"/>
      <c r="Y131" s="519"/>
      <c r="Z131" s="519"/>
      <c r="AA131" s="519"/>
      <c r="AB131" s="519"/>
      <c r="AC131" s="519"/>
      <c r="AD131" s="519"/>
      <c r="AE131" s="519"/>
      <c r="AF131" s="519"/>
      <c r="AG131" s="519"/>
      <c r="AH131" s="519"/>
      <c r="AI131" s="519"/>
      <c r="AJ131" s="519"/>
      <c r="AK131" s="519"/>
      <c r="AL131" s="519"/>
      <c r="AM131" s="519"/>
      <c r="AN131" s="519"/>
      <c r="AO131" s="519"/>
      <c r="AP131" s="519"/>
      <c r="AQ131" s="519"/>
      <c r="AR131" s="519"/>
      <c r="AS131" s="519"/>
      <c r="AT131" s="519"/>
      <c r="AU131" s="519"/>
      <c r="AV131" s="519"/>
      <c r="AW131" s="519"/>
      <c r="AX131" s="519"/>
      <c r="AY131" s="519"/>
      <c r="AZ131" s="519"/>
      <c r="BA131" s="519"/>
      <c r="BB131" s="519"/>
      <c r="BC131" s="519"/>
      <c r="BD131" s="519"/>
      <c r="BE131" s="519"/>
      <c r="BF131" s="519"/>
      <c r="BG131" s="519"/>
      <c r="BH131" s="519"/>
      <c r="BI131" s="519"/>
      <c r="BJ131" s="519"/>
      <c r="BK131" s="519"/>
      <c r="BL131" s="519"/>
      <c r="BM131" s="519"/>
      <c r="BN131" s="519"/>
      <c r="BO131" s="519"/>
      <c r="BP131" s="519"/>
      <c r="BQ131" s="519"/>
      <c r="BR131" s="519"/>
      <c r="BS131" s="519"/>
      <c r="BT131" s="519"/>
      <c r="BU131" s="519"/>
      <c r="BV131" s="519"/>
      <c r="BW131" s="519"/>
      <c r="BX131" s="519"/>
      <c r="BY131" s="519"/>
      <c r="BZ131" s="519"/>
      <c r="CA131" s="519"/>
      <c r="CB131" s="519"/>
      <c r="CC131" s="519"/>
      <c r="CD131" s="519"/>
      <c r="CE131" s="519"/>
      <c r="CF131" s="519"/>
      <c r="CG131" s="519"/>
      <c r="CH131" s="519"/>
      <c r="CI131" s="519"/>
      <c r="CJ131" s="519"/>
      <c r="CK131" s="519"/>
      <c r="CL131" s="519"/>
      <c r="CM131" s="519"/>
      <c r="CN131" s="519"/>
      <c r="CO131" s="519"/>
      <c r="CP131" s="519"/>
      <c r="CQ131" s="519"/>
      <c r="CR131" s="519"/>
      <c r="CS131" s="519"/>
      <c r="CT131" s="519"/>
      <c r="CU131" s="519"/>
      <c r="CV131" s="519"/>
      <c r="CW131" s="519"/>
    </row>
    <row r="132" spans="4:101" s="536" customFormat="1" ht="15.75">
      <c r="E132" s="556" t="e">
        <v>#N/A</v>
      </c>
      <c r="F132" s="546" t="s">
        <v>1538</v>
      </c>
      <c r="G132" s="541">
        <v>6225620.7122477181</v>
      </c>
      <c r="H132" s="541">
        <v>500</v>
      </c>
      <c r="I132" s="541">
        <v>31091.178629689948</v>
      </c>
      <c r="J132" s="541"/>
      <c r="K132" s="541">
        <v>-23410.599999999955</v>
      </c>
      <c r="L132" s="541">
        <v>-10743.952380952385</v>
      </c>
      <c r="M132" s="541">
        <f t="shared" si="3"/>
        <v>-2563</v>
      </c>
      <c r="N132" s="541">
        <f t="shared" si="4"/>
        <v>6223057.7122477181</v>
      </c>
      <c r="O132" s="542">
        <f t="shared" si="5"/>
        <v>6223058</v>
      </c>
      <c r="P132" s="519"/>
      <c r="Q132" s="519"/>
      <c r="R132" s="519"/>
      <c r="S132" s="519"/>
      <c r="T132" s="519"/>
      <c r="U132" s="519"/>
      <c r="V132" s="519"/>
      <c r="W132" s="519"/>
      <c r="X132" s="519"/>
      <c r="Y132" s="519"/>
      <c r="Z132" s="519"/>
      <c r="AA132" s="519"/>
      <c r="AB132" s="519"/>
      <c r="AC132" s="519"/>
      <c r="AD132" s="519"/>
      <c r="AE132" s="519"/>
      <c r="AF132" s="519"/>
      <c r="AG132" s="519"/>
      <c r="AH132" s="519"/>
      <c r="AI132" s="519"/>
      <c r="AJ132" s="519"/>
      <c r="AK132" s="519"/>
      <c r="AL132" s="519"/>
      <c r="AM132" s="519"/>
      <c r="AN132" s="519"/>
      <c r="AO132" s="519"/>
      <c r="AP132" s="519"/>
      <c r="AQ132" s="519"/>
      <c r="AR132" s="519"/>
      <c r="AS132" s="519"/>
      <c r="AT132" s="519"/>
      <c r="AU132" s="519"/>
      <c r="AV132" s="519"/>
      <c r="AW132" s="519"/>
      <c r="AX132" s="519"/>
      <c r="AY132" s="519"/>
      <c r="AZ132" s="519"/>
      <c r="BA132" s="519"/>
      <c r="BB132" s="519"/>
      <c r="BC132" s="519"/>
      <c r="BD132" s="519"/>
      <c r="BE132" s="519"/>
      <c r="BF132" s="519"/>
      <c r="BG132" s="519"/>
      <c r="BH132" s="519"/>
      <c r="BI132" s="519"/>
      <c r="BJ132" s="519"/>
      <c r="BK132" s="519"/>
      <c r="BL132" s="519"/>
      <c r="BM132" s="519"/>
      <c r="BN132" s="519"/>
      <c r="BO132" s="519"/>
      <c r="BP132" s="519"/>
      <c r="BQ132" s="519"/>
      <c r="BR132" s="519"/>
      <c r="BS132" s="519"/>
      <c r="BT132" s="519"/>
      <c r="BU132" s="519"/>
      <c r="BV132" s="519"/>
      <c r="BW132" s="519"/>
      <c r="BX132" s="519"/>
      <c r="BY132" s="519"/>
      <c r="BZ132" s="519"/>
      <c r="CA132" s="519"/>
      <c r="CB132" s="519"/>
      <c r="CC132" s="519"/>
      <c r="CD132" s="519"/>
      <c r="CE132" s="519"/>
      <c r="CF132" s="519"/>
      <c r="CG132" s="519"/>
      <c r="CH132" s="519"/>
      <c r="CI132" s="519"/>
      <c r="CJ132" s="519"/>
      <c r="CK132" s="519"/>
      <c r="CL132" s="519"/>
      <c r="CM132" s="519"/>
      <c r="CN132" s="519"/>
      <c r="CO132" s="519"/>
      <c r="CP132" s="519"/>
      <c r="CQ132" s="519"/>
      <c r="CR132" s="519"/>
      <c r="CS132" s="519"/>
      <c r="CT132" s="519"/>
      <c r="CU132" s="519"/>
      <c r="CV132" s="519"/>
      <c r="CW132" s="519"/>
    </row>
    <row r="133" spans="4:101" s="536" customFormat="1" ht="15.75">
      <c r="E133" s="556" t="e">
        <v>#N/A</v>
      </c>
      <c r="F133" s="546" t="s">
        <v>385</v>
      </c>
      <c r="G133" s="541">
        <v>2474526.2933426858</v>
      </c>
      <c r="H133" s="541"/>
      <c r="I133" s="541">
        <v>-5851.8103448275879</v>
      </c>
      <c r="J133" s="541"/>
      <c r="K133" s="541">
        <v>0</v>
      </c>
      <c r="L133" s="541">
        <v>0</v>
      </c>
      <c r="M133" s="541">
        <f t="shared" si="3"/>
        <v>-5852</v>
      </c>
      <c r="N133" s="541">
        <f t="shared" si="4"/>
        <v>2468674.2933426858</v>
      </c>
      <c r="O133" s="542">
        <f t="shared" si="5"/>
        <v>2468674</v>
      </c>
      <c r="P133" s="519"/>
      <c r="Q133" s="519"/>
      <c r="R133" s="519"/>
      <c r="S133" s="519"/>
      <c r="T133" s="519"/>
      <c r="U133" s="519"/>
      <c r="V133" s="519"/>
      <c r="W133" s="519"/>
      <c r="X133" s="519"/>
      <c r="Y133" s="519"/>
      <c r="Z133" s="519"/>
      <c r="AA133" s="519"/>
      <c r="AB133" s="519"/>
      <c r="AC133" s="519"/>
      <c r="AD133" s="519"/>
      <c r="AE133" s="519"/>
      <c r="AF133" s="519"/>
      <c r="AG133" s="519"/>
      <c r="AH133" s="519"/>
      <c r="AI133" s="519"/>
      <c r="AJ133" s="519"/>
      <c r="AK133" s="519"/>
      <c r="AL133" s="519"/>
      <c r="AM133" s="519"/>
      <c r="AN133" s="519"/>
      <c r="AO133" s="519"/>
      <c r="AP133" s="519"/>
      <c r="AQ133" s="519"/>
      <c r="AR133" s="519"/>
      <c r="AS133" s="519"/>
      <c r="AT133" s="519"/>
      <c r="AU133" s="519"/>
      <c r="AV133" s="519"/>
      <c r="AW133" s="519"/>
      <c r="AX133" s="519"/>
      <c r="AY133" s="519"/>
      <c r="AZ133" s="519"/>
      <c r="BA133" s="519"/>
      <c r="BB133" s="519"/>
      <c r="BC133" s="519"/>
      <c r="BD133" s="519"/>
      <c r="BE133" s="519"/>
      <c r="BF133" s="519"/>
      <c r="BG133" s="519"/>
      <c r="BH133" s="519"/>
      <c r="BI133" s="519"/>
      <c r="BJ133" s="519"/>
      <c r="BK133" s="519"/>
      <c r="BL133" s="519"/>
      <c r="BM133" s="519"/>
      <c r="BN133" s="519"/>
      <c r="BO133" s="519"/>
      <c r="BP133" s="519"/>
      <c r="BQ133" s="519"/>
      <c r="BR133" s="519"/>
      <c r="BS133" s="519"/>
      <c r="BT133" s="519"/>
      <c r="BU133" s="519"/>
      <c r="BV133" s="519"/>
      <c r="BW133" s="519"/>
      <c r="BX133" s="519"/>
      <c r="BY133" s="519"/>
      <c r="BZ133" s="519"/>
      <c r="CA133" s="519"/>
      <c r="CB133" s="519"/>
      <c r="CC133" s="519"/>
      <c r="CD133" s="519"/>
      <c r="CE133" s="519"/>
      <c r="CF133" s="519"/>
      <c r="CG133" s="519"/>
      <c r="CH133" s="519"/>
      <c r="CI133" s="519"/>
      <c r="CJ133" s="519"/>
      <c r="CK133" s="519"/>
      <c r="CL133" s="519"/>
      <c r="CM133" s="519"/>
      <c r="CN133" s="519"/>
      <c r="CO133" s="519"/>
      <c r="CP133" s="519"/>
      <c r="CQ133" s="519"/>
      <c r="CR133" s="519"/>
      <c r="CS133" s="519"/>
      <c r="CT133" s="519"/>
      <c r="CU133" s="519"/>
      <c r="CV133" s="519"/>
      <c r="CW133" s="519"/>
    </row>
    <row r="134" spans="4:101" s="536" customFormat="1" ht="15.75">
      <c r="E134" s="556" t="e">
        <v>#N/A</v>
      </c>
      <c r="F134" s="546" t="s">
        <v>407</v>
      </c>
      <c r="G134" s="541">
        <v>4383050.4528673626</v>
      </c>
      <c r="H134" s="541">
        <v>-5558</v>
      </c>
      <c r="I134" s="541">
        <v>2354.851308485368</v>
      </c>
      <c r="J134" s="541"/>
      <c r="K134" s="541">
        <v>-5321.4000000000051</v>
      </c>
      <c r="L134" s="541">
        <v>2980.4761904761981</v>
      </c>
      <c r="M134" s="541">
        <f t="shared" si="3"/>
        <v>-5544</v>
      </c>
      <c r="N134" s="541">
        <f t="shared" si="4"/>
        <v>4377506.4528673626</v>
      </c>
      <c r="O134" s="542">
        <f t="shared" si="5"/>
        <v>4377506</v>
      </c>
      <c r="P134" s="519"/>
      <c r="Q134" s="519"/>
      <c r="R134" s="519"/>
      <c r="S134" s="519"/>
      <c r="T134" s="519"/>
      <c r="U134" s="519"/>
      <c r="V134" s="519"/>
      <c r="W134" s="519"/>
      <c r="X134" s="519"/>
      <c r="Y134" s="519"/>
      <c r="Z134" s="519"/>
      <c r="AA134" s="519"/>
      <c r="AB134" s="519"/>
      <c r="AC134" s="519"/>
      <c r="AD134" s="519"/>
      <c r="AE134" s="519"/>
      <c r="AF134" s="519"/>
      <c r="AG134" s="519"/>
      <c r="AH134" s="519"/>
      <c r="AI134" s="519"/>
      <c r="AJ134" s="519"/>
      <c r="AK134" s="519"/>
      <c r="AL134" s="519"/>
      <c r="AM134" s="519"/>
      <c r="AN134" s="519"/>
      <c r="AO134" s="519"/>
      <c r="AP134" s="519"/>
      <c r="AQ134" s="519"/>
      <c r="AR134" s="519"/>
      <c r="AS134" s="519"/>
      <c r="AT134" s="519"/>
      <c r="AU134" s="519"/>
      <c r="AV134" s="519"/>
      <c r="AW134" s="519"/>
      <c r="AX134" s="519"/>
      <c r="AY134" s="519"/>
      <c r="AZ134" s="519"/>
      <c r="BA134" s="519"/>
      <c r="BB134" s="519"/>
      <c r="BC134" s="519"/>
      <c r="BD134" s="519"/>
      <c r="BE134" s="519"/>
      <c r="BF134" s="519"/>
      <c r="BG134" s="519"/>
      <c r="BH134" s="519"/>
      <c r="BI134" s="519"/>
      <c r="BJ134" s="519"/>
      <c r="BK134" s="519"/>
      <c r="BL134" s="519"/>
      <c r="BM134" s="519"/>
      <c r="BN134" s="519"/>
      <c r="BO134" s="519"/>
      <c r="BP134" s="519"/>
      <c r="BQ134" s="519"/>
      <c r="BR134" s="519"/>
      <c r="BS134" s="519"/>
      <c r="BT134" s="519"/>
      <c r="BU134" s="519"/>
      <c r="BV134" s="519"/>
      <c r="BW134" s="519"/>
      <c r="BX134" s="519"/>
      <c r="BY134" s="519"/>
      <c r="BZ134" s="519"/>
      <c r="CA134" s="519"/>
      <c r="CB134" s="519"/>
      <c r="CC134" s="519"/>
      <c r="CD134" s="519"/>
      <c r="CE134" s="519"/>
      <c r="CF134" s="519"/>
      <c r="CG134" s="519"/>
      <c r="CH134" s="519"/>
      <c r="CI134" s="519"/>
      <c r="CJ134" s="519"/>
      <c r="CK134" s="519"/>
      <c r="CL134" s="519"/>
      <c r="CM134" s="519"/>
      <c r="CN134" s="519"/>
      <c r="CO134" s="519"/>
      <c r="CP134" s="519"/>
      <c r="CQ134" s="519"/>
      <c r="CR134" s="519"/>
      <c r="CS134" s="519"/>
      <c r="CT134" s="519"/>
      <c r="CU134" s="519"/>
      <c r="CV134" s="519"/>
      <c r="CW134" s="519"/>
    </row>
    <row r="135" spans="4:101" s="536" customFormat="1" ht="15.75">
      <c r="E135" s="556" t="e">
        <v>#N/A</v>
      </c>
      <c r="F135" s="546" t="s">
        <v>128</v>
      </c>
      <c r="G135" s="541">
        <v>5003930.0251677958</v>
      </c>
      <c r="H135" s="541">
        <v>-17277.22</v>
      </c>
      <c r="I135" s="541">
        <v>9480.8709175738459</v>
      </c>
      <c r="J135" s="541"/>
      <c r="K135" s="541">
        <v>20121.673333333329</v>
      </c>
      <c r="L135" s="541">
        <v>2980.4761904761904</v>
      </c>
      <c r="M135" s="541">
        <f t="shared" si="3"/>
        <v>15306</v>
      </c>
      <c r="N135" s="541">
        <f t="shared" si="4"/>
        <v>5019236.0251677958</v>
      </c>
      <c r="O135" s="542">
        <f t="shared" si="5"/>
        <v>5019236</v>
      </c>
      <c r="P135" s="519"/>
      <c r="Q135" s="519"/>
      <c r="R135" s="519"/>
      <c r="S135" s="519"/>
      <c r="T135" s="519"/>
      <c r="U135" s="519"/>
      <c r="V135" s="519"/>
      <c r="W135" s="519"/>
      <c r="X135" s="519"/>
      <c r="Y135" s="519"/>
      <c r="Z135" s="519"/>
      <c r="AA135" s="519"/>
      <c r="AB135" s="519"/>
      <c r="AC135" s="519"/>
      <c r="AD135" s="519"/>
      <c r="AE135" s="519"/>
      <c r="AF135" s="519"/>
      <c r="AG135" s="519"/>
      <c r="AH135" s="519"/>
      <c r="AI135" s="519"/>
      <c r="AJ135" s="519"/>
      <c r="AK135" s="519"/>
      <c r="AL135" s="519"/>
      <c r="AM135" s="519"/>
      <c r="AN135" s="519"/>
      <c r="AO135" s="519"/>
      <c r="AP135" s="519"/>
      <c r="AQ135" s="519"/>
      <c r="AR135" s="519"/>
      <c r="AS135" s="519"/>
      <c r="AT135" s="519"/>
      <c r="AU135" s="519"/>
      <c r="AV135" s="519"/>
      <c r="AW135" s="519"/>
      <c r="AX135" s="519"/>
      <c r="AY135" s="519"/>
      <c r="AZ135" s="519"/>
      <c r="BA135" s="519"/>
      <c r="BB135" s="519"/>
      <c r="BC135" s="519"/>
      <c r="BD135" s="519"/>
      <c r="BE135" s="519"/>
      <c r="BF135" s="519"/>
      <c r="BG135" s="519"/>
      <c r="BH135" s="519"/>
      <c r="BI135" s="519"/>
      <c r="BJ135" s="519"/>
      <c r="BK135" s="519"/>
      <c r="BL135" s="519"/>
      <c r="BM135" s="519"/>
      <c r="BN135" s="519"/>
      <c r="BO135" s="519"/>
      <c r="BP135" s="519"/>
      <c r="BQ135" s="519"/>
      <c r="BR135" s="519"/>
      <c r="BS135" s="519"/>
      <c r="BT135" s="519"/>
      <c r="BU135" s="519"/>
      <c r="BV135" s="519"/>
      <c r="BW135" s="519"/>
      <c r="BX135" s="519"/>
      <c r="BY135" s="519"/>
      <c r="BZ135" s="519"/>
      <c r="CA135" s="519"/>
      <c r="CB135" s="519"/>
      <c r="CC135" s="519"/>
      <c r="CD135" s="519"/>
      <c r="CE135" s="519"/>
      <c r="CF135" s="519"/>
      <c r="CG135" s="519"/>
      <c r="CH135" s="519"/>
      <c r="CI135" s="519"/>
      <c r="CJ135" s="519"/>
      <c r="CK135" s="519"/>
      <c r="CL135" s="519"/>
      <c r="CM135" s="519"/>
      <c r="CN135" s="519"/>
      <c r="CO135" s="519"/>
      <c r="CP135" s="519"/>
      <c r="CQ135" s="519"/>
      <c r="CR135" s="519"/>
      <c r="CS135" s="519"/>
      <c r="CT135" s="519"/>
      <c r="CU135" s="519"/>
      <c r="CV135" s="519"/>
      <c r="CW135" s="519"/>
    </row>
    <row r="136" spans="4:101" s="536" customFormat="1" ht="15.75">
      <c r="E136" s="556" t="e">
        <v>#N/A</v>
      </c>
      <c r="F136" s="546" t="s">
        <v>435</v>
      </c>
      <c r="G136" s="541">
        <v>183400</v>
      </c>
      <c r="H136" s="541">
        <v>16940</v>
      </c>
      <c r="I136" s="541">
        <v>9500</v>
      </c>
      <c r="J136" s="541"/>
      <c r="K136" s="541">
        <v>-6408.833333333343</v>
      </c>
      <c r="L136" s="541">
        <v>7619.8809523809496</v>
      </c>
      <c r="M136" s="541">
        <f t="shared" si="3"/>
        <v>27651</v>
      </c>
      <c r="N136" s="541">
        <f t="shared" si="4"/>
        <v>211051</v>
      </c>
      <c r="O136" s="542">
        <f t="shared" si="5"/>
        <v>211051</v>
      </c>
      <c r="P136" s="519"/>
      <c r="Q136" s="519"/>
      <c r="R136" s="519"/>
      <c r="S136" s="519"/>
      <c r="T136" s="519"/>
      <c r="U136" s="519"/>
      <c r="V136" s="519"/>
      <c r="W136" s="519"/>
      <c r="X136" s="519"/>
      <c r="Y136" s="519"/>
      <c r="Z136" s="519"/>
      <c r="AA136" s="519"/>
      <c r="AB136" s="519"/>
      <c r="AC136" s="519"/>
      <c r="AD136" s="519"/>
      <c r="AE136" s="519"/>
      <c r="AF136" s="519"/>
      <c r="AG136" s="519"/>
      <c r="AH136" s="519"/>
      <c r="AI136" s="519"/>
      <c r="AJ136" s="519"/>
      <c r="AK136" s="519"/>
      <c r="AL136" s="519"/>
      <c r="AM136" s="519"/>
      <c r="AN136" s="519"/>
      <c r="AO136" s="519"/>
      <c r="AP136" s="519"/>
      <c r="AQ136" s="519"/>
      <c r="AR136" s="519"/>
      <c r="AS136" s="519"/>
      <c r="AT136" s="519"/>
      <c r="AU136" s="519"/>
      <c r="AV136" s="519"/>
      <c r="AW136" s="519"/>
      <c r="AX136" s="519"/>
      <c r="AY136" s="519"/>
      <c r="AZ136" s="519"/>
      <c r="BA136" s="519"/>
      <c r="BB136" s="519"/>
      <c r="BC136" s="519"/>
      <c r="BD136" s="519"/>
      <c r="BE136" s="519"/>
      <c r="BF136" s="519"/>
      <c r="BG136" s="519"/>
      <c r="BH136" s="519"/>
      <c r="BI136" s="519"/>
      <c r="BJ136" s="519"/>
      <c r="BK136" s="519"/>
      <c r="BL136" s="519"/>
      <c r="BM136" s="519"/>
      <c r="BN136" s="519"/>
      <c r="BO136" s="519"/>
      <c r="BP136" s="519"/>
      <c r="BQ136" s="519"/>
      <c r="BR136" s="519"/>
      <c r="BS136" s="519"/>
      <c r="BT136" s="519"/>
      <c r="BU136" s="519"/>
      <c r="BV136" s="519"/>
      <c r="BW136" s="519"/>
      <c r="BX136" s="519"/>
      <c r="BY136" s="519"/>
      <c r="BZ136" s="519"/>
      <c r="CA136" s="519"/>
      <c r="CB136" s="519"/>
      <c r="CC136" s="519"/>
      <c r="CD136" s="519"/>
      <c r="CE136" s="519"/>
      <c r="CF136" s="519"/>
      <c r="CG136" s="519"/>
      <c r="CH136" s="519"/>
      <c r="CI136" s="519"/>
      <c r="CJ136" s="519"/>
      <c r="CK136" s="519"/>
      <c r="CL136" s="519"/>
      <c r="CM136" s="519"/>
      <c r="CN136" s="519"/>
      <c r="CO136" s="519"/>
      <c r="CP136" s="519"/>
      <c r="CQ136" s="519"/>
      <c r="CR136" s="519"/>
      <c r="CS136" s="519"/>
      <c r="CT136" s="519"/>
      <c r="CU136" s="519"/>
      <c r="CV136" s="519"/>
      <c r="CW136" s="519"/>
    </row>
    <row r="137" spans="4:101" s="536" customFormat="1" ht="15.75">
      <c r="D137" s="536" t="s">
        <v>1574</v>
      </c>
      <c r="E137" s="556" t="e">
        <v>#N/A</v>
      </c>
      <c r="G137" s="543">
        <v>97510273.766324908</v>
      </c>
      <c r="H137" s="541">
        <v>4836032.956666667</v>
      </c>
      <c r="I137" s="541">
        <v>131358.96937053406</v>
      </c>
      <c r="J137" s="541">
        <v>-107372.51000000001</v>
      </c>
      <c r="K137" s="541">
        <v>99499.21090850592</v>
      </c>
      <c r="L137" s="541">
        <v>166398.39853633332</v>
      </c>
      <c r="M137" s="541">
        <f t="shared" si="3"/>
        <v>5125917</v>
      </c>
      <c r="N137" s="541">
        <f t="shared" si="4"/>
        <v>102636190.76632491</v>
      </c>
      <c r="O137" s="542">
        <f t="shared" si="5"/>
        <v>102636191</v>
      </c>
      <c r="P137" s="519"/>
      <c r="Q137" s="519"/>
      <c r="R137" s="519"/>
      <c r="S137" s="519"/>
      <c r="T137" s="519"/>
      <c r="U137" s="519"/>
      <c r="V137" s="519"/>
      <c r="W137" s="519"/>
      <c r="X137" s="519"/>
      <c r="Y137" s="519"/>
      <c r="Z137" s="519"/>
      <c r="AA137" s="519"/>
      <c r="AB137" s="519"/>
      <c r="AC137" s="519"/>
      <c r="AD137" s="519"/>
      <c r="AE137" s="519"/>
      <c r="AF137" s="519"/>
      <c r="AG137" s="519"/>
      <c r="AH137" s="519"/>
      <c r="AI137" s="519"/>
      <c r="AJ137" s="519"/>
      <c r="AK137" s="519"/>
      <c r="AL137" s="519"/>
      <c r="AM137" s="519"/>
      <c r="AN137" s="519"/>
      <c r="AO137" s="519"/>
      <c r="AP137" s="519"/>
      <c r="AQ137" s="519"/>
      <c r="AR137" s="519"/>
      <c r="AS137" s="519"/>
      <c r="AT137" s="519"/>
      <c r="AU137" s="519"/>
      <c r="AV137" s="519"/>
      <c r="AW137" s="519"/>
      <c r="AX137" s="519"/>
      <c r="AY137" s="519"/>
      <c r="AZ137" s="519"/>
      <c r="BA137" s="519"/>
      <c r="BB137" s="519"/>
      <c r="BC137" s="519"/>
      <c r="BD137" s="519"/>
      <c r="BE137" s="519"/>
      <c r="BF137" s="519"/>
      <c r="BG137" s="519"/>
      <c r="BH137" s="519"/>
      <c r="BI137" s="519"/>
      <c r="BJ137" s="519"/>
      <c r="BK137" s="519"/>
      <c r="BL137" s="519"/>
      <c r="BM137" s="519"/>
      <c r="BN137" s="519"/>
      <c r="BO137" s="519"/>
      <c r="BP137" s="519"/>
      <c r="BQ137" s="519"/>
      <c r="BR137" s="519"/>
      <c r="BS137" s="519"/>
      <c r="BT137" s="519"/>
      <c r="BU137" s="519"/>
      <c r="BV137" s="519"/>
      <c r="BW137" s="519"/>
      <c r="BX137" s="519"/>
      <c r="BY137" s="519"/>
      <c r="BZ137" s="519"/>
      <c r="CA137" s="519"/>
      <c r="CB137" s="519"/>
      <c r="CC137" s="519"/>
      <c r="CD137" s="519"/>
      <c r="CE137" s="519"/>
      <c r="CF137" s="519"/>
      <c r="CG137" s="519"/>
      <c r="CH137" s="519"/>
      <c r="CI137" s="519"/>
      <c r="CJ137" s="519"/>
      <c r="CK137" s="519"/>
      <c r="CL137" s="519"/>
      <c r="CM137" s="519"/>
      <c r="CN137" s="519"/>
      <c r="CO137" s="519"/>
      <c r="CP137" s="519"/>
      <c r="CQ137" s="519"/>
      <c r="CR137" s="519"/>
      <c r="CS137" s="519"/>
      <c r="CT137" s="519"/>
      <c r="CU137" s="519"/>
      <c r="CV137" s="519"/>
      <c r="CW137" s="519"/>
    </row>
    <row r="138" spans="4:101" s="536" customFormat="1" ht="15.75">
      <c r="D138" s="536" t="s">
        <v>7</v>
      </c>
      <c r="E138" s="556">
        <v>7010</v>
      </c>
      <c r="F138" s="549" t="s">
        <v>129</v>
      </c>
      <c r="G138" s="541">
        <v>1982494.5833333335</v>
      </c>
      <c r="H138" s="541">
        <v>-493.74999999991269</v>
      </c>
      <c r="I138" s="541">
        <v>-2805</v>
      </c>
      <c r="J138" s="541"/>
      <c r="K138" s="541">
        <v>231748.41666666634</v>
      </c>
      <c r="L138" s="541">
        <v>61395.133999999904</v>
      </c>
      <c r="M138" s="541">
        <f t="shared" si="3"/>
        <v>289845</v>
      </c>
      <c r="N138" s="541">
        <f t="shared" si="4"/>
        <v>2272339.5833333335</v>
      </c>
      <c r="O138" s="542">
        <f t="shared" si="5"/>
        <v>2272340</v>
      </c>
      <c r="P138" s="519"/>
      <c r="Q138" s="519"/>
      <c r="R138" s="519"/>
      <c r="S138" s="519"/>
      <c r="T138" s="519"/>
      <c r="U138" s="519"/>
      <c r="V138" s="519"/>
      <c r="W138" s="519"/>
      <c r="X138" s="519"/>
      <c r="Y138" s="519"/>
      <c r="Z138" s="519"/>
      <c r="AA138" s="519"/>
      <c r="AB138" s="519"/>
      <c r="AC138" s="519"/>
      <c r="AD138" s="519"/>
      <c r="AE138" s="519"/>
      <c r="AF138" s="519"/>
      <c r="AG138" s="519"/>
      <c r="AH138" s="519"/>
      <c r="AI138" s="519"/>
      <c r="AJ138" s="519"/>
      <c r="AK138" s="519"/>
      <c r="AL138" s="519"/>
      <c r="AM138" s="519"/>
      <c r="AN138" s="519"/>
      <c r="AO138" s="519"/>
      <c r="AP138" s="519"/>
      <c r="AQ138" s="519"/>
      <c r="AR138" s="519"/>
      <c r="AS138" s="519"/>
      <c r="AT138" s="519"/>
      <c r="AU138" s="519"/>
      <c r="AV138" s="519"/>
      <c r="AW138" s="519"/>
      <c r="AX138" s="519"/>
      <c r="AY138" s="519"/>
      <c r="AZ138" s="519"/>
      <c r="BA138" s="519"/>
      <c r="BB138" s="519"/>
      <c r="BC138" s="519"/>
      <c r="BD138" s="519"/>
      <c r="BE138" s="519"/>
      <c r="BF138" s="519"/>
      <c r="BG138" s="519"/>
      <c r="BH138" s="519"/>
      <c r="BI138" s="519"/>
      <c r="BJ138" s="519"/>
      <c r="BK138" s="519"/>
      <c r="BL138" s="519"/>
      <c r="BM138" s="519"/>
      <c r="BN138" s="519"/>
      <c r="BO138" s="519"/>
      <c r="BP138" s="519"/>
      <c r="BQ138" s="519"/>
      <c r="BR138" s="519"/>
      <c r="BS138" s="519"/>
      <c r="BT138" s="519"/>
      <c r="BU138" s="519"/>
      <c r="BV138" s="519"/>
      <c r="BW138" s="519"/>
      <c r="BX138" s="519"/>
      <c r="BY138" s="519"/>
      <c r="BZ138" s="519"/>
      <c r="CA138" s="519"/>
      <c r="CB138" s="519"/>
      <c r="CC138" s="519"/>
      <c r="CD138" s="519"/>
      <c r="CE138" s="519"/>
      <c r="CF138" s="519"/>
      <c r="CG138" s="519"/>
      <c r="CH138" s="519"/>
      <c r="CI138" s="519"/>
      <c r="CJ138" s="519"/>
      <c r="CK138" s="519"/>
      <c r="CL138" s="519"/>
      <c r="CM138" s="519"/>
      <c r="CN138" s="519"/>
      <c r="CO138" s="519"/>
      <c r="CP138" s="519"/>
      <c r="CQ138" s="519"/>
      <c r="CR138" s="519"/>
      <c r="CS138" s="519"/>
      <c r="CT138" s="519"/>
      <c r="CU138" s="519"/>
      <c r="CV138" s="519"/>
      <c r="CW138" s="519"/>
    </row>
    <row r="139" spans="4:101" s="536" customFormat="1" ht="15.75">
      <c r="E139" s="556">
        <v>7005</v>
      </c>
      <c r="F139" s="552" t="s">
        <v>130</v>
      </c>
      <c r="G139" s="541">
        <v>1642550.4333333336</v>
      </c>
      <c r="H139" s="541">
        <v>35152.3633333334</v>
      </c>
      <c r="I139" s="541">
        <v>3900</v>
      </c>
      <c r="J139" s="541"/>
      <c r="K139" s="541">
        <v>175246.53666666662</v>
      </c>
      <c r="L139" s="541">
        <v>11809.267499999507</v>
      </c>
      <c r="M139" s="541">
        <f t="shared" si="3"/>
        <v>226108</v>
      </c>
      <c r="N139" s="541">
        <f t="shared" si="4"/>
        <v>1868658.4333333336</v>
      </c>
      <c r="O139" s="542">
        <f t="shared" si="5"/>
        <v>1868658</v>
      </c>
      <c r="P139" s="519"/>
      <c r="Q139" s="519"/>
      <c r="R139" s="519"/>
      <c r="S139" s="519"/>
      <c r="T139" s="519"/>
      <c r="U139" s="519"/>
      <c r="V139" s="519"/>
      <c r="W139" s="519"/>
      <c r="X139" s="519"/>
      <c r="Y139" s="519"/>
      <c r="Z139" s="519"/>
      <c r="AA139" s="519"/>
      <c r="AB139" s="519"/>
      <c r="AC139" s="519"/>
      <c r="AD139" s="519"/>
      <c r="AE139" s="519"/>
      <c r="AF139" s="519"/>
      <c r="AG139" s="519"/>
      <c r="AH139" s="519"/>
      <c r="AI139" s="519"/>
      <c r="AJ139" s="519"/>
      <c r="AK139" s="519"/>
      <c r="AL139" s="519"/>
      <c r="AM139" s="519"/>
      <c r="AN139" s="519"/>
      <c r="AO139" s="519"/>
      <c r="AP139" s="519"/>
      <c r="AQ139" s="519"/>
      <c r="AR139" s="519"/>
      <c r="AS139" s="519"/>
      <c r="AT139" s="519"/>
      <c r="AU139" s="519"/>
      <c r="AV139" s="519"/>
      <c r="AW139" s="519"/>
      <c r="AX139" s="519"/>
      <c r="AY139" s="519"/>
      <c r="AZ139" s="519"/>
      <c r="BA139" s="519"/>
      <c r="BB139" s="519"/>
      <c r="BC139" s="519"/>
      <c r="BD139" s="519"/>
      <c r="BE139" s="519"/>
      <c r="BF139" s="519"/>
      <c r="BG139" s="519"/>
      <c r="BH139" s="519"/>
      <c r="BI139" s="519"/>
      <c r="BJ139" s="519"/>
      <c r="BK139" s="519"/>
      <c r="BL139" s="519"/>
      <c r="BM139" s="519"/>
      <c r="BN139" s="519"/>
      <c r="BO139" s="519"/>
      <c r="BP139" s="519"/>
      <c r="BQ139" s="519"/>
      <c r="BR139" s="519"/>
      <c r="BS139" s="519"/>
      <c r="BT139" s="519"/>
      <c r="BU139" s="519"/>
      <c r="BV139" s="519"/>
      <c r="BW139" s="519"/>
      <c r="BX139" s="519"/>
      <c r="BY139" s="519"/>
      <c r="BZ139" s="519"/>
      <c r="CA139" s="519"/>
      <c r="CB139" s="519"/>
      <c r="CC139" s="519"/>
      <c r="CD139" s="519"/>
      <c r="CE139" s="519"/>
      <c r="CF139" s="519"/>
      <c r="CG139" s="519"/>
      <c r="CH139" s="519"/>
      <c r="CI139" s="519"/>
      <c r="CJ139" s="519"/>
      <c r="CK139" s="519"/>
      <c r="CL139" s="519"/>
      <c r="CM139" s="519"/>
      <c r="CN139" s="519"/>
      <c r="CO139" s="519"/>
      <c r="CP139" s="519"/>
      <c r="CQ139" s="519"/>
      <c r="CR139" s="519"/>
      <c r="CS139" s="519"/>
      <c r="CT139" s="519"/>
      <c r="CU139" s="519"/>
      <c r="CV139" s="519"/>
      <c r="CW139" s="519"/>
    </row>
    <row r="140" spans="4:101" s="536" customFormat="1" ht="15.75">
      <c r="E140" s="556">
        <v>7000</v>
      </c>
      <c r="F140" s="552" t="s">
        <v>131</v>
      </c>
      <c r="G140" s="541">
        <v>2876197.9166666665</v>
      </c>
      <c r="H140" s="541">
        <v>20841.091666665743</v>
      </c>
      <c r="I140" s="541">
        <v>1870</v>
      </c>
      <c r="J140" s="541"/>
      <c r="K140" s="541">
        <v>23077.741666667513</v>
      </c>
      <c r="L140" s="541">
        <v>364713.20000000071</v>
      </c>
      <c r="M140" s="541">
        <f t="shared" si="3"/>
        <v>410502</v>
      </c>
      <c r="N140" s="541">
        <f t="shared" si="4"/>
        <v>3286699.9166666665</v>
      </c>
      <c r="O140" s="542">
        <f t="shared" si="5"/>
        <v>3286700</v>
      </c>
      <c r="P140" s="519"/>
      <c r="Q140" s="519"/>
      <c r="R140" s="519"/>
      <c r="S140" s="519"/>
      <c r="T140" s="519"/>
      <c r="U140" s="519"/>
      <c r="V140" s="519"/>
      <c r="W140" s="519"/>
      <c r="X140" s="519"/>
      <c r="Y140" s="519"/>
      <c r="Z140" s="519"/>
      <c r="AA140" s="519"/>
      <c r="AB140" s="519"/>
      <c r="AC140" s="519"/>
      <c r="AD140" s="519"/>
      <c r="AE140" s="519"/>
      <c r="AF140" s="519"/>
      <c r="AG140" s="519"/>
      <c r="AH140" s="519"/>
      <c r="AI140" s="519"/>
      <c r="AJ140" s="519"/>
      <c r="AK140" s="519"/>
      <c r="AL140" s="519"/>
      <c r="AM140" s="519"/>
      <c r="AN140" s="519"/>
      <c r="AO140" s="519"/>
      <c r="AP140" s="519"/>
      <c r="AQ140" s="519"/>
      <c r="AR140" s="519"/>
      <c r="AS140" s="519"/>
      <c r="AT140" s="519"/>
      <c r="AU140" s="519"/>
      <c r="AV140" s="519"/>
      <c r="AW140" s="519"/>
      <c r="AX140" s="519"/>
      <c r="AY140" s="519"/>
      <c r="AZ140" s="519"/>
      <c r="BA140" s="519"/>
      <c r="BB140" s="519"/>
      <c r="BC140" s="519"/>
      <c r="BD140" s="519"/>
      <c r="BE140" s="519"/>
      <c r="BF140" s="519"/>
      <c r="BG140" s="519"/>
      <c r="BH140" s="519"/>
      <c r="BI140" s="519"/>
      <c r="BJ140" s="519"/>
      <c r="BK140" s="519"/>
      <c r="BL140" s="519"/>
      <c r="BM140" s="519"/>
      <c r="BN140" s="519"/>
      <c r="BO140" s="519"/>
      <c r="BP140" s="519"/>
      <c r="BQ140" s="519"/>
      <c r="BR140" s="519"/>
      <c r="BS140" s="519"/>
      <c r="BT140" s="519"/>
      <c r="BU140" s="519"/>
      <c r="BV140" s="519"/>
      <c r="BW140" s="519"/>
      <c r="BX140" s="519"/>
      <c r="BY140" s="519"/>
      <c r="BZ140" s="519"/>
      <c r="CA140" s="519"/>
      <c r="CB140" s="519"/>
      <c r="CC140" s="519"/>
      <c r="CD140" s="519"/>
      <c r="CE140" s="519"/>
      <c r="CF140" s="519"/>
      <c r="CG140" s="519"/>
      <c r="CH140" s="519"/>
      <c r="CI140" s="519"/>
      <c r="CJ140" s="519"/>
      <c r="CK140" s="519"/>
      <c r="CL140" s="519"/>
      <c r="CM140" s="519"/>
      <c r="CN140" s="519"/>
      <c r="CO140" s="519"/>
      <c r="CP140" s="519"/>
      <c r="CQ140" s="519"/>
      <c r="CR140" s="519"/>
      <c r="CS140" s="519"/>
      <c r="CT140" s="519"/>
      <c r="CU140" s="519"/>
      <c r="CV140" s="519"/>
      <c r="CW140" s="519"/>
    </row>
    <row r="141" spans="4:101" s="536" customFormat="1" ht="15.75">
      <c r="E141" s="556">
        <v>7009</v>
      </c>
      <c r="F141" s="552" t="s">
        <v>132</v>
      </c>
      <c r="G141" s="541">
        <v>2509761.59</v>
      </c>
      <c r="H141" s="541">
        <v>40601.149166666881</v>
      </c>
      <c r="I141" s="541">
        <v>5800.0000000000045</v>
      </c>
      <c r="J141" s="541"/>
      <c r="K141" s="541">
        <v>106865.97750000079</v>
      </c>
      <c r="L141" s="541">
        <v>39760.533277777024</v>
      </c>
      <c r="M141" s="541">
        <f t="shared" si="3"/>
        <v>193028</v>
      </c>
      <c r="N141" s="541">
        <f t="shared" si="4"/>
        <v>2702789.59</v>
      </c>
      <c r="O141" s="542">
        <f t="shared" si="5"/>
        <v>2702790</v>
      </c>
      <c r="P141" s="519"/>
      <c r="Q141" s="519"/>
      <c r="R141" s="519"/>
      <c r="S141" s="519"/>
      <c r="T141" s="519"/>
      <c r="U141" s="519"/>
      <c r="V141" s="519"/>
      <c r="W141" s="519"/>
      <c r="X141" s="519"/>
      <c r="Y141" s="519"/>
      <c r="Z141" s="519"/>
      <c r="AA141" s="519"/>
      <c r="AB141" s="519"/>
      <c r="AC141" s="519"/>
      <c r="AD141" s="519"/>
      <c r="AE141" s="519"/>
      <c r="AF141" s="519"/>
      <c r="AG141" s="519"/>
      <c r="AH141" s="519"/>
      <c r="AI141" s="519"/>
      <c r="AJ141" s="519"/>
      <c r="AK141" s="519"/>
      <c r="AL141" s="519"/>
      <c r="AM141" s="519"/>
      <c r="AN141" s="519"/>
      <c r="AO141" s="519"/>
      <c r="AP141" s="519"/>
      <c r="AQ141" s="519"/>
      <c r="AR141" s="519"/>
      <c r="AS141" s="519"/>
      <c r="AT141" s="519"/>
      <c r="AU141" s="519"/>
      <c r="AV141" s="519"/>
      <c r="AW141" s="519"/>
      <c r="AX141" s="519"/>
      <c r="AY141" s="519"/>
      <c r="AZ141" s="519"/>
      <c r="BA141" s="519"/>
      <c r="BB141" s="519"/>
      <c r="BC141" s="519"/>
      <c r="BD141" s="519"/>
      <c r="BE141" s="519"/>
      <c r="BF141" s="519"/>
      <c r="BG141" s="519"/>
      <c r="BH141" s="519"/>
      <c r="BI141" s="519"/>
      <c r="BJ141" s="519"/>
      <c r="BK141" s="519"/>
      <c r="BL141" s="519"/>
      <c r="BM141" s="519"/>
      <c r="BN141" s="519"/>
      <c r="BO141" s="519"/>
      <c r="BP141" s="519"/>
      <c r="BQ141" s="519"/>
      <c r="BR141" s="519"/>
      <c r="BS141" s="519"/>
      <c r="BT141" s="519"/>
      <c r="BU141" s="519"/>
      <c r="BV141" s="519"/>
      <c r="BW141" s="519"/>
      <c r="BX141" s="519"/>
      <c r="BY141" s="519"/>
      <c r="BZ141" s="519"/>
      <c r="CA141" s="519"/>
      <c r="CB141" s="519"/>
      <c r="CC141" s="519"/>
      <c r="CD141" s="519"/>
      <c r="CE141" s="519"/>
      <c r="CF141" s="519"/>
      <c r="CG141" s="519"/>
      <c r="CH141" s="519"/>
      <c r="CI141" s="519"/>
      <c r="CJ141" s="519"/>
      <c r="CK141" s="519"/>
      <c r="CL141" s="519"/>
      <c r="CM141" s="519"/>
      <c r="CN141" s="519"/>
      <c r="CO141" s="519"/>
      <c r="CP141" s="519"/>
      <c r="CQ141" s="519"/>
      <c r="CR141" s="519"/>
      <c r="CS141" s="519"/>
      <c r="CT141" s="519"/>
      <c r="CU141" s="519"/>
      <c r="CV141" s="519"/>
      <c r="CW141" s="519"/>
    </row>
    <row r="142" spans="4:101" s="536" customFormat="1" ht="15.75">
      <c r="D142" s="536" t="s">
        <v>1575</v>
      </c>
      <c r="E142" s="556" t="e">
        <v>#N/A</v>
      </c>
      <c r="G142" s="543">
        <v>9011004.5233333334</v>
      </c>
      <c r="H142" s="541">
        <v>96100.854166666104</v>
      </c>
      <c r="I142" s="541">
        <v>8765.0000000000036</v>
      </c>
      <c r="J142" s="541"/>
      <c r="K142" s="541">
        <v>536938.67250000127</v>
      </c>
      <c r="L142" s="541">
        <v>477678.13477777713</v>
      </c>
      <c r="M142" s="541">
        <f t="shared" si="3"/>
        <v>1119483</v>
      </c>
      <c r="N142" s="541">
        <f t="shared" si="4"/>
        <v>10130487.523333333</v>
      </c>
      <c r="O142" s="542">
        <f t="shared" si="5"/>
        <v>10130488</v>
      </c>
      <c r="P142" s="519"/>
      <c r="Q142" s="519"/>
      <c r="R142" s="519"/>
      <c r="S142" s="519"/>
      <c r="T142" s="519"/>
      <c r="U142" s="519"/>
      <c r="V142" s="519"/>
      <c r="W142" s="519"/>
      <c r="X142" s="519"/>
      <c r="Y142" s="519"/>
      <c r="Z142" s="519"/>
      <c r="AA142" s="519"/>
      <c r="AB142" s="519"/>
      <c r="AC142" s="519"/>
      <c r="AD142" s="519"/>
      <c r="AE142" s="519"/>
      <c r="AF142" s="519"/>
      <c r="AG142" s="519"/>
      <c r="AH142" s="519"/>
      <c r="AI142" s="519"/>
      <c r="AJ142" s="519"/>
      <c r="AK142" s="519"/>
      <c r="AL142" s="519"/>
      <c r="AM142" s="519"/>
      <c r="AN142" s="519"/>
      <c r="AO142" s="519"/>
      <c r="AP142" s="519"/>
      <c r="AQ142" s="519"/>
      <c r="AR142" s="519"/>
      <c r="AS142" s="519"/>
      <c r="AT142" s="519"/>
      <c r="AU142" s="519"/>
      <c r="AV142" s="519"/>
      <c r="AW142" s="519"/>
      <c r="AX142" s="519"/>
      <c r="AY142" s="519"/>
      <c r="AZ142" s="519"/>
      <c r="BA142" s="519"/>
      <c r="BB142" s="519"/>
      <c r="BC142" s="519"/>
      <c r="BD142" s="519"/>
      <c r="BE142" s="519"/>
      <c r="BF142" s="519"/>
      <c r="BG142" s="519"/>
      <c r="BH142" s="519"/>
      <c r="BI142" s="519"/>
      <c r="BJ142" s="519"/>
      <c r="BK142" s="519"/>
      <c r="BL142" s="519"/>
      <c r="BM142" s="519"/>
      <c r="BN142" s="519"/>
      <c r="BO142" s="519"/>
      <c r="BP142" s="519"/>
      <c r="BQ142" s="519"/>
      <c r="BR142" s="519"/>
      <c r="BS142" s="519"/>
      <c r="BT142" s="519"/>
      <c r="BU142" s="519"/>
      <c r="BV142" s="519"/>
      <c r="BW142" s="519"/>
      <c r="BX142" s="519"/>
      <c r="BY142" s="519"/>
      <c r="BZ142" s="519"/>
      <c r="CA142" s="519"/>
      <c r="CB142" s="519"/>
      <c r="CC142" s="519"/>
      <c r="CD142" s="519"/>
      <c r="CE142" s="519"/>
      <c r="CF142" s="519"/>
      <c r="CG142" s="519"/>
      <c r="CH142" s="519"/>
      <c r="CI142" s="519"/>
      <c r="CJ142" s="519"/>
      <c r="CK142" s="519"/>
      <c r="CL142" s="519"/>
      <c r="CM142" s="519"/>
      <c r="CN142" s="519"/>
      <c r="CO142" s="519"/>
      <c r="CP142" s="519"/>
      <c r="CQ142" s="519"/>
      <c r="CR142" s="519"/>
      <c r="CS142" s="519"/>
      <c r="CT142" s="519"/>
      <c r="CU142" s="519"/>
      <c r="CV142" s="519"/>
      <c r="CW142" s="519"/>
    </row>
    <row r="143" spans="4:101" s="536" customFormat="1" ht="15.75">
      <c r="D143" s="536" t="s">
        <v>737</v>
      </c>
      <c r="E143" s="556">
        <v>1103</v>
      </c>
      <c r="F143" s="555" t="s">
        <v>452</v>
      </c>
      <c r="G143" s="541">
        <v>629936</v>
      </c>
      <c r="H143" s="541">
        <v>26718</v>
      </c>
      <c r="I143" s="541">
        <v>0</v>
      </c>
      <c r="J143" s="541">
        <v>-273605.83333333337</v>
      </c>
      <c r="K143" s="541">
        <v>-5085.5</v>
      </c>
      <c r="L143" s="541">
        <v>0</v>
      </c>
      <c r="M143" s="541">
        <f t="shared" si="3"/>
        <v>-251973</v>
      </c>
      <c r="N143" s="541">
        <f t="shared" si="4"/>
        <v>377963</v>
      </c>
      <c r="O143" s="542">
        <f t="shared" si="5"/>
        <v>377963</v>
      </c>
      <c r="P143" s="519"/>
      <c r="Q143" s="519"/>
      <c r="R143" s="519"/>
      <c r="S143" s="519"/>
      <c r="T143" s="519"/>
      <c r="U143" s="519"/>
      <c r="V143" s="519"/>
      <c r="W143" s="519"/>
      <c r="X143" s="519"/>
      <c r="Y143" s="519"/>
      <c r="Z143" s="519"/>
      <c r="AA143" s="519"/>
      <c r="AB143" s="519"/>
      <c r="AC143" s="519"/>
      <c r="AD143" s="519"/>
      <c r="AE143" s="519"/>
      <c r="AF143" s="519"/>
      <c r="AG143" s="519"/>
      <c r="AH143" s="519"/>
      <c r="AI143" s="519"/>
      <c r="AJ143" s="519"/>
      <c r="AK143" s="519"/>
      <c r="AL143" s="519"/>
      <c r="AM143" s="519"/>
      <c r="AN143" s="519"/>
      <c r="AO143" s="519"/>
      <c r="AP143" s="519"/>
      <c r="AQ143" s="519"/>
      <c r="AR143" s="519"/>
      <c r="AS143" s="519"/>
      <c r="AT143" s="519"/>
      <c r="AU143" s="519"/>
      <c r="AV143" s="519"/>
      <c r="AW143" s="519"/>
      <c r="AX143" s="519"/>
      <c r="AY143" s="519"/>
      <c r="AZ143" s="519"/>
      <c r="BA143" s="519"/>
      <c r="BB143" s="519"/>
      <c r="BC143" s="519"/>
      <c r="BD143" s="519"/>
      <c r="BE143" s="519"/>
      <c r="BF143" s="519"/>
      <c r="BG143" s="519"/>
      <c r="BH143" s="519"/>
      <c r="BI143" s="519"/>
      <c r="BJ143" s="519"/>
      <c r="BK143" s="519"/>
      <c r="BL143" s="519"/>
      <c r="BM143" s="519"/>
      <c r="BN143" s="519"/>
      <c r="BO143" s="519"/>
      <c r="BP143" s="519"/>
      <c r="BQ143" s="519"/>
      <c r="BR143" s="519"/>
      <c r="BS143" s="519"/>
      <c r="BT143" s="519"/>
      <c r="BU143" s="519"/>
      <c r="BV143" s="519"/>
      <c r="BW143" s="519"/>
      <c r="BX143" s="519"/>
      <c r="BY143" s="519"/>
      <c r="BZ143" s="519"/>
      <c r="CA143" s="519"/>
      <c r="CB143" s="519"/>
      <c r="CC143" s="519"/>
      <c r="CD143" s="519"/>
      <c r="CE143" s="519"/>
      <c r="CF143" s="519"/>
      <c r="CG143" s="519"/>
      <c r="CH143" s="519"/>
      <c r="CI143" s="519"/>
      <c r="CJ143" s="519"/>
      <c r="CK143" s="519"/>
      <c r="CL143" s="519"/>
      <c r="CM143" s="519"/>
      <c r="CN143" s="519"/>
      <c r="CO143" s="519"/>
      <c r="CP143" s="519"/>
      <c r="CQ143" s="519"/>
      <c r="CR143" s="519"/>
      <c r="CS143" s="519"/>
      <c r="CT143" s="519"/>
      <c r="CU143" s="519"/>
      <c r="CV143" s="519"/>
      <c r="CW143" s="519"/>
    </row>
    <row r="144" spans="4:101" s="536" customFormat="1" ht="15.75">
      <c r="E144" s="556">
        <v>1102</v>
      </c>
      <c r="F144" s="555" t="s">
        <v>453</v>
      </c>
      <c r="G144" s="541">
        <v>413470</v>
      </c>
      <c r="H144" s="541">
        <v>33695.5</v>
      </c>
      <c r="I144" s="541">
        <v>-4207.5</v>
      </c>
      <c r="J144" s="541"/>
      <c r="K144" s="541">
        <v>15158</v>
      </c>
      <c r="L144" s="541">
        <v>-49056</v>
      </c>
      <c r="M144" s="541">
        <f>ROUND(SUM(H144:L144),0)</f>
        <v>-4410</v>
      </c>
      <c r="N144" s="541">
        <f>+G144+M144</f>
        <v>409060</v>
      </c>
      <c r="O144" s="542">
        <f>ROUND(N144,0)</f>
        <v>409060</v>
      </c>
      <c r="P144" s="519"/>
      <c r="Q144" s="519"/>
      <c r="R144" s="519"/>
      <c r="S144" s="519"/>
      <c r="T144" s="519"/>
      <c r="U144" s="519"/>
      <c r="V144" s="519"/>
      <c r="W144" s="519"/>
      <c r="X144" s="519"/>
      <c r="Y144" s="519"/>
      <c r="Z144" s="519"/>
      <c r="AA144" s="519"/>
      <c r="AB144" s="519"/>
      <c r="AC144" s="519"/>
      <c r="AD144" s="519"/>
      <c r="AE144" s="519"/>
      <c r="AF144" s="519"/>
      <c r="AG144" s="519"/>
      <c r="AH144" s="519"/>
      <c r="AI144" s="519"/>
      <c r="AJ144" s="519"/>
      <c r="AK144" s="519"/>
      <c r="AL144" s="519"/>
      <c r="AM144" s="519"/>
      <c r="AN144" s="519"/>
      <c r="AO144" s="519"/>
      <c r="AP144" s="519"/>
      <c r="AQ144" s="519"/>
      <c r="AR144" s="519"/>
      <c r="AS144" s="519"/>
      <c r="AT144" s="519"/>
      <c r="AU144" s="519"/>
      <c r="AV144" s="519"/>
      <c r="AW144" s="519"/>
      <c r="AX144" s="519"/>
      <c r="AY144" s="519"/>
      <c r="AZ144" s="519"/>
      <c r="BA144" s="519"/>
      <c r="BB144" s="519"/>
      <c r="BC144" s="519"/>
      <c r="BD144" s="519"/>
      <c r="BE144" s="519"/>
      <c r="BF144" s="519"/>
      <c r="BG144" s="519"/>
      <c r="BH144" s="519"/>
      <c r="BI144" s="519"/>
      <c r="BJ144" s="519"/>
      <c r="BK144" s="519"/>
      <c r="BL144" s="519"/>
      <c r="BM144" s="519"/>
      <c r="BN144" s="519"/>
      <c r="BO144" s="519"/>
      <c r="BP144" s="519"/>
      <c r="BQ144" s="519"/>
      <c r="BR144" s="519"/>
      <c r="BS144" s="519"/>
      <c r="BT144" s="519"/>
      <c r="BU144" s="519"/>
      <c r="BV144" s="519"/>
      <c r="BW144" s="519"/>
      <c r="BX144" s="519"/>
      <c r="BY144" s="519"/>
      <c r="BZ144" s="519"/>
      <c r="CA144" s="519"/>
      <c r="CB144" s="519"/>
      <c r="CC144" s="519"/>
      <c r="CD144" s="519"/>
      <c r="CE144" s="519"/>
      <c r="CF144" s="519"/>
      <c r="CG144" s="519"/>
      <c r="CH144" s="519"/>
      <c r="CI144" s="519"/>
      <c r="CJ144" s="519"/>
      <c r="CK144" s="519"/>
      <c r="CL144" s="519"/>
      <c r="CM144" s="519"/>
      <c r="CN144" s="519"/>
      <c r="CO144" s="519"/>
      <c r="CP144" s="519"/>
      <c r="CQ144" s="519"/>
      <c r="CR144" s="519"/>
      <c r="CS144" s="519"/>
      <c r="CT144" s="519"/>
      <c r="CU144" s="519"/>
      <c r="CV144" s="519"/>
      <c r="CW144" s="519"/>
    </row>
    <row r="145" spans="3:101" s="536" customFormat="1" ht="15.75">
      <c r="E145" s="556">
        <v>1100</v>
      </c>
      <c r="F145" s="555" t="s">
        <v>1576</v>
      </c>
      <c r="G145" s="541">
        <v>1354912.5</v>
      </c>
      <c r="H145" s="541">
        <v>263.75</v>
      </c>
      <c r="I145" s="541">
        <v>-7947.5</v>
      </c>
      <c r="J145" s="541">
        <v>273605.83333333337</v>
      </c>
      <c r="K145" s="541">
        <v>4146.5</v>
      </c>
      <c r="L145" s="541">
        <v>-5194.791619047618</v>
      </c>
      <c r="M145" s="541">
        <f>ROUND(SUM(H145:L145),0)</f>
        <v>264874</v>
      </c>
      <c r="N145" s="541">
        <f>+G145+M145</f>
        <v>1619786.5</v>
      </c>
      <c r="O145" s="542">
        <f>ROUND(N145,0)</f>
        <v>1619787</v>
      </c>
      <c r="P145" s="519"/>
      <c r="Q145" s="519"/>
      <c r="R145" s="519"/>
      <c r="S145" s="519"/>
      <c r="T145" s="519"/>
      <c r="U145" s="519"/>
      <c r="V145" s="519"/>
      <c r="W145" s="519"/>
      <c r="X145" s="519"/>
      <c r="Y145" s="519"/>
      <c r="Z145" s="519"/>
      <c r="AA145" s="519"/>
      <c r="AB145" s="519"/>
      <c r="AC145" s="519"/>
      <c r="AD145" s="519"/>
      <c r="AE145" s="519"/>
      <c r="AF145" s="519"/>
      <c r="AG145" s="519"/>
      <c r="AH145" s="519"/>
      <c r="AI145" s="519"/>
      <c r="AJ145" s="519"/>
      <c r="AK145" s="519"/>
      <c r="AL145" s="519"/>
      <c r="AM145" s="519"/>
      <c r="AN145" s="519"/>
      <c r="AO145" s="519"/>
      <c r="AP145" s="519"/>
      <c r="AQ145" s="519"/>
      <c r="AR145" s="519"/>
      <c r="AS145" s="519"/>
      <c r="AT145" s="519"/>
      <c r="AU145" s="519"/>
      <c r="AV145" s="519"/>
      <c r="AW145" s="519"/>
      <c r="AX145" s="519"/>
      <c r="AY145" s="519"/>
      <c r="AZ145" s="519"/>
      <c r="BA145" s="519"/>
      <c r="BB145" s="519"/>
      <c r="BC145" s="519"/>
      <c r="BD145" s="519"/>
      <c r="BE145" s="519"/>
      <c r="BF145" s="519"/>
      <c r="BG145" s="519"/>
      <c r="BH145" s="519"/>
      <c r="BI145" s="519"/>
      <c r="BJ145" s="519"/>
      <c r="BK145" s="519"/>
      <c r="BL145" s="519"/>
      <c r="BM145" s="519"/>
      <c r="BN145" s="519"/>
      <c r="BO145" s="519"/>
      <c r="BP145" s="519"/>
      <c r="BQ145" s="519"/>
      <c r="BR145" s="519"/>
      <c r="BS145" s="519"/>
      <c r="BT145" s="519"/>
      <c r="BU145" s="519"/>
      <c r="BV145" s="519"/>
      <c r="BW145" s="519"/>
      <c r="BX145" s="519"/>
      <c r="BY145" s="519"/>
      <c r="BZ145" s="519"/>
      <c r="CA145" s="519"/>
      <c r="CB145" s="519"/>
      <c r="CC145" s="519"/>
      <c r="CD145" s="519"/>
      <c r="CE145" s="519"/>
      <c r="CF145" s="519"/>
      <c r="CG145" s="519"/>
      <c r="CH145" s="519"/>
      <c r="CI145" s="519"/>
      <c r="CJ145" s="519"/>
      <c r="CK145" s="519"/>
      <c r="CL145" s="519"/>
      <c r="CM145" s="519"/>
      <c r="CN145" s="519"/>
      <c r="CO145" s="519"/>
      <c r="CP145" s="519"/>
      <c r="CQ145" s="519"/>
      <c r="CR145" s="519"/>
      <c r="CS145" s="519"/>
      <c r="CT145" s="519"/>
      <c r="CU145" s="519"/>
      <c r="CV145" s="519"/>
      <c r="CW145" s="519"/>
    </row>
    <row r="146" spans="3:101" s="536" customFormat="1">
      <c r="D146" s="536" t="s">
        <v>1577</v>
      </c>
      <c r="G146" s="543">
        <v>2398318.5</v>
      </c>
      <c r="H146" s="541">
        <v>60677.25</v>
      </c>
      <c r="I146" s="541">
        <v>-12155</v>
      </c>
      <c r="J146" s="541">
        <v>0</v>
      </c>
      <c r="K146" s="541">
        <v>14219</v>
      </c>
      <c r="L146" s="541">
        <v>-54250.791619047617</v>
      </c>
      <c r="M146" s="541">
        <f>ROUND(SUM(H146:L146),0)</f>
        <v>8490</v>
      </c>
      <c r="N146" s="541">
        <f>+G146+M146</f>
        <v>2406808.5</v>
      </c>
      <c r="O146" s="542">
        <f>ROUND(N146,0)</f>
        <v>2406809</v>
      </c>
      <c r="P146" s="519"/>
      <c r="Q146" s="519"/>
      <c r="R146" s="519"/>
      <c r="S146" s="519"/>
      <c r="T146" s="519"/>
      <c r="U146" s="519"/>
      <c r="V146" s="519"/>
      <c r="W146" s="519"/>
      <c r="X146" s="519"/>
      <c r="Y146" s="519"/>
      <c r="Z146" s="519"/>
      <c r="AA146" s="519"/>
      <c r="AB146" s="519"/>
      <c r="AC146" s="519"/>
      <c r="AD146" s="519"/>
      <c r="AE146" s="519"/>
      <c r="AF146" s="519"/>
      <c r="AG146" s="519"/>
      <c r="AH146" s="519"/>
      <c r="AI146" s="519"/>
      <c r="AJ146" s="519"/>
      <c r="AK146" s="519"/>
      <c r="AL146" s="519"/>
      <c r="AM146" s="519"/>
      <c r="AN146" s="519"/>
      <c r="AO146" s="519"/>
      <c r="AP146" s="519"/>
      <c r="AQ146" s="519"/>
      <c r="AR146" s="519"/>
      <c r="AS146" s="519"/>
      <c r="AT146" s="519"/>
      <c r="AU146" s="519"/>
      <c r="AV146" s="519"/>
      <c r="AW146" s="519"/>
      <c r="AX146" s="519"/>
      <c r="AY146" s="519"/>
      <c r="AZ146" s="519"/>
      <c r="BA146" s="519"/>
      <c r="BB146" s="519"/>
      <c r="BC146" s="519"/>
      <c r="BD146" s="519"/>
      <c r="BE146" s="519"/>
      <c r="BF146" s="519"/>
      <c r="BG146" s="519"/>
      <c r="BH146" s="519"/>
      <c r="BI146" s="519"/>
      <c r="BJ146" s="519"/>
      <c r="BK146" s="519"/>
      <c r="BL146" s="519"/>
      <c r="BM146" s="519"/>
      <c r="BN146" s="519"/>
      <c r="BO146" s="519"/>
      <c r="BP146" s="519"/>
      <c r="BQ146" s="519"/>
      <c r="BR146" s="519"/>
      <c r="BS146" s="519"/>
      <c r="BT146" s="519"/>
      <c r="BU146" s="519"/>
      <c r="BV146" s="519"/>
      <c r="BW146" s="519"/>
      <c r="BX146" s="519"/>
      <c r="BY146" s="519"/>
      <c r="BZ146" s="519"/>
      <c r="CA146" s="519"/>
      <c r="CB146" s="519"/>
      <c r="CC146" s="519"/>
      <c r="CD146" s="519"/>
      <c r="CE146" s="519"/>
      <c r="CF146" s="519"/>
      <c r="CG146" s="519"/>
      <c r="CH146" s="519"/>
      <c r="CI146" s="519"/>
      <c r="CJ146" s="519"/>
      <c r="CK146" s="519"/>
      <c r="CL146" s="519"/>
      <c r="CM146" s="519"/>
      <c r="CN146" s="519"/>
      <c r="CO146" s="519"/>
      <c r="CP146" s="519"/>
      <c r="CQ146" s="519"/>
      <c r="CR146" s="519"/>
      <c r="CS146" s="519"/>
      <c r="CT146" s="519"/>
      <c r="CU146" s="519"/>
      <c r="CV146" s="519"/>
      <c r="CW146" s="519"/>
    </row>
    <row r="147" spans="3:101" s="536" customFormat="1">
      <c r="D147" s="536" t="s">
        <v>1578</v>
      </c>
      <c r="F147" s="536" t="s">
        <v>1579</v>
      </c>
      <c r="G147" s="541"/>
      <c r="H147" s="541"/>
      <c r="I147" s="541"/>
      <c r="J147" s="541">
        <v>6739171.4400000004</v>
      </c>
      <c r="K147" s="541">
        <v>37428.369999999915</v>
      </c>
      <c r="L147" s="541">
        <v>12763</v>
      </c>
      <c r="M147" s="541">
        <f>ROUND(SUM(H147:L147),0)</f>
        <v>6789363</v>
      </c>
      <c r="N147" s="541">
        <f>+G147+M147</f>
        <v>6789363</v>
      </c>
      <c r="O147" s="542">
        <f>ROUND(N147,0)</f>
        <v>6789363</v>
      </c>
      <c r="P147" s="519"/>
      <c r="Q147" s="519"/>
      <c r="R147" s="519"/>
      <c r="S147" s="519"/>
      <c r="T147" s="519"/>
      <c r="U147" s="519"/>
      <c r="V147" s="519"/>
      <c r="W147" s="519"/>
      <c r="X147" s="519"/>
      <c r="Y147" s="519"/>
      <c r="Z147" s="519"/>
      <c r="AA147" s="519"/>
      <c r="AB147" s="519"/>
      <c r="AC147" s="519"/>
      <c r="AD147" s="519"/>
      <c r="AE147" s="519"/>
      <c r="AF147" s="519"/>
      <c r="AG147" s="519"/>
      <c r="AH147" s="519"/>
      <c r="AI147" s="519"/>
      <c r="AJ147" s="519"/>
      <c r="AK147" s="519"/>
      <c r="AL147" s="519"/>
      <c r="AM147" s="519"/>
      <c r="AN147" s="519"/>
      <c r="AO147" s="519"/>
      <c r="AP147" s="519"/>
      <c r="AQ147" s="519"/>
      <c r="AR147" s="519"/>
      <c r="AS147" s="519"/>
      <c r="AT147" s="519"/>
      <c r="AU147" s="519"/>
      <c r="AV147" s="519"/>
      <c r="AW147" s="519"/>
      <c r="AX147" s="519"/>
      <c r="AY147" s="519"/>
      <c r="AZ147" s="519"/>
      <c r="BA147" s="519"/>
      <c r="BB147" s="519"/>
      <c r="BC147" s="519"/>
      <c r="BD147" s="519"/>
      <c r="BE147" s="519"/>
      <c r="BF147" s="519"/>
      <c r="BG147" s="519"/>
      <c r="BH147" s="519"/>
      <c r="BI147" s="519"/>
      <c r="BJ147" s="519"/>
      <c r="BK147" s="519"/>
      <c r="BL147" s="519"/>
      <c r="BM147" s="519"/>
      <c r="BN147" s="519"/>
      <c r="BO147" s="519"/>
      <c r="BP147" s="519"/>
      <c r="BQ147" s="519"/>
      <c r="BR147" s="519"/>
      <c r="BS147" s="519"/>
      <c r="BT147" s="519"/>
      <c r="BU147" s="519"/>
      <c r="BV147" s="519"/>
      <c r="BW147" s="519"/>
      <c r="BX147" s="519"/>
      <c r="BY147" s="519"/>
      <c r="BZ147" s="519"/>
      <c r="CA147" s="519"/>
      <c r="CB147" s="519"/>
      <c r="CC147" s="519"/>
      <c r="CD147" s="519"/>
      <c r="CE147" s="519"/>
      <c r="CF147" s="519"/>
      <c r="CG147" s="519"/>
      <c r="CH147" s="519"/>
      <c r="CI147" s="519"/>
      <c r="CJ147" s="519"/>
      <c r="CK147" s="519"/>
      <c r="CL147" s="519"/>
      <c r="CM147" s="519"/>
      <c r="CN147" s="519"/>
      <c r="CO147" s="519"/>
      <c r="CP147" s="519"/>
      <c r="CQ147" s="519"/>
      <c r="CR147" s="519"/>
      <c r="CS147" s="519"/>
      <c r="CT147" s="519"/>
      <c r="CU147" s="519"/>
      <c r="CV147" s="519"/>
      <c r="CW147" s="519"/>
    </row>
    <row r="148" spans="3:101" s="536" customFormat="1">
      <c r="D148" s="536" t="s">
        <v>1580</v>
      </c>
      <c r="H148" s="541"/>
      <c r="I148" s="541"/>
      <c r="J148" s="541">
        <v>6739171.4400000004</v>
      </c>
      <c r="K148" s="541">
        <v>37428.369999999915</v>
      </c>
      <c r="L148" s="541">
        <v>12763</v>
      </c>
      <c r="M148" s="541">
        <f>ROUND(SUM(H148:L148),0)</f>
        <v>6789363</v>
      </c>
      <c r="N148" s="541">
        <f>+G149+M148</f>
        <v>265213794.2189807</v>
      </c>
      <c r="O148" s="542">
        <f>ROUND(N148,0)</f>
        <v>265213794</v>
      </c>
      <c r="P148" s="519"/>
      <c r="Q148" s="519"/>
      <c r="R148" s="519"/>
      <c r="S148" s="519"/>
      <c r="T148" s="519"/>
      <c r="U148" s="519"/>
      <c r="V148" s="519"/>
      <c r="W148" s="519"/>
      <c r="X148" s="519"/>
      <c r="Y148" s="519"/>
      <c r="Z148" s="519"/>
      <c r="AA148" s="519"/>
      <c r="AB148" s="519"/>
      <c r="AC148" s="519"/>
      <c r="AD148" s="519"/>
      <c r="AE148" s="519"/>
      <c r="AF148" s="519"/>
      <c r="AG148" s="519"/>
      <c r="AH148" s="519"/>
      <c r="AI148" s="519"/>
      <c r="AJ148" s="519"/>
      <c r="AK148" s="519"/>
      <c r="AL148" s="519"/>
      <c r="AM148" s="519"/>
      <c r="AN148" s="519"/>
      <c r="AO148" s="519"/>
      <c r="AP148" s="519"/>
      <c r="AQ148" s="519"/>
      <c r="AR148" s="519"/>
      <c r="AS148" s="519"/>
      <c r="AT148" s="519"/>
      <c r="AU148" s="519"/>
      <c r="AV148" s="519"/>
      <c r="AW148" s="519"/>
      <c r="AX148" s="519"/>
      <c r="AY148" s="519"/>
      <c r="AZ148" s="519"/>
      <c r="BA148" s="519"/>
      <c r="BB148" s="519"/>
      <c r="BC148" s="519"/>
      <c r="BD148" s="519"/>
      <c r="BE148" s="519"/>
      <c r="BF148" s="519"/>
      <c r="BG148" s="519"/>
      <c r="BH148" s="519"/>
      <c r="BI148" s="519"/>
      <c r="BJ148" s="519"/>
      <c r="BK148" s="519"/>
      <c r="BL148" s="519"/>
      <c r="BM148" s="519"/>
      <c r="BN148" s="519"/>
      <c r="BO148" s="519"/>
      <c r="BP148" s="519"/>
      <c r="BQ148" s="519"/>
      <c r="BR148" s="519"/>
      <c r="BS148" s="519"/>
      <c r="BT148" s="519"/>
      <c r="BU148" s="519"/>
      <c r="BV148" s="519"/>
      <c r="BW148" s="519"/>
      <c r="BX148" s="519"/>
      <c r="BY148" s="519"/>
      <c r="BZ148" s="519"/>
      <c r="CA148" s="519"/>
      <c r="CB148" s="519"/>
      <c r="CC148" s="519"/>
      <c r="CD148" s="519"/>
      <c r="CE148" s="519"/>
      <c r="CF148" s="519"/>
      <c r="CG148" s="519"/>
      <c r="CH148" s="519"/>
      <c r="CI148" s="519"/>
      <c r="CJ148" s="519"/>
      <c r="CK148" s="519"/>
      <c r="CL148" s="519"/>
      <c r="CM148" s="519"/>
      <c r="CN148" s="519"/>
      <c r="CO148" s="519"/>
      <c r="CP148" s="519"/>
      <c r="CQ148" s="519"/>
      <c r="CR148" s="519"/>
      <c r="CS148" s="519"/>
      <c r="CT148" s="519"/>
      <c r="CU148" s="519"/>
      <c r="CV148" s="519"/>
      <c r="CW148" s="519"/>
    </row>
    <row r="149" spans="3:101" s="536" customFormat="1">
      <c r="D149" s="519"/>
      <c r="E149" s="519"/>
      <c r="F149" s="519"/>
      <c r="G149" s="541">
        <f>G146+G142+G137+G112+G19</f>
        <v>258424431.2189807</v>
      </c>
      <c r="H149" s="519"/>
      <c r="I149" s="519"/>
      <c r="J149" s="519"/>
      <c r="K149" s="519"/>
      <c r="L149" s="519"/>
      <c r="M149" s="541">
        <f>M146+M142+M137+M112+M19</f>
        <v>9443173</v>
      </c>
      <c r="N149" s="519"/>
      <c r="O149" s="519"/>
      <c r="P149" s="519"/>
      <c r="Q149" s="519"/>
      <c r="R149" s="519"/>
      <c r="S149" s="519"/>
      <c r="T149" s="519"/>
      <c r="U149" s="519"/>
      <c r="V149" s="519"/>
      <c r="W149" s="519"/>
      <c r="X149" s="519"/>
      <c r="Y149" s="519"/>
      <c r="Z149" s="519"/>
      <c r="AA149" s="519"/>
      <c r="AB149" s="519"/>
      <c r="AC149" s="519"/>
      <c r="AD149" s="519"/>
      <c r="AE149" s="519"/>
      <c r="AF149" s="519"/>
      <c r="AG149" s="519"/>
      <c r="AH149" s="519"/>
      <c r="AI149" s="519"/>
      <c r="AJ149" s="519"/>
      <c r="AK149" s="519"/>
      <c r="AL149" s="519"/>
      <c r="AM149" s="519"/>
      <c r="AN149" s="519"/>
      <c r="AO149" s="519"/>
      <c r="AP149" s="519"/>
      <c r="AQ149" s="519"/>
      <c r="AR149" s="519"/>
      <c r="AS149" s="519"/>
      <c r="AT149" s="519"/>
      <c r="AU149" s="519"/>
      <c r="AV149" s="519"/>
      <c r="AW149" s="519"/>
      <c r="AX149" s="519"/>
      <c r="AY149" s="519"/>
      <c r="AZ149" s="519"/>
      <c r="BA149" s="519"/>
      <c r="BB149" s="519"/>
      <c r="BC149" s="519"/>
      <c r="BD149" s="519"/>
      <c r="BE149" s="519"/>
      <c r="BF149" s="519"/>
      <c r="BG149" s="519"/>
      <c r="BH149" s="519"/>
      <c r="BI149" s="519"/>
      <c r="BJ149" s="519"/>
      <c r="BK149" s="519"/>
      <c r="BL149" s="519"/>
      <c r="BM149" s="519"/>
      <c r="BN149" s="519"/>
      <c r="BO149" s="519"/>
      <c r="BP149" s="519"/>
      <c r="BQ149" s="519"/>
      <c r="BR149" s="519"/>
      <c r="BS149" s="519"/>
      <c r="BT149" s="519"/>
      <c r="BU149" s="519"/>
      <c r="BV149" s="519"/>
      <c r="BW149" s="519"/>
      <c r="BX149" s="519"/>
      <c r="BY149" s="519"/>
      <c r="BZ149" s="519"/>
      <c r="CA149" s="519"/>
      <c r="CB149" s="519"/>
      <c r="CC149" s="519"/>
      <c r="CD149" s="519"/>
      <c r="CE149" s="519"/>
      <c r="CF149" s="519"/>
      <c r="CG149" s="519"/>
      <c r="CH149" s="519"/>
      <c r="CI149" s="519"/>
      <c r="CJ149" s="519"/>
      <c r="CK149" s="519"/>
      <c r="CL149" s="519"/>
      <c r="CM149" s="519"/>
      <c r="CN149" s="519"/>
      <c r="CO149" s="519"/>
      <c r="CP149" s="519"/>
      <c r="CQ149" s="519"/>
      <c r="CR149" s="519"/>
      <c r="CS149" s="519"/>
      <c r="CT149" s="519"/>
      <c r="CU149" s="519"/>
      <c r="CV149" s="519"/>
      <c r="CW149" s="519"/>
    </row>
    <row r="150" spans="3:101" s="536" customFormat="1">
      <c r="D150" s="519"/>
      <c r="E150" s="519"/>
      <c r="F150" s="519"/>
      <c r="G150" s="542">
        <f>G30+G45+G50+G57+G62+G69+G74+G79+G82+G102+G113+G115+G116+G117+G120+G121+G123+G124+G125+G126+G131+G132+G133+G134+G135+G136</f>
        <v>83252928.277203381</v>
      </c>
      <c r="H150" s="519"/>
      <c r="I150" s="519"/>
      <c r="J150" s="519"/>
      <c r="K150" s="519"/>
      <c r="L150" s="519"/>
      <c r="M150" s="542">
        <f>M30+M45+M50+M57+M62+M69+M74+M79+M82+M102+M113+M115+M116+M117+M120+M121+M123+M124+M125+M126+M131+M132+M133+M134+M135+M136+M23+M127</f>
        <v>213060</v>
      </c>
      <c r="N150" s="519"/>
      <c r="O150" s="519"/>
      <c r="P150" s="519"/>
      <c r="Q150" s="519"/>
      <c r="R150" s="519"/>
      <c r="S150" s="519"/>
      <c r="T150" s="519"/>
      <c r="U150" s="519"/>
      <c r="V150" s="519"/>
      <c r="W150" s="519"/>
      <c r="X150" s="519"/>
      <c r="Y150" s="519"/>
      <c r="Z150" s="519"/>
      <c r="AA150" s="519"/>
      <c r="AB150" s="519"/>
      <c r="AC150" s="519"/>
      <c r="AD150" s="519"/>
      <c r="AE150" s="519"/>
      <c r="AF150" s="519"/>
      <c r="AG150" s="519"/>
      <c r="AH150" s="519"/>
      <c r="AI150" s="519"/>
      <c r="AJ150" s="519"/>
      <c r="AK150" s="519"/>
      <c r="AL150" s="519"/>
      <c r="AM150" s="519"/>
      <c r="AN150" s="519"/>
      <c r="AO150" s="519"/>
      <c r="AP150" s="519"/>
      <c r="AQ150" s="519"/>
      <c r="AR150" s="519"/>
      <c r="AS150" s="519"/>
      <c r="AT150" s="519"/>
      <c r="AU150" s="519"/>
      <c r="AV150" s="519"/>
      <c r="AW150" s="519"/>
      <c r="AX150" s="519"/>
      <c r="AY150" s="519"/>
      <c r="AZ150" s="519"/>
      <c r="BA150" s="519"/>
      <c r="BB150" s="519"/>
      <c r="BC150" s="519"/>
      <c r="BD150" s="519"/>
      <c r="BE150" s="519"/>
      <c r="BF150" s="519"/>
      <c r="BG150" s="519"/>
      <c r="BH150" s="519"/>
      <c r="BI150" s="519"/>
      <c r="BJ150" s="519"/>
      <c r="BK150" s="519"/>
      <c r="BL150" s="519"/>
      <c r="BM150" s="519"/>
      <c r="BN150" s="519"/>
      <c r="BO150" s="519"/>
      <c r="BP150" s="519"/>
      <c r="BQ150" s="519"/>
      <c r="BR150" s="519"/>
      <c r="BS150" s="519"/>
      <c r="BT150" s="519"/>
      <c r="BU150" s="519"/>
      <c r="BV150" s="519"/>
      <c r="BW150" s="519"/>
      <c r="BX150" s="519"/>
      <c r="BY150" s="519"/>
      <c r="BZ150" s="519"/>
      <c r="CA150" s="519"/>
      <c r="CB150" s="519"/>
      <c r="CC150" s="519"/>
      <c r="CD150" s="519"/>
      <c r="CE150" s="519"/>
      <c r="CF150" s="519"/>
      <c r="CG150" s="519"/>
      <c r="CH150" s="519"/>
      <c r="CI150" s="519"/>
      <c r="CJ150" s="519"/>
      <c r="CK150" s="519"/>
      <c r="CL150" s="519"/>
      <c r="CM150" s="519"/>
      <c r="CN150" s="519"/>
      <c r="CO150" s="519"/>
      <c r="CP150" s="519"/>
      <c r="CQ150" s="519"/>
      <c r="CR150" s="519"/>
      <c r="CS150" s="519"/>
      <c r="CT150" s="519"/>
      <c r="CU150" s="519"/>
      <c r="CV150" s="519"/>
      <c r="CW150" s="519"/>
    </row>
    <row r="151" spans="3:101" s="536" customFormat="1">
      <c r="D151" s="519"/>
      <c r="E151" s="519"/>
      <c r="F151" s="519"/>
      <c r="G151" s="542">
        <f>G149-G150</f>
        <v>175171502.94177732</v>
      </c>
      <c r="H151" s="519"/>
      <c r="I151" s="519"/>
      <c r="J151" s="519"/>
      <c r="K151" s="519"/>
      <c r="L151" s="519"/>
      <c r="M151" s="542">
        <f>M149-M150</f>
        <v>9230113</v>
      </c>
      <c r="N151" s="519"/>
      <c r="O151" s="519"/>
      <c r="P151" s="519"/>
      <c r="Q151" s="519"/>
      <c r="R151" s="519"/>
      <c r="S151" s="519"/>
      <c r="T151" s="519"/>
      <c r="U151" s="519"/>
      <c r="V151" s="519"/>
      <c r="W151" s="519"/>
      <c r="X151" s="519"/>
      <c r="Y151" s="519"/>
      <c r="Z151" s="519"/>
      <c r="AA151" s="519"/>
      <c r="AB151" s="519"/>
      <c r="AC151" s="519"/>
      <c r="AD151" s="519"/>
      <c r="AE151" s="519"/>
      <c r="AF151" s="519"/>
      <c r="AG151" s="519"/>
      <c r="AH151" s="519"/>
      <c r="AI151" s="519"/>
      <c r="AJ151" s="519"/>
      <c r="AK151" s="519"/>
      <c r="AL151" s="519"/>
      <c r="AM151" s="519"/>
      <c r="AN151" s="519"/>
      <c r="AO151" s="519"/>
      <c r="AP151" s="519"/>
      <c r="AQ151" s="519"/>
      <c r="AR151" s="519"/>
      <c r="AS151" s="519"/>
      <c r="AT151" s="519"/>
      <c r="AU151" s="519"/>
      <c r="AV151" s="519"/>
      <c r="AW151" s="519"/>
      <c r="AX151" s="519"/>
      <c r="AY151" s="519"/>
      <c r="AZ151" s="519"/>
      <c r="BA151" s="519"/>
      <c r="BB151" s="519"/>
      <c r="BC151" s="519"/>
      <c r="BD151" s="519"/>
      <c r="BE151" s="519"/>
      <c r="BF151" s="519"/>
      <c r="BG151" s="519"/>
      <c r="BH151" s="519"/>
      <c r="BI151" s="519"/>
      <c r="BJ151" s="519"/>
      <c r="BK151" s="519"/>
      <c r="BL151" s="519"/>
      <c r="BM151" s="519"/>
      <c r="BN151" s="519"/>
      <c r="BO151" s="519"/>
      <c r="BP151" s="519"/>
      <c r="BQ151" s="519"/>
      <c r="BR151" s="519"/>
      <c r="BS151" s="519"/>
      <c r="BT151" s="519"/>
      <c r="BU151" s="519"/>
      <c r="BV151" s="519"/>
      <c r="BW151" s="519"/>
      <c r="BX151" s="519"/>
      <c r="BY151" s="519"/>
      <c r="BZ151" s="519"/>
      <c r="CA151" s="519"/>
      <c r="CB151" s="519"/>
      <c r="CC151" s="519"/>
      <c r="CD151" s="519"/>
      <c r="CE151" s="519"/>
      <c r="CF151" s="519"/>
      <c r="CG151" s="519"/>
      <c r="CH151" s="519"/>
      <c r="CI151" s="519"/>
      <c r="CJ151" s="519"/>
      <c r="CK151" s="519"/>
      <c r="CL151" s="519"/>
      <c r="CM151" s="519"/>
      <c r="CN151" s="519"/>
      <c r="CO151" s="519"/>
      <c r="CP151" s="519"/>
      <c r="CQ151" s="519"/>
      <c r="CR151" s="519"/>
      <c r="CS151" s="519"/>
      <c r="CT151" s="519"/>
      <c r="CU151" s="519"/>
      <c r="CV151" s="519"/>
      <c r="CW151" s="519"/>
    </row>
    <row r="152" spans="3:101" s="536" customFormat="1">
      <c r="D152" s="519"/>
      <c r="E152" s="519"/>
      <c r="F152" s="519"/>
      <c r="G152" s="519"/>
      <c r="H152" s="519"/>
      <c r="I152" s="519"/>
      <c r="J152" s="519"/>
      <c r="K152" s="519"/>
      <c r="L152" s="519"/>
      <c r="M152" s="519"/>
      <c r="N152" s="519"/>
      <c r="O152" s="519"/>
      <c r="P152" s="519"/>
      <c r="Q152" s="519"/>
      <c r="R152" s="519"/>
      <c r="S152" s="519"/>
      <c r="T152" s="519"/>
      <c r="U152" s="519"/>
      <c r="V152" s="519"/>
      <c r="W152" s="519"/>
      <c r="X152" s="519"/>
      <c r="Y152" s="519"/>
      <c r="Z152" s="519"/>
      <c r="AA152" s="519"/>
      <c r="AB152" s="519"/>
      <c r="AC152" s="519"/>
      <c r="AD152" s="519"/>
      <c r="AE152" s="519"/>
      <c r="AF152" s="519"/>
      <c r="AG152" s="519"/>
      <c r="AH152" s="519"/>
      <c r="AI152" s="519"/>
      <c r="AJ152" s="519"/>
      <c r="AK152" s="519"/>
      <c r="AL152" s="519"/>
      <c r="AM152" s="519"/>
      <c r="AN152" s="519"/>
      <c r="AO152" s="519"/>
      <c r="AP152" s="519"/>
      <c r="AQ152" s="519"/>
      <c r="AR152" s="519"/>
      <c r="AS152" s="519"/>
      <c r="AT152" s="519"/>
      <c r="AU152" s="519"/>
      <c r="AV152" s="519"/>
      <c r="AW152" s="519"/>
      <c r="AX152" s="519"/>
      <c r="AY152" s="519"/>
      <c r="AZ152" s="519"/>
      <c r="BA152" s="519"/>
      <c r="BB152" s="519"/>
      <c r="BC152" s="519"/>
      <c r="BD152" s="519"/>
      <c r="BE152" s="519"/>
      <c r="BF152" s="519"/>
      <c r="BG152" s="519"/>
      <c r="BH152" s="519"/>
      <c r="BI152" s="519"/>
      <c r="BJ152" s="519"/>
      <c r="BK152" s="519"/>
      <c r="BL152" s="519"/>
      <c r="BM152" s="519"/>
      <c r="BN152" s="519"/>
      <c r="BO152" s="519"/>
      <c r="BP152" s="519"/>
      <c r="BQ152" s="519"/>
      <c r="BR152" s="519"/>
      <c r="BS152" s="519"/>
      <c r="BT152" s="519"/>
      <c r="BU152" s="519"/>
      <c r="BV152" s="519"/>
      <c r="BW152" s="519"/>
      <c r="BX152" s="519"/>
      <c r="BY152" s="519"/>
      <c r="BZ152" s="519"/>
      <c r="CA152" s="519"/>
      <c r="CB152" s="519"/>
      <c r="CC152" s="519"/>
      <c r="CD152" s="519"/>
      <c r="CE152" s="519"/>
      <c r="CF152" s="519"/>
      <c r="CG152" s="519"/>
      <c r="CH152" s="519"/>
      <c r="CI152" s="519"/>
      <c r="CJ152" s="519"/>
      <c r="CK152" s="519"/>
      <c r="CL152" s="519"/>
      <c r="CM152" s="519"/>
      <c r="CN152" s="519"/>
      <c r="CO152" s="519"/>
      <c r="CP152" s="519"/>
      <c r="CQ152" s="519"/>
      <c r="CR152" s="519"/>
      <c r="CS152" s="519"/>
      <c r="CT152" s="519"/>
      <c r="CU152" s="519"/>
      <c r="CV152" s="519"/>
      <c r="CW152" s="519"/>
    </row>
    <row r="153" spans="3:101" s="536" customFormat="1">
      <c r="D153" s="519"/>
      <c r="E153" s="519"/>
      <c r="F153" s="519"/>
      <c r="G153" s="519"/>
      <c r="H153" s="519"/>
      <c r="I153" s="519"/>
      <c r="J153" s="519"/>
      <c r="K153" s="519"/>
      <c r="L153" s="519"/>
      <c r="M153" s="519"/>
      <c r="N153" s="519"/>
      <c r="O153" s="519"/>
      <c r="P153" s="519"/>
      <c r="Q153" s="519"/>
      <c r="R153" s="519"/>
      <c r="S153" s="519"/>
      <c r="T153" s="519"/>
      <c r="U153" s="519"/>
      <c r="V153" s="519"/>
      <c r="W153" s="519"/>
      <c r="X153" s="519"/>
      <c r="Y153" s="519"/>
      <c r="Z153" s="519"/>
      <c r="AA153" s="519"/>
      <c r="AB153" s="519"/>
      <c r="AC153" s="519"/>
      <c r="AD153" s="519"/>
      <c r="AE153" s="519"/>
      <c r="AF153" s="519"/>
      <c r="AG153" s="519"/>
      <c r="AH153" s="519"/>
      <c r="AI153" s="519"/>
      <c r="AJ153" s="519"/>
      <c r="AK153" s="519"/>
      <c r="AL153" s="519"/>
      <c r="AM153" s="519"/>
      <c r="AN153" s="519"/>
      <c r="AO153" s="519"/>
      <c r="AP153" s="519"/>
      <c r="AQ153" s="519"/>
      <c r="AR153" s="519"/>
      <c r="AS153" s="519"/>
      <c r="AT153" s="519"/>
      <c r="AU153" s="519"/>
      <c r="AV153" s="519"/>
      <c r="AW153" s="519"/>
      <c r="AX153" s="519"/>
      <c r="AY153" s="519"/>
      <c r="AZ153" s="519"/>
      <c r="BA153" s="519"/>
      <c r="BB153" s="519"/>
      <c r="BC153" s="519"/>
      <c r="BD153" s="519"/>
      <c r="BE153" s="519"/>
      <c r="BF153" s="519"/>
      <c r="BG153" s="519"/>
      <c r="BH153" s="519"/>
      <c r="BI153" s="519"/>
      <c r="BJ153" s="519"/>
      <c r="BK153" s="519"/>
      <c r="BL153" s="519"/>
      <c r="BM153" s="519"/>
      <c r="BN153" s="519"/>
      <c r="BO153" s="519"/>
      <c r="BP153" s="519"/>
      <c r="BQ153" s="519"/>
      <c r="BR153" s="519"/>
      <c r="BS153" s="519"/>
      <c r="BT153" s="519"/>
      <c r="BU153" s="519"/>
      <c r="BV153" s="519"/>
      <c r="BW153" s="519"/>
      <c r="BX153" s="519"/>
      <c r="BY153" s="519"/>
      <c r="BZ153" s="519"/>
      <c r="CA153" s="519"/>
      <c r="CB153" s="519"/>
      <c r="CC153" s="519"/>
      <c r="CD153" s="519"/>
      <c r="CE153" s="519"/>
      <c r="CF153" s="519"/>
      <c r="CG153" s="519"/>
      <c r="CH153" s="519"/>
      <c r="CI153" s="519"/>
      <c r="CJ153" s="519"/>
      <c r="CK153" s="519"/>
      <c r="CL153" s="519"/>
      <c r="CM153" s="519"/>
      <c r="CN153" s="519"/>
      <c r="CO153" s="519"/>
      <c r="CP153" s="519"/>
      <c r="CQ153" s="519"/>
      <c r="CR153" s="519"/>
      <c r="CS153" s="519"/>
      <c r="CT153" s="519"/>
      <c r="CU153" s="519"/>
      <c r="CV153" s="519"/>
      <c r="CW153" s="519"/>
    </row>
    <row r="154" spans="3:101" s="536" customFormat="1">
      <c r="D154" s="519"/>
      <c r="E154" s="519"/>
      <c r="F154" s="519"/>
      <c r="G154" s="519"/>
      <c r="H154" s="519"/>
      <c r="I154" s="519"/>
      <c r="J154" s="519"/>
      <c r="K154" s="519"/>
      <c r="L154" s="519"/>
      <c r="M154" s="519"/>
      <c r="N154" s="519"/>
    </row>
    <row r="155" spans="3:101" s="536" customFormat="1">
      <c r="D155" s="519"/>
      <c r="E155" s="519"/>
      <c r="F155" s="519"/>
      <c r="G155" s="519"/>
      <c r="H155" s="519"/>
      <c r="I155" s="519"/>
      <c r="J155" s="519"/>
      <c r="K155" s="519"/>
      <c r="L155" s="519"/>
      <c r="M155" s="519"/>
      <c r="N155" s="519"/>
    </row>
    <row r="156" spans="3:101" s="536" customFormat="1">
      <c r="C156" s="537"/>
      <c r="D156" s="519"/>
      <c r="E156" s="519"/>
      <c r="F156" s="519"/>
      <c r="G156" s="519"/>
      <c r="H156" s="519"/>
      <c r="I156" s="519"/>
      <c r="J156" s="519"/>
      <c r="K156" s="519"/>
      <c r="L156" s="519"/>
      <c r="M156" s="519"/>
      <c r="N156" s="519"/>
    </row>
    <row r="157" spans="3:101" s="536" customFormat="1">
      <c r="C157" s="537"/>
      <c r="D157" s="519"/>
      <c r="E157" s="519"/>
      <c r="F157" s="519"/>
      <c r="G157" s="519"/>
      <c r="H157" s="519"/>
      <c r="I157" s="519"/>
      <c r="J157" s="519"/>
      <c r="K157" s="519"/>
      <c r="L157" s="519"/>
      <c r="M157" s="519"/>
      <c r="N157" s="519"/>
    </row>
    <row r="158" spans="3:101" s="536" customFormat="1">
      <c r="C158" s="537"/>
      <c r="D158" s="519"/>
      <c r="E158" s="519"/>
      <c r="F158" s="519"/>
      <c r="G158" s="519"/>
      <c r="H158" s="519"/>
      <c r="I158" s="519"/>
      <c r="J158" s="519"/>
      <c r="K158" s="519"/>
      <c r="L158" s="519"/>
      <c r="M158" s="519"/>
      <c r="N158" s="519"/>
    </row>
    <row r="159" spans="3:101" s="536" customFormat="1">
      <c r="C159" s="537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19"/>
    </row>
    <row r="160" spans="3:101" s="536" customFormat="1">
      <c r="C160" s="537"/>
      <c r="D160" s="519"/>
      <c r="E160" s="519"/>
      <c r="F160" s="519"/>
      <c r="G160" s="519"/>
      <c r="H160" s="519"/>
      <c r="I160" s="519"/>
      <c r="J160" s="519"/>
      <c r="K160" s="519"/>
      <c r="L160" s="519"/>
      <c r="M160" s="519"/>
      <c r="N160" s="519"/>
    </row>
    <row r="161" spans="3:14" s="536" customFormat="1">
      <c r="C161" s="537"/>
      <c r="D161" s="519"/>
      <c r="E161" s="519"/>
      <c r="F161" s="519"/>
      <c r="G161" s="519"/>
      <c r="H161" s="519"/>
      <c r="I161" s="519"/>
      <c r="J161" s="519"/>
      <c r="K161" s="519"/>
      <c r="L161" s="519"/>
      <c r="M161" s="519"/>
      <c r="N161" s="519"/>
    </row>
    <row r="162" spans="3:14" s="536" customFormat="1">
      <c r="C162" s="537"/>
      <c r="D162" s="519"/>
      <c r="E162" s="519"/>
      <c r="F162" s="519"/>
      <c r="G162" s="519"/>
      <c r="H162" s="519"/>
      <c r="I162" s="519"/>
      <c r="J162" s="519"/>
      <c r="K162" s="519"/>
      <c r="L162" s="519"/>
      <c r="M162" s="519"/>
      <c r="N162" s="519"/>
    </row>
    <row r="163" spans="3:14" s="536" customFormat="1">
      <c r="C163" s="537"/>
      <c r="D163" s="519"/>
      <c r="E163" s="519"/>
      <c r="F163" s="519"/>
      <c r="G163" s="519"/>
      <c r="H163" s="519"/>
      <c r="I163" s="519"/>
      <c r="J163" s="519"/>
      <c r="K163" s="519"/>
      <c r="L163" s="519"/>
      <c r="M163" s="519"/>
      <c r="N163" s="519"/>
    </row>
    <row r="164" spans="3:14" s="536" customFormat="1">
      <c r="C164" s="537"/>
      <c r="D164" s="519"/>
      <c r="E164" s="519"/>
      <c r="F164" s="519"/>
      <c r="G164" s="519"/>
      <c r="H164" s="519"/>
      <c r="I164" s="519"/>
      <c r="J164" s="519"/>
      <c r="K164" s="519"/>
      <c r="L164" s="519"/>
      <c r="M164" s="519"/>
      <c r="N164" s="519"/>
    </row>
    <row r="165" spans="3:14" s="536" customFormat="1">
      <c r="C165" s="537"/>
      <c r="D165" s="519"/>
      <c r="E165" s="519"/>
      <c r="F165" s="519"/>
      <c r="G165" s="519"/>
      <c r="H165" s="519"/>
      <c r="I165" s="519"/>
      <c r="J165" s="519"/>
      <c r="K165" s="519"/>
      <c r="L165" s="519"/>
      <c r="M165" s="519"/>
      <c r="N165" s="519"/>
    </row>
    <row r="166" spans="3:14" s="536" customFormat="1">
      <c r="C166" s="537"/>
      <c r="D166" s="519"/>
      <c r="E166" s="519"/>
      <c r="F166" s="519"/>
      <c r="G166" s="519"/>
      <c r="H166" s="519"/>
      <c r="I166" s="519"/>
      <c r="J166" s="519"/>
      <c r="K166" s="519"/>
      <c r="L166" s="519"/>
      <c r="M166" s="519"/>
      <c r="N166" s="519"/>
    </row>
    <row r="167" spans="3:14" s="536" customFormat="1">
      <c r="C167" s="537"/>
      <c r="D167" s="519"/>
      <c r="E167" s="519"/>
      <c r="F167" s="519"/>
      <c r="G167" s="519"/>
      <c r="H167" s="519"/>
      <c r="I167" s="519"/>
      <c r="J167" s="519"/>
      <c r="K167" s="519"/>
      <c r="L167" s="519"/>
      <c r="M167" s="519"/>
      <c r="N167" s="519"/>
    </row>
    <row r="168" spans="3:14" s="536" customFormat="1">
      <c r="C168" s="537"/>
      <c r="D168" s="519"/>
      <c r="E168" s="519"/>
      <c r="F168" s="519"/>
      <c r="G168" s="519"/>
      <c r="H168" s="519"/>
      <c r="I168" s="519"/>
      <c r="J168" s="519"/>
      <c r="K168" s="519"/>
      <c r="L168" s="519"/>
      <c r="M168" s="519"/>
      <c r="N168" s="519"/>
    </row>
    <row r="169" spans="3:14" s="536" customFormat="1">
      <c r="C169" s="537"/>
      <c r="D169" s="519"/>
      <c r="E169" s="519"/>
      <c r="F169" s="519"/>
      <c r="G169" s="519"/>
      <c r="H169" s="519"/>
      <c r="I169" s="519"/>
      <c r="J169" s="519"/>
      <c r="K169" s="519"/>
      <c r="L169" s="519"/>
      <c r="M169" s="519"/>
      <c r="N169" s="519"/>
    </row>
    <row r="170" spans="3:14" s="536" customFormat="1">
      <c r="C170" s="537"/>
      <c r="D170" s="519"/>
      <c r="E170" s="519"/>
      <c r="F170" s="519"/>
      <c r="G170" s="519"/>
      <c r="H170" s="519"/>
      <c r="I170" s="519"/>
      <c r="J170" s="519"/>
      <c r="K170" s="519"/>
      <c r="L170" s="519"/>
      <c r="M170" s="519"/>
      <c r="N170" s="519"/>
    </row>
    <row r="171" spans="3:14" s="536" customFormat="1">
      <c r="C171" s="537"/>
      <c r="D171" s="519"/>
      <c r="E171" s="519"/>
      <c r="F171" s="519"/>
      <c r="G171" s="519"/>
      <c r="H171" s="519"/>
      <c r="I171" s="519"/>
      <c r="J171" s="519"/>
      <c r="K171" s="519"/>
      <c r="L171" s="519"/>
      <c r="M171" s="519"/>
      <c r="N171" s="519"/>
    </row>
    <row r="172" spans="3:14" s="536" customFormat="1">
      <c r="C172" s="537"/>
      <c r="D172" s="519"/>
      <c r="E172" s="519"/>
      <c r="F172" s="519"/>
      <c r="G172" s="519"/>
      <c r="H172" s="519"/>
      <c r="I172" s="519"/>
      <c r="J172" s="519"/>
      <c r="K172" s="519"/>
      <c r="L172" s="519"/>
      <c r="M172" s="519"/>
      <c r="N172" s="519"/>
    </row>
    <row r="173" spans="3:14" s="536" customFormat="1">
      <c r="C173" s="537"/>
      <c r="D173" s="519"/>
      <c r="E173" s="519"/>
      <c r="F173" s="519"/>
      <c r="G173" s="519"/>
      <c r="H173" s="519"/>
      <c r="I173" s="519"/>
      <c r="J173" s="519"/>
      <c r="K173" s="519"/>
      <c r="L173" s="519"/>
      <c r="M173" s="519"/>
      <c r="N173" s="519"/>
    </row>
    <row r="174" spans="3:14" s="536" customFormat="1">
      <c r="C174" s="537"/>
      <c r="D174" s="519"/>
      <c r="E174" s="519"/>
      <c r="F174" s="519"/>
      <c r="G174" s="519"/>
      <c r="H174" s="519"/>
      <c r="I174" s="519"/>
      <c r="J174" s="519"/>
      <c r="K174" s="519"/>
      <c r="L174" s="519"/>
      <c r="M174" s="519"/>
      <c r="N174" s="519"/>
    </row>
    <row r="175" spans="3:14" s="536" customFormat="1">
      <c r="C175" s="537"/>
      <c r="D175" s="519"/>
      <c r="E175" s="519"/>
      <c r="F175" s="519"/>
      <c r="G175" s="519"/>
      <c r="H175" s="519"/>
      <c r="I175" s="519"/>
      <c r="J175" s="519"/>
      <c r="K175" s="519"/>
      <c r="L175" s="519"/>
      <c r="M175" s="519"/>
      <c r="N175" s="519"/>
    </row>
    <row r="176" spans="3:14" s="536" customFormat="1">
      <c r="C176" s="537"/>
      <c r="D176" s="519"/>
      <c r="E176" s="519"/>
      <c r="F176" s="519"/>
      <c r="G176" s="519"/>
      <c r="H176" s="519"/>
      <c r="I176" s="519"/>
      <c r="J176" s="519"/>
      <c r="K176" s="519"/>
      <c r="L176" s="519"/>
      <c r="M176" s="519"/>
      <c r="N176" s="519"/>
    </row>
    <row r="177" spans="3:14" s="536" customFormat="1">
      <c r="C177" s="537"/>
      <c r="D177" s="519"/>
      <c r="E177" s="519"/>
      <c r="F177" s="519"/>
      <c r="G177" s="519"/>
      <c r="H177" s="519"/>
      <c r="I177" s="519"/>
      <c r="J177" s="519"/>
      <c r="K177" s="519"/>
      <c r="L177" s="519"/>
      <c r="M177" s="519"/>
      <c r="N177" s="519"/>
    </row>
    <row r="178" spans="3:14" s="536" customFormat="1">
      <c r="C178" s="537"/>
      <c r="D178" s="519"/>
      <c r="E178" s="519"/>
      <c r="F178" s="519"/>
      <c r="G178" s="519"/>
      <c r="H178" s="519"/>
      <c r="I178" s="519"/>
      <c r="J178" s="519"/>
      <c r="K178" s="519"/>
      <c r="L178" s="519"/>
      <c r="M178" s="519"/>
      <c r="N178" s="519"/>
    </row>
    <row r="179" spans="3:14" s="536" customFormat="1">
      <c r="C179" s="537"/>
      <c r="D179" s="519"/>
      <c r="E179" s="519"/>
      <c r="F179" s="519"/>
      <c r="G179" s="519"/>
      <c r="H179" s="519"/>
      <c r="I179" s="519"/>
      <c r="J179" s="519"/>
      <c r="K179" s="519"/>
      <c r="L179" s="519"/>
      <c r="M179" s="519"/>
      <c r="N179" s="519"/>
    </row>
    <row r="180" spans="3:14" s="536" customFormat="1">
      <c r="C180" s="537"/>
      <c r="D180" s="519"/>
      <c r="E180" s="519"/>
      <c r="F180" s="519"/>
      <c r="G180" s="519"/>
      <c r="H180" s="519"/>
      <c r="I180" s="519"/>
      <c r="J180" s="519"/>
      <c r="K180" s="519"/>
      <c r="L180" s="519"/>
      <c r="M180" s="519"/>
      <c r="N180" s="519"/>
    </row>
    <row r="181" spans="3:14" s="536" customFormat="1">
      <c r="C181" s="537"/>
      <c r="D181" s="519"/>
      <c r="E181" s="519"/>
      <c r="F181" s="519"/>
      <c r="G181" s="519"/>
      <c r="H181" s="519"/>
      <c r="I181" s="519"/>
      <c r="J181" s="519"/>
      <c r="K181" s="519"/>
      <c r="L181" s="519"/>
      <c r="M181" s="519"/>
      <c r="N181" s="519"/>
    </row>
    <row r="182" spans="3:14" s="536" customFormat="1">
      <c r="C182" s="537"/>
      <c r="D182" s="519"/>
      <c r="E182" s="519"/>
      <c r="F182" s="519"/>
      <c r="G182" s="519"/>
      <c r="H182" s="519"/>
      <c r="I182" s="519"/>
      <c r="J182" s="519"/>
      <c r="K182" s="519"/>
      <c r="L182" s="519"/>
      <c r="M182" s="519"/>
      <c r="N182" s="519"/>
    </row>
    <row r="183" spans="3:14" s="536" customFormat="1">
      <c r="C183" s="537"/>
      <c r="D183" s="519"/>
      <c r="E183" s="519"/>
      <c r="F183" s="519"/>
      <c r="G183" s="519"/>
      <c r="H183" s="519"/>
      <c r="I183" s="519"/>
      <c r="J183" s="519"/>
      <c r="K183" s="519"/>
      <c r="L183" s="519"/>
      <c r="M183" s="519"/>
      <c r="N183" s="519"/>
    </row>
    <row r="184" spans="3:14" s="536" customFormat="1">
      <c r="C184" s="537"/>
      <c r="D184" s="519"/>
      <c r="E184" s="519"/>
      <c r="F184" s="519"/>
      <c r="G184" s="519"/>
      <c r="H184" s="519"/>
      <c r="I184" s="519"/>
      <c r="J184" s="519"/>
      <c r="K184" s="519"/>
      <c r="L184" s="519"/>
      <c r="M184" s="519"/>
      <c r="N184" s="519"/>
    </row>
    <row r="185" spans="3:14" s="536" customFormat="1">
      <c r="C185" s="537"/>
      <c r="D185" s="519"/>
      <c r="E185" s="519"/>
      <c r="F185" s="519"/>
      <c r="G185" s="519"/>
      <c r="H185" s="519"/>
      <c r="I185" s="519"/>
      <c r="J185" s="519"/>
      <c r="K185" s="519"/>
      <c r="L185" s="519"/>
      <c r="M185" s="519"/>
      <c r="N185" s="519"/>
    </row>
    <row r="186" spans="3:14" s="536" customFormat="1">
      <c r="C186" s="537"/>
      <c r="D186" s="519"/>
      <c r="E186" s="519"/>
      <c r="F186" s="519"/>
      <c r="G186" s="519"/>
      <c r="H186" s="519"/>
      <c r="I186" s="519"/>
      <c r="J186" s="519"/>
      <c r="K186" s="519"/>
      <c r="L186" s="519"/>
      <c r="M186" s="519"/>
      <c r="N186" s="519"/>
    </row>
    <row r="187" spans="3:14" s="536" customFormat="1">
      <c r="C187" s="537"/>
      <c r="D187" s="519"/>
      <c r="E187" s="519"/>
      <c r="F187" s="519"/>
      <c r="G187" s="519"/>
      <c r="H187" s="519"/>
      <c r="I187" s="519"/>
      <c r="J187" s="519"/>
      <c r="K187" s="519"/>
      <c r="L187" s="519"/>
      <c r="M187" s="519"/>
      <c r="N187" s="519"/>
    </row>
    <row r="188" spans="3:14" s="536" customFormat="1">
      <c r="C188" s="537"/>
      <c r="D188" s="519"/>
      <c r="E188" s="519"/>
      <c r="F188" s="519"/>
      <c r="G188" s="519"/>
      <c r="H188" s="519"/>
      <c r="I188" s="519"/>
      <c r="J188" s="519"/>
      <c r="K188" s="519"/>
      <c r="L188" s="519"/>
      <c r="M188" s="519"/>
      <c r="N188" s="519"/>
    </row>
    <row r="189" spans="3:14" s="536" customFormat="1">
      <c r="C189" s="537"/>
      <c r="D189" s="519"/>
      <c r="E189" s="519"/>
      <c r="F189" s="519"/>
      <c r="G189" s="519"/>
      <c r="H189" s="519"/>
      <c r="I189" s="519"/>
      <c r="J189" s="519"/>
      <c r="K189" s="519"/>
      <c r="L189" s="519"/>
      <c r="M189" s="519"/>
      <c r="N189" s="519"/>
    </row>
    <row r="190" spans="3:14" s="536" customFormat="1">
      <c r="C190" s="537"/>
      <c r="D190" s="519"/>
      <c r="E190" s="519"/>
      <c r="F190" s="519"/>
      <c r="G190" s="519"/>
      <c r="H190" s="519"/>
      <c r="I190" s="519"/>
      <c r="J190" s="519"/>
      <c r="K190" s="519"/>
      <c r="L190" s="519"/>
      <c r="M190" s="519"/>
      <c r="N190" s="519"/>
    </row>
    <row r="191" spans="3:14" s="536" customFormat="1">
      <c r="C191" s="537"/>
      <c r="D191" s="519"/>
      <c r="E191" s="519"/>
      <c r="F191" s="519"/>
      <c r="G191" s="519"/>
      <c r="H191" s="519"/>
      <c r="I191" s="519"/>
      <c r="J191" s="519"/>
      <c r="K191" s="519"/>
      <c r="L191" s="519"/>
      <c r="M191" s="519"/>
      <c r="N191" s="519"/>
    </row>
    <row r="192" spans="3:14" s="536" customFormat="1">
      <c r="C192" s="537"/>
      <c r="D192" s="519"/>
      <c r="E192" s="519"/>
      <c r="F192" s="519"/>
      <c r="G192" s="519"/>
      <c r="H192" s="519"/>
      <c r="I192" s="519"/>
      <c r="J192" s="519"/>
      <c r="K192" s="519"/>
      <c r="L192" s="519"/>
      <c r="M192" s="519"/>
      <c r="N192" s="519"/>
    </row>
    <row r="193" spans="3:14" s="536" customFormat="1">
      <c r="C193" s="537"/>
      <c r="D193" s="519"/>
      <c r="E193" s="519"/>
      <c r="F193" s="519"/>
      <c r="G193" s="519"/>
      <c r="H193" s="519"/>
      <c r="I193" s="519"/>
      <c r="J193" s="519"/>
      <c r="K193" s="519"/>
      <c r="L193" s="519"/>
      <c r="M193" s="519"/>
      <c r="N193" s="519"/>
    </row>
    <row r="194" spans="3:14" s="536" customFormat="1">
      <c r="C194" s="537"/>
      <c r="D194" s="519"/>
      <c r="E194" s="519"/>
      <c r="F194" s="519"/>
      <c r="G194" s="519"/>
      <c r="H194" s="519"/>
      <c r="I194" s="519"/>
      <c r="J194" s="519"/>
      <c r="K194" s="519"/>
      <c r="L194" s="519"/>
      <c r="M194" s="519"/>
      <c r="N194" s="519"/>
    </row>
    <row r="195" spans="3:14" s="536" customFormat="1">
      <c r="C195" s="537"/>
      <c r="D195" s="519"/>
      <c r="E195" s="519"/>
      <c r="F195" s="519"/>
      <c r="G195" s="519"/>
      <c r="H195" s="519"/>
      <c r="I195" s="519"/>
      <c r="J195" s="519"/>
      <c r="K195" s="519"/>
      <c r="L195" s="519"/>
      <c r="M195" s="519"/>
      <c r="N195" s="519"/>
    </row>
    <row r="196" spans="3:14" s="536" customFormat="1">
      <c r="C196" s="537"/>
      <c r="D196" s="519"/>
      <c r="E196" s="519"/>
      <c r="F196" s="519"/>
      <c r="G196" s="519"/>
      <c r="H196" s="519"/>
      <c r="I196" s="519"/>
      <c r="J196" s="519"/>
      <c r="K196" s="519"/>
      <c r="L196" s="519"/>
      <c r="M196" s="519"/>
      <c r="N196" s="519"/>
    </row>
    <row r="197" spans="3:14" s="536" customFormat="1">
      <c r="C197" s="537"/>
      <c r="D197" s="519"/>
      <c r="E197" s="519"/>
      <c r="F197" s="519"/>
      <c r="G197" s="519"/>
      <c r="H197" s="519"/>
      <c r="I197" s="519"/>
      <c r="J197" s="519"/>
      <c r="K197" s="519"/>
      <c r="L197" s="519"/>
      <c r="M197" s="519"/>
      <c r="N197" s="519"/>
    </row>
    <row r="198" spans="3:14" s="536" customFormat="1">
      <c r="C198" s="537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19"/>
    </row>
    <row r="199" spans="3:14" s="536" customFormat="1">
      <c r="C199" s="537"/>
      <c r="D199" s="519"/>
      <c r="E199" s="519"/>
      <c r="F199" s="519"/>
      <c r="G199" s="519"/>
      <c r="H199" s="519"/>
      <c r="I199" s="519"/>
      <c r="J199" s="519"/>
      <c r="K199" s="519"/>
      <c r="L199" s="519"/>
      <c r="M199" s="519"/>
      <c r="N199" s="519"/>
    </row>
    <row r="200" spans="3:14" s="536" customFormat="1">
      <c r="C200" s="537"/>
      <c r="D200" s="519"/>
      <c r="E200" s="519"/>
      <c r="F200" s="519"/>
      <c r="G200" s="519"/>
      <c r="H200" s="519"/>
      <c r="I200" s="519"/>
      <c r="J200" s="519"/>
      <c r="K200" s="519"/>
      <c r="L200" s="519"/>
      <c r="M200" s="519"/>
      <c r="N200" s="519"/>
    </row>
    <row r="201" spans="3:14" s="536" customFormat="1">
      <c r="C201" s="537"/>
      <c r="D201" s="519"/>
      <c r="E201" s="519"/>
      <c r="F201" s="519"/>
      <c r="G201" s="519"/>
      <c r="H201" s="519"/>
      <c r="I201" s="519"/>
      <c r="J201" s="519"/>
      <c r="K201" s="519"/>
      <c r="L201" s="519"/>
      <c r="M201" s="519"/>
      <c r="N201" s="519"/>
    </row>
    <row r="202" spans="3:14" s="536" customFormat="1">
      <c r="C202" s="537"/>
      <c r="D202" s="519"/>
      <c r="E202" s="519"/>
      <c r="F202" s="519"/>
      <c r="G202" s="519"/>
      <c r="H202" s="519"/>
      <c r="I202" s="519"/>
      <c r="J202" s="519"/>
      <c r="K202" s="519"/>
      <c r="L202" s="519"/>
      <c r="M202" s="519"/>
      <c r="N202" s="519"/>
    </row>
    <row r="203" spans="3:14" s="536" customFormat="1">
      <c r="C203" s="537"/>
      <c r="D203" s="519"/>
      <c r="E203" s="519"/>
      <c r="F203" s="519"/>
      <c r="G203" s="519"/>
      <c r="H203" s="519"/>
      <c r="I203" s="519"/>
      <c r="J203" s="519"/>
      <c r="K203" s="519"/>
      <c r="L203" s="519"/>
      <c r="M203" s="519"/>
      <c r="N203" s="519"/>
    </row>
    <row r="204" spans="3:14" s="536" customFormat="1">
      <c r="C204" s="537"/>
      <c r="D204" s="519"/>
      <c r="E204" s="519"/>
      <c r="F204" s="519"/>
      <c r="G204" s="519"/>
      <c r="H204" s="519"/>
      <c r="I204" s="519"/>
      <c r="J204" s="519"/>
      <c r="K204" s="519"/>
      <c r="L204" s="519"/>
      <c r="M204" s="519"/>
      <c r="N204" s="519"/>
    </row>
    <row r="205" spans="3:14" s="536" customFormat="1">
      <c r="C205" s="537"/>
      <c r="D205" s="519"/>
      <c r="E205" s="519"/>
      <c r="F205" s="519"/>
      <c r="G205" s="519"/>
      <c r="H205" s="519"/>
      <c r="I205" s="519"/>
      <c r="J205" s="519"/>
      <c r="K205" s="519"/>
      <c r="L205" s="519"/>
      <c r="M205" s="519"/>
      <c r="N205" s="519"/>
    </row>
    <row r="206" spans="3:14" s="536" customFormat="1">
      <c r="C206" s="537"/>
      <c r="D206" s="519"/>
      <c r="E206" s="519"/>
      <c r="F206" s="519"/>
      <c r="G206" s="519"/>
      <c r="H206" s="519"/>
      <c r="I206" s="519"/>
      <c r="J206" s="519"/>
      <c r="K206" s="519"/>
      <c r="L206" s="519"/>
      <c r="M206" s="519"/>
      <c r="N206" s="519"/>
    </row>
    <row r="207" spans="3:14" s="536" customFormat="1">
      <c r="C207" s="537"/>
      <c r="D207" s="519"/>
      <c r="E207" s="519"/>
      <c r="F207" s="519"/>
      <c r="G207" s="519"/>
      <c r="H207" s="519"/>
      <c r="I207" s="519"/>
      <c r="J207" s="519"/>
      <c r="K207" s="519"/>
      <c r="L207" s="519"/>
      <c r="M207" s="519"/>
      <c r="N207" s="519"/>
    </row>
    <row r="208" spans="3:14" s="536" customFormat="1">
      <c r="C208" s="537"/>
      <c r="D208" s="519"/>
      <c r="E208" s="519"/>
      <c r="F208" s="519"/>
      <c r="G208" s="519"/>
      <c r="H208" s="519"/>
      <c r="I208" s="519"/>
      <c r="J208" s="519"/>
      <c r="K208" s="519"/>
      <c r="L208" s="519"/>
      <c r="M208" s="519"/>
      <c r="N208" s="519"/>
    </row>
    <row r="209" spans="3:14" s="536" customFormat="1">
      <c r="C209" s="537"/>
      <c r="D209" s="519"/>
      <c r="E209" s="519"/>
      <c r="F209" s="519"/>
      <c r="G209" s="519"/>
      <c r="H209" s="519"/>
      <c r="I209" s="519"/>
      <c r="J209" s="519"/>
      <c r="K209" s="519"/>
      <c r="L209" s="519"/>
      <c r="M209" s="519"/>
      <c r="N209" s="519"/>
    </row>
    <row r="210" spans="3:14" s="536" customFormat="1">
      <c r="C210" s="537"/>
      <c r="D210" s="519"/>
      <c r="E210" s="519"/>
      <c r="F210" s="519"/>
      <c r="G210" s="519"/>
      <c r="H210" s="519"/>
      <c r="I210" s="519"/>
      <c r="J210" s="519"/>
      <c r="K210" s="519"/>
      <c r="L210" s="519"/>
      <c r="M210" s="519"/>
      <c r="N210" s="519"/>
    </row>
    <row r="211" spans="3:14" s="536" customFormat="1">
      <c r="C211" s="537"/>
      <c r="D211" s="519"/>
      <c r="E211" s="519"/>
      <c r="F211" s="519"/>
      <c r="G211" s="519"/>
      <c r="H211" s="519"/>
      <c r="I211" s="519"/>
      <c r="J211" s="519"/>
      <c r="K211" s="519"/>
      <c r="L211" s="519"/>
      <c r="M211" s="519"/>
      <c r="N211" s="519"/>
    </row>
    <row r="212" spans="3:14" s="536" customFormat="1">
      <c r="C212" s="537"/>
      <c r="D212" s="519"/>
      <c r="E212" s="519"/>
      <c r="F212" s="519"/>
      <c r="G212" s="519"/>
      <c r="H212" s="519"/>
      <c r="I212" s="519"/>
      <c r="J212" s="519"/>
      <c r="K212" s="519"/>
      <c r="L212" s="519"/>
      <c r="M212" s="519"/>
      <c r="N212" s="519"/>
    </row>
    <row r="213" spans="3:14" s="536" customFormat="1">
      <c r="C213" s="537"/>
      <c r="D213" s="519"/>
      <c r="E213" s="519"/>
      <c r="F213" s="519"/>
      <c r="G213" s="519"/>
      <c r="H213" s="519"/>
      <c r="I213" s="519"/>
      <c r="J213" s="519"/>
      <c r="K213" s="519"/>
      <c r="L213" s="519"/>
      <c r="M213" s="519"/>
      <c r="N213" s="519"/>
    </row>
    <row r="214" spans="3:14" s="536" customFormat="1">
      <c r="C214" s="537"/>
      <c r="D214" s="519"/>
      <c r="E214" s="519"/>
      <c r="F214" s="519"/>
      <c r="G214" s="519"/>
      <c r="H214" s="519"/>
      <c r="I214" s="519"/>
      <c r="J214" s="519"/>
      <c r="K214" s="519"/>
      <c r="L214" s="519"/>
      <c r="M214" s="519"/>
      <c r="N214" s="519"/>
    </row>
    <row r="215" spans="3:14" s="536" customFormat="1">
      <c r="C215" s="537"/>
      <c r="D215" s="519"/>
      <c r="E215" s="519"/>
      <c r="F215" s="519"/>
      <c r="G215" s="519"/>
      <c r="H215" s="519"/>
      <c r="I215" s="519"/>
      <c r="J215" s="519"/>
      <c r="K215" s="519"/>
      <c r="L215" s="519"/>
      <c r="M215" s="519"/>
      <c r="N215" s="519"/>
    </row>
    <row r="216" spans="3:14" s="536" customFormat="1">
      <c r="C216" s="537"/>
      <c r="D216" s="519"/>
      <c r="E216" s="519"/>
      <c r="F216" s="519"/>
      <c r="G216" s="519"/>
      <c r="H216" s="519"/>
      <c r="I216" s="519"/>
      <c r="J216" s="519"/>
      <c r="K216" s="519"/>
      <c r="L216" s="519"/>
      <c r="M216" s="519"/>
      <c r="N216" s="519"/>
    </row>
    <row r="217" spans="3:14" s="536" customFormat="1">
      <c r="C217" s="537"/>
      <c r="D217" s="519"/>
      <c r="E217" s="519"/>
      <c r="F217" s="519"/>
      <c r="G217" s="519"/>
      <c r="H217" s="519"/>
      <c r="I217" s="519"/>
      <c r="J217" s="519"/>
      <c r="K217" s="519"/>
      <c r="L217" s="519"/>
      <c r="M217" s="519"/>
      <c r="N217" s="519"/>
    </row>
    <row r="218" spans="3:14" s="536" customFormat="1">
      <c r="C218" s="537"/>
      <c r="D218" s="519"/>
      <c r="E218" s="519"/>
      <c r="F218" s="519"/>
      <c r="G218" s="519"/>
      <c r="H218" s="519"/>
      <c r="I218" s="519"/>
      <c r="J218" s="519"/>
      <c r="K218" s="519"/>
      <c r="L218" s="519"/>
      <c r="M218" s="519"/>
      <c r="N218" s="519"/>
    </row>
    <row r="219" spans="3:14" s="536" customFormat="1">
      <c r="C219" s="537"/>
      <c r="D219" s="519"/>
      <c r="E219" s="519"/>
      <c r="F219" s="519"/>
      <c r="G219" s="519"/>
      <c r="H219" s="519"/>
      <c r="I219" s="519"/>
      <c r="J219" s="519"/>
      <c r="K219" s="519"/>
      <c r="L219" s="519"/>
      <c r="M219" s="519"/>
      <c r="N219" s="519"/>
    </row>
    <row r="220" spans="3:14" s="536" customFormat="1">
      <c r="C220" s="537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9"/>
    </row>
    <row r="221" spans="3:14" s="536" customFormat="1">
      <c r="C221" s="537"/>
      <c r="D221" s="519"/>
      <c r="E221" s="519"/>
      <c r="F221" s="519"/>
      <c r="G221" s="519"/>
      <c r="H221" s="519"/>
      <c r="I221" s="519"/>
      <c r="J221" s="519"/>
      <c r="K221" s="519"/>
      <c r="L221" s="519"/>
      <c r="M221" s="519"/>
      <c r="N221" s="519"/>
    </row>
    <row r="222" spans="3:14" s="536" customFormat="1">
      <c r="C222" s="537"/>
      <c r="D222" s="519"/>
      <c r="E222" s="519"/>
      <c r="F222" s="519"/>
      <c r="G222" s="519"/>
      <c r="H222" s="519"/>
      <c r="I222" s="519"/>
      <c r="J222" s="519"/>
      <c r="K222" s="519"/>
      <c r="L222" s="519"/>
      <c r="M222" s="519"/>
      <c r="N222" s="519"/>
    </row>
    <row r="223" spans="3:14" s="536" customFormat="1">
      <c r="C223" s="537"/>
      <c r="D223" s="519"/>
      <c r="E223" s="519"/>
      <c r="F223" s="519"/>
      <c r="G223" s="519"/>
      <c r="H223" s="519"/>
      <c r="I223" s="519"/>
      <c r="J223" s="519"/>
      <c r="K223" s="519"/>
      <c r="L223" s="519"/>
      <c r="M223" s="519"/>
      <c r="N223" s="519"/>
    </row>
    <row r="224" spans="3:14" s="536" customFormat="1">
      <c r="C224" s="537"/>
      <c r="D224" s="519"/>
      <c r="E224" s="519"/>
      <c r="F224" s="519"/>
      <c r="G224" s="519"/>
      <c r="H224" s="519"/>
      <c r="I224" s="519"/>
      <c r="J224" s="519"/>
      <c r="K224" s="519"/>
      <c r="L224" s="519"/>
      <c r="M224" s="519"/>
      <c r="N224" s="519"/>
    </row>
    <row r="225" spans="3:14" s="536" customFormat="1">
      <c r="C225" s="537"/>
      <c r="D225" s="519"/>
      <c r="E225" s="519"/>
      <c r="F225" s="519"/>
      <c r="G225" s="519"/>
      <c r="H225" s="519"/>
      <c r="I225" s="519"/>
      <c r="J225" s="519"/>
      <c r="K225" s="519"/>
      <c r="L225" s="519"/>
      <c r="M225" s="519"/>
      <c r="N225" s="519"/>
    </row>
    <row r="226" spans="3:14" s="536" customFormat="1">
      <c r="C226" s="537"/>
      <c r="D226" s="519"/>
      <c r="E226" s="519"/>
      <c r="F226" s="519"/>
      <c r="G226" s="519"/>
      <c r="H226" s="519"/>
      <c r="I226" s="519"/>
      <c r="J226" s="519"/>
      <c r="K226" s="519"/>
      <c r="L226" s="519"/>
      <c r="M226" s="519"/>
      <c r="N226" s="519"/>
    </row>
    <row r="227" spans="3:14" s="536" customFormat="1">
      <c r="C227" s="537"/>
      <c r="D227" s="519"/>
      <c r="E227" s="519"/>
      <c r="F227" s="519"/>
      <c r="G227" s="519"/>
      <c r="H227" s="519"/>
      <c r="I227" s="519"/>
      <c r="J227" s="519"/>
      <c r="K227" s="519"/>
      <c r="L227" s="519"/>
      <c r="M227" s="519"/>
      <c r="N227" s="519"/>
    </row>
    <row r="228" spans="3:14" s="536" customFormat="1">
      <c r="C228" s="537"/>
      <c r="D228" s="519"/>
      <c r="E228" s="519"/>
      <c r="F228" s="519"/>
      <c r="G228" s="519"/>
      <c r="H228" s="519"/>
      <c r="I228" s="519"/>
      <c r="J228" s="519"/>
      <c r="K228" s="519"/>
      <c r="L228" s="519"/>
      <c r="M228" s="519"/>
      <c r="N228" s="519"/>
    </row>
    <row r="229" spans="3:14" s="536" customFormat="1">
      <c r="C229" s="537"/>
      <c r="D229" s="519"/>
      <c r="E229" s="519"/>
      <c r="F229" s="519"/>
      <c r="G229" s="519"/>
      <c r="H229" s="519"/>
      <c r="I229" s="519"/>
      <c r="J229" s="519"/>
      <c r="K229" s="519"/>
      <c r="L229" s="519"/>
      <c r="M229" s="519"/>
      <c r="N229" s="519"/>
    </row>
    <row r="230" spans="3:14" s="536" customFormat="1">
      <c r="C230" s="537"/>
      <c r="D230" s="519"/>
      <c r="E230" s="519"/>
      <c r="F230" s="519"/>
      <c r="G230" s="519"/>
      <c r="H230" s="519"/>
      <c r="I230" s="519"/>
      <c r="J230" s="519"/>
      <c r="K230" s="519"/>
      <c r="L230" s="519"/>
      <c r="M230" s="519"/>
      <c r="N230" s="519"/>
    </row>
    <row r="231" spans="3:14" s="536" customFormat="1">
      <c r="C231" s="537"/>
      <c r="D231" s="519"/>
      <c r="E231" s="519"/>
      <c r="F231" s="519"/>
      <c r="G231" s="519"/>
      <c r="H231" s="519"/>
      <c r="I231" s="519"/>
      <c r="J231" s="519"/>
      <c r="K231" s="519"/>
      <c r="L231" s="519"/>
      <c r="M231" s="519"/>
      <c r="N231" s="519"/>
    </row>
    <row r="232" spans="3:14" s="536" customFormat="1">
      <c r="C232" s="537"/>
      <c r="D232" s="519"/>
      <c r="E232" s="519"/>
      <c r="F232" s="519"/>
      <c r="G232" s="519"/>
      <c r="H232" s="519"/>
      <c r="I232" s="519"/>
      <c r="J232" s="519"/>
      <c r="K232" s="519"/>
      <c r="L232" s="519"/>
      <c r="M232" s="519"/>
      <c r="N232" s="519"/>
    </row>
    <row r="233" spans="3:14" s="536" customFormat="1">
      <c r="C233" s="537"/>
      <c r="D233" s="519"/>
      <c r="E233" s="519"/>
      <c r="F233" s="519"/>
      <c r="G233" s="519"/>
      <c r="H233" s="519"/>
      <c r="I233" s="519"/>
      <c r="J233" s="519"/>
      <c r="K233" s="519"/>
      <c r="L233" s="519"/>
      <c r="M233" s="519"/>
      <c r="N233" s="519"/>
    </row>
    <row r="234" spans="3:14" s="536" customFormat="1">
      <c r="C234" s="537"/>
      <c r="D234" s="519"/>
      <c r="E234" s="519"/>
      <c r="F234" s="519"/>
      <c r="G234" s="519"/>
      <c r="H234" s="519"/>
      <c r="I234" s="519"/>
      <c r="J234" s="519"/>
      <c r="K234" s="519"/>
      <c r="L234" s="519"/>
      <c r="M234" s="519"/>
      <c r="N234" s="519"/>
    </row>
    <row r="235" spans="3:14" s="536" customFormat="1">
      <c r="C235" s="537"/>
      <c r="D235" s="519"/>
      <c r="E235" s="519"/>
      <c r="F235" s="519"/>
      <c r="G235" s="519"/>
      <c r="H235" s="519"/>
      <c r="I235" s="519"/>
      <c r="J235" s="519"/>
      <c r="K235" s="519"/>
      <c r="L235" s="519"/>
      <c r="M235" s="519"/>
      <c r="N235" s="519"/>
    </row>
    <row r="236" spans="3:14" s="536" customFormat="1">
      <c r="C236" s="537"/>
      <c r="D236" s="519"/>
      <c r="E236" s="519"/>
      <c r="F236" s="519"/>
      <c r="G236" s="519"/>
      <c r="H236" s="519"/>
      <c r="I236" s="519"/>
      <c r="J236" s="519"/>
      <c r="K236" s="519"/>
      <c r="L236" s="519"/>
      <c r="M236" s="519"/>
      <c r="N236" s="519"/>
    </row>
    <row r="237" spans="3:14" s="536" customFormat="1">
      <c r="C237" s="537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19"/>
    </row>
    <row r="238" spans="3:14" s="536" customFormat="1">
      <c r="C238" s="537"/>
      <c r="D238" s="519"/>
      <c r="E238" s="519"/>
      <c r="F238" s="519"/>
      <c r="G238" s="519"/>
      <c r="H238" s="519"/>
      <c r="I238" s="519"/>
      <c r="J238" s="519"/>
      <c r="K238" s="519"/>
      <c r="L238" s="519"/>
      <c r="M238" s="519"/>
      <c r="N238" s="519"/>
    </row>
    <row r="239" spans="3:14" s="536" customFormat="1">
      <c r="C239" s="537"/>
      <c r="D239" s="519"/>
      <c r="E239" s="519"/>
      <c r="F239" s="519"/>
      <c r="G239" s="519"/>
      <c r="H239" s="519"/>
      <c r="I239" s="519"/>
      <c r="J239" s="519"/>
      <c r="K239" s="519"/>
      <c r="L239" s="519"/>
      <c r="M239" s="519"/>
      <c r="N239" s="519"/>
    </row>
    <row r="240" spans="3:14" s="536" customFormat="1">
      <c r="C240" s="537"/>
      <c r="D240" s="519"/>
      <c r="E240" s="519"/>
      <c r="F240" s="519"/>
      <c r="G240" s="519"/>
      <c r="H240" s="519"/>
      <c r="I240" s="519"/>
      <c r="J240" s="519"/>
      <c r="K240" s="519"/>
      <c r="L240" s="519"/>
      <c r="M240" s="519"/>
      <c r="N240" s="519"/>
    </row>
    <row r="241" spans="3:14" s="536" customFormat="1">
      <c r="C241" s="537"/>
      <c r="D241" s="519"/>
      <c r="E241" s="519"/>
      <c r="F241" s="519"/>
      <c r="G241" s="519"/>
      <c r="H241" s="519"/>
      <c r="I241" s="519"/>
      <c r="J241" s="519"/>
      <c r="K241" s="519"/>
      <c r="L241" s="519"/>
      <c r="M241" s="519"/>
      <c r="N241" s="519"/>
    </row>
    <row r="242" spans="3:14" s="536" customFormat="1">
      <c r="C242" s="537"/>
      <c r="D242" s="519"/>
      <c r="E242" s="519"/>
      <c r="F242" s="519"/>
      <c r="G242" s="519"/>
      <c r="H242" s="519"/>
      <c r="I242" s="519"/>
      <c r="J242" s="519"/>
      <c r="K242" s="519"/>
      <c r="L242" s="519"/>
      <c r="M242" s="519"/>
      <c r="N242" s="519"/>
    </row>
    <row r="243" spans="3:14" s="536" customFormat="1">
      <c r="C243" s="537"/>
      <c r="D243" s="519"/>
      <c r="E243" s="519"/>
      <c r="F243" s="519"/>
      <c r="G243" s="519"/>
      <c r="H243" s="519"/>
      <c r="I243" s="519"/>
      <c r="J243" s="519"/>
      <c r="K243" s="519"/>
      <c r="L243" s="519"/>
      <c r="M243" s="519"/>
      <c r="N243" s="519"/>
    </row>
    <row r="244" spans="3:14" s="536" customFormat="1">
      <c r="C244" s="537"/>
      <c r="D244" s="519"/>
      <c r="E244" s="519"/>
      <c r="F244" s="519"/>
      <c r="G244" s="519"/>
      <c r="H244" s="519"/>
      <c r="I244" s="519"/>
      <c r="J244" s="519"/>
      <c r="K244" s="519"/>
      <c r="L244" s="519"/>
      <c r="M244" s="519"/>
      <c r="N244" s="519"/>
    </row>
    <row r="245" spans="3:14" s="536" customFormat="1">
      <c r="C245" s="537"/>
      <c r="D245" s="519"/>
      <c r="E245" s="519"/>
      <c r="F245" s="519"/>
      <c r="G245" s="519"/>
      <c r="H245" s="519"/>
      <c r="I245" s="519"/>
      <c r="J245" s="519"/>
      <c r="K245" s="519"/>
      <c r="L245" s="519"/>
      <c r="M245" s="519"/>
      <c r="N245" s="519"/>
    </row>
    <row r="246" spans="3:14" s="536" customFormat="1">
      <c r="C246" s="537"/>
      <c r="D246" s="519"/>
      <c r="E246" s="519"/>
      <c r="F246" s="519"/>
      <c r="G246" s="519"/>
      <c r="H246" s="519"/>
      <c r="I246" s="519"/>
      <c r="J246" s="519"/>
      <c r="K246" s="519"/>
      <c r="L246" s="519"/>
      <c r="M246" s="519"/>
      <c r="N246" s="519"/>
    </row>
    <row r="247" spans="3:14" s="536" customFormat="1">
      <c r="C247" s="537"/>
      <c r="D247" s="519"/>
      <c r="E247" s="519"/>
      <c r="F247" s="519"/>
      <c r="G247" s="519"/>
      <c r="H247" s="519"/>
      <c r="I247" s="519"/>
      <c r="J247" s="519"/>
      <c r="K247" s="519"/>
      <c r="L247" s="519"/>
      <c r="M247" s="519"/>
      <c r="N247" s="519"/>
    </row>
    <row r="248" spans="3:14" s="536" customFormat="1">
      <c r="C248" s="537"/>
      <c r="D248" s="519"/>
      <c r="E248" s="519"/>
      <c r="F248" s="519"/>
      <c r="G248" s="519"/>
      <c r="H248" s="519"/>
      <c r="I248" s="519"/>
      <c r="J248" s="519"/>
      <c r="K248" s="519"/>
      <c r="L248" s="519"/>
      <c r="M248" s="519"/>
      <c r="N248" s="519"/>
    </row>
    <row r="249" spans="3:14" s="536" customFormat="1">
      <c r="C249" s="537"/>
      <c r="D249" s="519"/>
      <c r="E249" s="519"/>
      <c r="F249" s="519"/>
      <c r="G249" s="519"/>
      <c r="H249" s="519"/>
      <c r="I249" s="519"/>
      <c r="J249" s="519"/>
      <c r="K249" s="519"/>
      <c r="L249" s="519"/>
      <c r="M249" s="519"/>
      <c r="N249" s="519"/>
    </row>
    <row r="250" spans="3:14" s="536" customFormat="1">
      <c r="C250" s="537"/>
      <c r="D250" s="519"/>
      <c r="E250" s="519"/>
      <c r="F250" s="519"/>
      <c r="G250" s="519"/>
      <c r="H250" s="519"/>
      <c r="I250" s="519"/>
      <c r="J250" s="519"/>
      <c r="K250" s="519"/>
      <c r="L250" s="519"/>
      <c r="M250" s="519"/>
      <c r="N250" s="519"/>
    </row>
    <row r="251" spans="3:14" s="536" customFormat="1">
      <c r="C251" s="537"/>
      <c r="D251" s="519"/>
      <c r="E251" s="519"/>
      <c r="F251" s="519"/>
      <c r="G251" s="519"/>
      <c r="H251" s="519"/>
      <c r="I251" s="519"/>
      <c r="J251" s="519"/>
      <c r="K251" s="519"/>
      <c r="L251" s="519"/>
      <c r="M251" s="519"/>
      <c r="N251" s="519"/>
    </row>
    <row r="252" spans="3:14" s="536" customFormat="1">
      <c r="C252" s="537"/>
      <c r="D252" s="519"/>
      <c r="E252" s="519"/>
      <c r="F252" s="519"/>
      <c r="G252" s="519"/>
      <c r="H252" s="519"/>
      <c r="I252" s="519"/>
      <c r="J252" s="519"/>
      <c r="K252" s="519"/>
      <c r="L252" s="519"/>
      <c r="M252" s="519"/>
      <c r="N252" s="519"/>
    </row>
    <row r="253" spans="3:14" s="536" customFormat="1">
      <c r="C253" s="537"/>
      <c r="D253" s="519"/>
      <c r="E253" s="519"/>
      <c r="F253" s="519"/>
      <c r="G253" s="519"/>
      <c r="H253" s="519"/>
      <c r="I253" s="519"/>
      <c r="J253" s="519"/>
      <c r="K253" s="519"/>
      <c r="L253" s="519"/>
      <c r="M253" s="519"/>
      <c r="N253" s="519"/>
    </row>
    <row r="254" spans="3:14" s="536" customFormat="1">
      <c r="C254" s="537"/>
      <c r="D254" s="519"/>
      <c r="E254" s="519"/>
      <c r="F254" s="519"/>
      <c r="G254" s="519"/>
      <c r="H254" s="519"/>
      <c r="I254" s="519"/>
      <c r="J254" s="519"/>
      <c r="K254" s="519"/>
      <c r="L254" s="519"/>
      <c r="M254" s="519"/>
      <c r="N254" s="519"/>
    </row>
    <row r="255" spans="3:14" s="536" customFormat="1">
      <c r="C255" s="537"/>
      <c r="D255" s="519"/>
      <c r="E255" s="519"/>
      <c r="F255" s="519"/>
      <c r="G255" s="519"/>
      <c r="H255" s="519"/>
      <c r="I255" s="519"/>
      <c r="J255" s="519"/>
      <c r="K255" s="519"/>
      <c r="L255" s="519"/>
      <c r="M255" s="519"/>
      <c r="N255" s="519"/>
    </row>
    <row r="256" spans="3:14" s="536" customFormat="1">
      <c r="C256" s="537"/>
      <c r="D256" s="519"/>
      <c r="E256" s="519"/>
      <c r="F256" s="519"/>
      <c r="G256" s="519"/>
      <c r="H256" s="519"/>
      <c r="I256" s="519"/>
      <c r="J256" s="519"/>
      <c r="K256" s="519"/>
      <c r="L256" s="519"/>
      <c r="M256" s="519"/>
      <c r="N256" s="519"/>
    </row>
    <row r="257" spans="3:14" s="536" customFormat="1">
      <c r="C257" s="537"/>
      <c r="D257" s="519"/>
      <c r="E257" s="519"/>
      <c r="F257" s="519"/>
      <c r="G257" s="519"/>
      <c r="H257" s="519"/>
      <c r="I257" s="519"/>
      <c r="J257" s="519"/>
      <c r="K257" s="519"/>
      <c r="L257" s="519"/>
      <c r="M257" s="519"/>
      <c r="N257" s="519"/>
    </row>
    <row r="258" spans="3:14" s="536" customFormat="1">
      <c r="C258" s="537"/>
      <c r="D258" s="519"/>
      <c r="E258" s="519"/>
      <c r="F258" s="519"/>
      <c r="G258" s="519"/>
      <c r="H258" s="519"/>
      <c r="I258" s="519"/>
      <c r="J258" s="519"/>
      <c r="K258" s="519"/>
      <c r="L258" s="519"/>
      <c r="M258" s="519"/>
      <c r="N258" s="519"/>
    </row>
    <row r="259" spans="3:14" s="536" customFormat="1">
      <c r="C259" s="537"/>
      <c r="D259" s="519"/>
      <c r="E259" s="519"/>
      <c r="F259" s="519"/>
      <c r="G259" s="519"/>
      <c r="H259" s="519"/>
      <c r="I259" s="519"/>
      <c r="J259" s="519"/>
      <c r="K259" s="519"/>
      <c r="L259" s="519"/>
      <c r="M259" s="519"/>
      <c r="N259" s="519"/>
    </row>
    <row r="260" spans="3:14" s="536" customFormat="1">
      <c r="C260" s="537"/>
      <c r="D260" s="519"/>
      <c r="E260" s="519"/>
      <c r="F260" s="519"/>
      <c r="G260" s="519"/>
      <c r="H260" s="519"/>
      <c r="I260" s="519"/>
      <c r="J260" s="519"/>
      <c r="K260" s="519"/>
      <c r="L260" s="519"/>
      <c r="M260" s="519"/>
      <c r="N260" s="519"/>
    </row>
    <row r="261" spans="3:14" s="536" customFormat="1">
      <c r="C261" s="537"/>
      <c r="D261" s="519"/>
      <c r="E261" s="519"/>
      <c r="F261" s="519"/>
      <c r="G261" s="519"/>
      <c r="H261" s="519"/>
      <c r="I261" s="519"/>
      <c r="J261" s="519"/>
      <c r="K261" s="519"/>
      <c r="L261" s="519"/>
      <c r="M261" s="519"/>
      <c r="N261" s="519"/>
    </row>
    <row r="262" spans="3:14" s="536" customFormat="1">
      <c r="C262" s="537"/>
      <c r="D262" s="519"/>
      <c r="E262" s="519"/>
      <c r="F262" s="519"/>
      <c r="G262" s="519"/>
      <c r="H262" s="519"/>
      <c r="I262" s="519"/>
      <c r="J262" s="519"/>
      <c r="K262" s="519"/>
      <c r="L262" s="519"/>
      <c r="M262" s="519"/>
      <c r="N262" s="519"/>
    </row>
    <row r="263" spans="3:14" s="536" customFormat="1">
      <c r="C263" s="537"/>
      <c r="D263" s="519"/>
      <c r="E263" s="519"/>
      <c r="F263" s="519"/>
      <c r="G263" s="519"/>
      <c r="H263" s="519"/>
      <c r="I263" s="519"/>
      <c r="J263" s="519"/>
      <c r="K263" s="519"/>
      <c r="L263" s="519"/>
      <c r="M263" s="519"/>
      <c r="N263" s="519"/>
    </row>
    <row r="264" spans="3:14" s="536" customFormat="1">
      <c r="C264" s="537"/>
      <c r="D264" s="519"/>
      <c r="E264" s="519"/>
      <c r="F264" s="519"/>
      <c r="G264" s="519"/>
      <c r="H264" s="519"/>
      <c r="I264" s="519"/>
      <c r="J264" s="519"/>
      <c r="K264" s="519"/>
      <c r="L264" s="519"/>
      <c r="M264" s="519"/>
      <c r="N264" s="519"/>
    </row>
    <row r="265" spans="3:14" s="536" customFormat="1">
      <c r="C265" s="537"/>
      <c r="D265" s="519"/>
      <c r="E265" s="519"/>
      <c r="F265" s="519"/>
      <c r="G265" s="519"/>
      <c r="H265" s="519"/>
      <c r="I265" s="519"/>
      <c r="J265" s="519"/>
      <c r="K265" s="519"/>
      <c r="L265" s="519"/>
      <c r="M265" s="519"/>
      <c r="N265" s="519"/>
    </row>
    <row r="266" spans="3:14" s="536" customFormat="1">
      <c r="C266" s="537"/>
      <c r="D266" s="519"/>
      <c r="E266" s="519"/>
      <c r="F266" s="519"/>
      <c r="G266" s="519"/>
      <c r="H266" s="519"/>
      <c r="I266" s="519"/>
      <c r="J266" s="519"/>
      <c r="K266" s="519"/>
      <c r="L266" s="519"/>
      <c r="M266" s="519"/>
      <c r="N266" s="519"/>
    </row>
    <row r="267" spans="3:14" s="536" customFormat="1">
      <c r="C267" s="537"/>
      <c r="D267" s="519"/>
      <c r="E267" s="519"/>
      <c r="F267" s="519"/>
      <c r="G267" s="519"/>
      <c r="H267" s="519"/>
      <c r="I267" s="519"/>
      <c r="J267" s="519"/>
      <c r="K267" s="519"/>
      <c r="L267" s="519"/>
      <c r="M267" s="519"/>
      <c r="N267" s="519"/>
    </row>
    <row r="268" spans="3:14" s="536" customFormat="1">
      <c r="C268" s="537"/>
      <c r="D268" s="519"/>
      <c r="E268" s="519"/>
      <c r="F268" s="519"/>
      <c r="G268" s="519"/>
      <c r="H268" s="519"/>
      <c r="I268" s="519"/>
      <c r="J268" s="519"/>
      <c r="K268" s="519"/>
      <c r="L268" s="519"/>
      <c r="M268" s="519"/>
      <c r="N268" s="519"/>
    </row>
    <row r="269" spans="3:14" s="536" customFormat="1">
      <c r="C269" s="537"/>
      <c r="D269" s="519"/>
      <c r="E269" s="519"/>
      <c r="F269" s="519"/>
      <c r="G269" s="519"/>
      <c r="H269" s="519"/>
      <c r="I269" s="519"/>
      <c r="J269" s="519"/>
      <c r="K269" s="519"/>
      <c r="L269" s="519"/>
      <c r="M269" s="519"/>
      <c r="N269" s="519"/>
    </row>
    <row r="270" spans="3:14" s="536" customFormat="1">
      <c r="C270" s="537"/>
      <c r="D270" s="519"/>
      <c r="E270" s="519"/>
      <c r="F270" s="519"/>
      <c r="G270" s="519"/>
      <c r="H270" s="519"/>
      <c r="I270" s="519"/>
      <c r="J270" s="519"/>
      <c r="K270" s="519"/>
      <c r="L270" s="519"/>
      <c r="M270" s="519"/>
      <c r="N270" s="519"/>
    </row>
    <row r="271" spans="3:14" s="536" customFormat="1">
      <c r="C271" s="537"/>
      <c r="D271" s="519"/>
      <c r="E271" s="519"/>
      <c r="F271" s="519"/>
      <c r="G271" s="519"/>
      <c r="H271" s="519"/>
      <c r="I271" s="519"/>
      <c r="J271" s="519"/>
      <c r="K271" s="519"/>
      <c r="L271" s="519"/>
      <c r="M271" s="519"/>
      <c r="N271" s="519"/>
    </row>
    <row r="272" spans="3:14" s="536" customFormat="1">
      <c r="C272" s="537"/>
      <c r="D272" s="519"/>
      <c r="E272" s="519"/>
      <c r="F272" s="519"/>
      <c r="G272" s="519"/>
      <c r="H272" s="519"/>
      <c r="I272" s="519"/>
      <c r="J272" s="519"/>
      <c r="K272" s="519"/>
      <c r="L272" s="519"/>
      <c r="M272" s="519"/>
      <c r="N272" s="519"/>
    </row>
    <row r="273" spans="3:14" s="536" customFormat="1">
      <c r="C273" s="537"/>
      <c r="D273" s="519"/>
      <c r="E273" s="519"/>
      <c r="F273" s="519"/>
      <c r="G273" s="519"/>
      <c r="H273" s="519"/>
      <c r="I273" s="519"/>
      <c r="J273" s="519"/>
      <c r="K273" s="519"/>
      <c r="L273" s="519"/>
      <c r="M273" s="519"/>
      <c r="N273" s="519"/>
    </row>
    <row r="274" spans="3:14" s="536" customFormat="1">
      <c r="C274" s="537"/>
      <c r="D274" s="519"/>
      <c r="E274" s="519"/>
      <c r="F274" s="519"/>
      <c r="G274" s="519"/>
      <c r="H274" s="519"/>
      <c r="I274" s="519"/>
      <c r="J274" s="519"/>
      <c r="K274" s="519"/>
      <c r="L274" s="519"/>
      <c r="M274" s="519"/>
      <c r="N274" s="519"/>
    </row>
    <row r="275" spans="3:14" s="536" customFormat="1">
      <c r="C275" s="537"/>
      <c r="D275" s="519"/>
      <c r="E275" s="519"/>
      <c r="F275" s="519"/>
      <c r="G275" s="519"/>
      <c r="H275" s="519"/>
      <c r="I275" s="519"/>
      <c r="J275" s="519"/>
      <c r="K275" s="519"/>
      <c r="L275" s="519"/>
      <c r="M275" s="519"/>
      <c r="N275" s="519"/>
    </row>
    <row r="276" spans="3:14" s="536" customFormat="1">
      <c r="C276" s="537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19"/>
    </row>
    <row r="277" spans="3:14" s="536" customFormat="1">
      <c r="C277" s="537"/>
      <c r="D277" s="519"/>
      <c r="E277" s="519"/>
      <c r="F277" s="519"/>
      <c r="G277" s="519"/>
      <c r="H277" s="519"/>
      <c r="I277" s="519"/>
      <c r="J277" s="519"/>
      <c r="K277" s="519"/>
      <c r="L277" s="519"/>
      <c r="M277" s="519"/>
      <c r="N277" s="519"/>
    </row>
    <row r="278" spans="3:14" s="536" customFormat="1">
      <c r="C278" s="537"/>
      <c r="D278" s="519"/>
      <c r="E278" s="519"/>
      <c r="F278" s="519"/>
      <c r="G278" s="519"/>
      <c r="H278" s="519"/>
      <c r="I278" s="519"/>
      <c r="J278" s="519"/>
      <c r="K278" s="519"/>
      <c r="L278" s="519"/>
      <c r="M278" s="519"/>
      <c r="N278" s="519"/>
    </row>
    <row r="279" spans="3:14" s="536" customFormat="1">
      <c r="C279" s="537"/>
      <c r="D279" s="519"/>
      <c r="E279" s="519"/>
      <c r="F279" s="519"/>
      <c r="G279" s="519"/>
      <c r="H279" s="519"/>
      <c r="I279" s="519"/>
      <c r="J279" s="519"/>
      <c r="K279" s="519"/>
      <c r="L279" s="519"/>
      <c r="M279" s="519"/>
      <c r="N279" s="519"/>
    </row>
    <row r="280" spans="3:14" s="536" customFormat="1">
      <c r="C280" s="537"/>
      <c r="D280" s="519"/>
      <c r="E280" s="519"/>
      <c r="F280" s="519"/>
      <c r="G280" s="519"/>
      <c r="H280" s="519"/>
      <c r="I280" s="519"/>
      <c r="J280" s="519"/>
      <c r="K280" s="519"/>
      <c r="L280" s="519"/>
      <c r="M280" s="519"/>
      <c r="N280" s="519"/>
    </row>
    <row r="281" spans="3:14" s="536" customFormat="1">
      <c r="C281" s="537"/>
      <c r="D281" s="519"/>
      <c r="E281" s="519"/>
      <c r="F281" s="519"/>
      <c r="G281" s="519"/>
      <c r="H281" s="519"/>
      <c r="I281" s="519"/>
      <c r="J281" s="519"/>
      <c r="K281" s="519"/>
      <c r="L281" s="519"/>
      <c r="M281" s="519"/>
      <c r="N281" s="519"/>
    </row>
    <row r="282" spans="3:14" s="536" customFormat="1">
      <c r="C282" s="537"/>
      <c r="D282" s="519"/>
      <c r="E282" s="519"/>
      <c r="F282" s="519"/>
      <c r="G282" s="519"/>
      <c r="H282" s="519"/>
      <c r="I282" s="519"/>
      <c r="J282" s="519"/>
      <c r="K282" s="519"/>
      <c r="L282" s="519"/>
      <c r="M282" s="519"/>
      <c r="N282" s="519"/>
    </row>
    <row r="283" spans="3:14" s="536" customFormat="1">
      <c r="C283" s="537"/>
      <c r="D283" s="519"/>
      <c r="E283" s="519"/>
      <c r="F283" s="519"/>
      <c r="G283" s="519"/>
      <c r="H283" s="519"/>
      <c r="I283" s="519"/>
      <c r="J283" s="519"/>
      <c r="K283" s="519"/>
      <c r="L283" s="519"/>
      <c r="M283" s="519"/>
      <c r="N283" s="519"/>
    </row>
    <row r="284" spans="3:14" s="536" customFormat="1">
      <c r="C284" s="537"/>
      <c r="D284" s="519"/>
      <c r="E284" s="519"/>
      <c r="F284" s="519"/>
      <c r="G284" s="519"/>
      <c r="H284" s="519"/>
      <c r="I284" s="519"/>
      <c r="J284" s="519"/>
      <c r="K284" s="519"/>
      <c r="L284" s="519"/>
      <c r="M284" s="519"/>
      <c r="N284" s="519"/>
    </row>
    <row r="285" spans="3:14" s="536" customFormat="1">
      <c r="C285" s="537"/>
      <c r="D285" s="519"/>
      <c r="E285" s="519"/>
      <c r="F285" s="519"/>
      <c r="G285" s="519"/>
      <c r="H285" s="519"/>
      <c r="I285" s="519"/>
      <c r="J285" s="519"/>
      <c r="K285" s="519"/>
      <c r="L285" s="519"/>
      <c r="M285" s="519"/>
      <c r="N285" s="519"/>
    </row>
    <row r="286" spans="3:14" s="536" customFormat="1">
      <c r="C286" s="537"/>
      <c r="D286" s="519"/>
      <c r="E286" s="519"/>
      <c r="F286" s="519"/>
      <c r="G286" s="519"/>
      <c r="H286" s="519"/>
      <c r="I286" s="519"/>
      <c r="J286" s="519"/>
      <c r="K286" s="519"/>
      <c r="L286" s="519"/>
      <c r="M286" s="519"/>
      <c r="N286" s="519"/>
    </row>
    <row r="287" spans="3:14" s="536" customFormat="1">
      <c r="C287" s="537"/>
      <c r="D287" s="519"/>
      <c r="E287" s="519"/>
      <c r="F287" s="519"/>
      <c r="G287" s="519"/>
      <c r="H287" s="519"/>
      <c r="I287" s="519"/>
      <c r="J287" s="519"/>
      <c r="K287" s="519"/>
      <c r="L287" s="519"/>
      <c r="M287" s="519"/>
      <c r="N287" s="519"/>
    </row>
    <row r="288" spans="3:14" s="536" customFormat="1">
      <c r="C288" s="537"/>
      <c r="D288" s="519"/>
      <c r="E288" s="519"/>
      <c r="F288" s="519"/>
      <c r="G288" s="519"/>
      <c r="H288" s="519"/>
      <c r="I288" s="519"/>
      <c r="J288" s="519"/>
      <c r="K288" s="519"/>
      <c r="L288" s="519"/>
      <c r="M288" s="519"/>
      <c r="N288" s="519"/>
    </row>
    <row r="289" spans="3:14" s="536" customFormat="1">
      <c r="C289" s="537"/>
      <c r="D289" s="519"/>
      <c r="E289" s="519"/>
      <c r="F289" s="519"/>
      <c r="G289" s="519"/>
      <c r="H289" s="519"/>
      <c r="I289" s="519"/>
      <c r="J289" s="519"/>
      <c r="K289" s="519"/>
      <c r="L289" s="519"/>
      <c r="M289" s="519"/>
      <c r="N289" s="519"/>
    </row>
    <row r="290" spans="3:14" s="536" customFormat="1">
      <c r="C290" s="537"/>
      <c r="D290" s="519"/>
      <c r="E290" s="519"/>
      <c r="F290" s="519"/>
      <c r="G290" s="519"/>
      <c r="H290" s="519"/>
      <c r="I290" s="519"/>
      <c r="J290" s="519"/>
      <c r="K290" s="519"/>
      <c r="L290" s="519"/>
      <c r="M290" s="519"/>
      <c r="N290" s="519"/>
    </row>
    <row r="291" spans="3:14" s="536" customFormat="1">
      <c r="C291" s="537"/>
      <c r="D291" s="519"/>
      <c r="E291" s="519"/>
      <c r="F291" s="519"/>
      <c r="G291" s="519"/>
      <c r="H291" s="519"/>
      <c r="I291" s="519"/>
      <c r="J291" s="519"/>
      <c r="K291" s="519"/>
      <c r="L291" s="519"/>
      <c r="M291" s="519"/>
      <c r="N291" s="519"/>
    </row>
    <row r="292" spans="3:14" s="536" customFormat="1">
      <c r="C292" s="537"/>
      <c r="D292" s="519"/>
      <c r="E292" s="519"/>
      <c r="F292" s="519"/>
      <c r="G292" s="519"/>
      <c r="H292" s="519"/>
      <c r="I292" s="519"/>
      <c r="J292" s="519"/>
      <c r="K292" s="519"/>
      <c r="L292" s="519"/>
      <c r="M292" s="519"/>
      <c r="N292" s="519"/>
    </row>
    <row r="293" spans="3:14" s="536" customFormat="1">
      <c r="C293" s="537"/>
      <c r="D293" s="519"/>
      <c r="E293" s="519"/>
      <c r="F293" s="519"/>
      <c r="G293" s="519"/>
      <c r="H293" s="519"/>
      <c r="I293" s="519"/>
      <c r="J293" s="519"/>
      <c r="K293" s="519"/>
      <c r="L293" s="519"/>
      <c r="M293" s="519"/>
      <c r="N293" s="519"/>
    </row>
    <row r="294" spans="3:14" s="536" customFormat="1">
      <c r="C294" s="537"/>
      <c r="D294" s="519"/>
      <c r="E294" s="519"/>
      <c r="F294" s="519"/>
      <c r="G294" s="519"/>
      <c r="H294" s="519"/>
      <c r="I294" s="519"/>
      <c r="J294" s="519"/>
      <c r="K294" s="519"/>
      <c r="L294" s="519"/>
      <c r="M294" s="519"/>
      <c r="N294" s="519"/>
    </row>
    <row r="295" spans="3:14" s="536" customFormat="1">
      <c r="C295" s="537"/>
      <c r="D295" s="519"/>
      <c r="E295" s="519"/>
      <c r="F295" s="519"/>
      <c r="G295" s="519"/>
      <c r="H295" s="519"/>
      <c r="I295" s="519"/>
      <c r="J295" s="519"/>
      <c r="K295" s="519"/>
      <c r="L295" s="519"/>
      <c r="M295" s="519"/>
      <c r="N295" s="519"/>
    </row>
    <row r="296" spans="3:14" s="536" customFormat="1">
      <c r="C296" s="537"/>
      <c r="D296" s="519"/>
      <c r="E296" s="519"/>
      <c r="F296" s="519"/>
      <c r="G296" s="519"/>
      <c r="H296" s="519"/>
      <c r="I296" s="519"/>
      <c r="J296" s="519"/>
      <c r="K296" s="519"/>
      <c r="L296" s="519"/>
      <c r="M296" s="519"/>
      <c r="N296" s="519"/>
    </row>
    <row r="297" spans="3:14" s="536" customFormat="1">
      <c r="C297" s="537"/>
      <c r="D297" s="519"/>
      <c r="E297" s="519"/>
      <c r="F297" s="519"/>
      <c r="G297" s="519"/>
      <c r="H297" s="519"/>
      <c r="I297" s="519"/>
      <c r="J297" s="519"/>
      <c r="K297" s="519"/>
      <c r="L297" s="519"/>
      <c r="M297" s="519"/>
      <c r="N297" s="519"/>
    </row>
    <row r="298" spans="3:14" s="536" customFormat="1">
      <c r="C298" s="537"/>
      <c r="D298" s="519"/>
      <c r="E298" s="519"/>
      <c r="F298" s="519"/>
      <c r="G298" s="519"/>
      <c r="H298" s="519"/>
      <c r="I298" s="519"/>
      <c r="J298" s="519"/>
      <c r="K298" s="519"/>
      <c r="L298" s="519"/>
      <c r="M298" s="519"/>
      <c r="N298" s="519"/>
    </row>
    <row r="299" spans="3:14" s="536" customFormat="1">
      <c r="C299" s="537"/>
      <c r="D299" s="519"/>
      <c r="E299" s="519"/>
      <c r="F299" s="519"/>
      <c r="G299" s="519"/>
      <c r="H299" s="519"/>
      <c r="I299" s="519"/>
      <c r="J299" s="519"/>
      <c r="K299" s="519"/>
      <c r="L299" s="519"/>
      <c r="M299" s="519"/>
      <c r="N299" s="519"/>
    </row>
    <row r="300" spans="3:14" s="536" customFormat="1">
      <c r="C300" s="537"/>
      <c r="D300" s="519"/>
      <c r="E300" s="519"/>
      <c r="F300" s="519"/>
      <c r="G300" s="519"/>
      <c r="H300" s="519"/>
      <c r="I300" s="519"/>
      <c r="J300" s="519"/>
      <c r="K300" s="519"/>
      <c r="L300" s="519"/>
      <c r="M300" s="519"/>
      <c r="N300" s="519"/>
    </row>
    <row r="301" spans="3:14" s="536" customFormat="1">
      <c r="C301" s="537"/>
      <c r="D301" s="519"/>
      <c r="E301" s="519"/>
      <c r="F301" s="519"/>
      <c r="G301" s="519"/>
      <c r="H301" s="519"/>
      <c r="I301" s="519"/>
      <c r="J301" s="519"/>
      <c r="K301" s="519"/>
      <c r="L301" s="519"/>
      <c r="M301" s="519"/>
      <c r="N301" s="519"/>
    </row>
    <row r="302" spans="3:14" s="536" customFormat="1">
      <c r="C302" s="537"/>
      <c r="D302" s="519"/>
      <c r="E302" s="519"/>
      <c r="F302" s="519"/>
      <c r="G302" s="519"/>
      <c r="H302" s="519"/>
      <c r="I302" s="519"/>
      <c r="J302" s="519"/>
      <c r="K302" s="519"/>
      <c r="L302" s="519"/>
      <c r="M302" s="519"/>
      <c r="N302" s="519"/>
    </row>
    <row r="303" spans="3:14" s="536" customFormat="1">
      <c r="C303" s="537"/>
      <c r="D303" s="519"/>
      <c r="E303" s="519"/>
      <c r="F303" s="519"/>
      <c r="G303" s="519"/>
      <c r="H303" s="519"/>
      <c r="I303" s="519"/>
      <c r="J303" s="519"/>
      <c r="K303" s="519"/>
      <c r="L303" s="519"/>
      <c r="M303" s="519"/>
      <c r="N303" s="519"/>
    </row>
    <row r="304" spans="3:14" s="536" customFormat="1">
      <c r="C304" s="537"/>
      <c r="D304" s="519"/>
      <c r="E304" s="519"/>
      <c r="F304" s="519"/>
      <c r="G304" s="519"/>
      <c r="H304" s="519"/>
      <c r="I304" s="519"/>
      <c r="J304" s="519"/>
      <c r="K304" s="519"/>
      <c r="L304" s="519"/>
      <c r="M304" s="519"/>
      <c r="N304" s="519"/>
    </row>
    <row r="305" spans="3:14" s="536" customFormat="1">
      <c r="C305" s="537"/>
      <c r="D305" s="519"/>
      <c r="E305" s="519"/>
      <c r="F305" s="519"/>
      <c r="G305" s="519"/>
      <c r="H305" s="519"/>
      <c r="I305" s="519"/>
      <c r="J305" s="519"/>
      <c r="K305" s="519"/>
      <c r="L305" s="519"/>
      <c r="M305" s="519"/>
      <c r="N305" s="519"/>
    </row>
    <row r="306" spans="3:14" s="536" customFormat="1">
      <c r="C306" s="537"/>
      <c r="D306" s="519"/>
      <c r="E306" s="519"/>
      <c r="F306" s="519"/>
      <c r="G306" s="519"/>
      <c r="H306" s="519"/>
      <c r="I306" s="519"/>
      <c r="J306" s="519"/>
      <c r="K306" s="519"/>
      <c r="L306" s="519"/>
      <c r="M306" s="519"/>
      <c r="N306" s="519"/>
    </row>
    <row r="307" spans="3:14" s="536" customFormat="1">
      <c r="C307" s="537"/>
      <c r="D307" s="519"/>
      <c r="E307" s="519"/>
      <c r="F307" s="519"/>
      <c r="G307" s="519"/>
      <c r="H307" s="519"/>
      <c r="I307" s="519"/>
      <c r="J307" s="519"/>
      <c r="K307" s="519"/>
      <c r="L307" s="519"/>
      <c r="M307" s="519"/>
      <c r="N307" s="519"/>
    </row>
    <row r="308" spans="3:14" s="536" customFormat="1">
      <c r="C308" s="537"/>
      <c r="D308" s="519"/>
      <c r="E308" s="519"/>
      <c r="F308" s="519"/>
      <c r="G308" s="519"/>
      <c r="H308" s="519"/>
      <c r="I308" s="519"/>
      <c r="J308" s="519"/>
      <c r="K308" s="519"/>
      <c r="L308" s="519"/>
      <c r="M308" s="519"/>
      <c r="N308" s="519"/>
    </row>
    <row r="309" spans="3:14" s="536" customFormat="1">
      <c r="C309" s="537"/>
      <c r="D309" s="519"/>
      <c r="E309" s="519"/>
      <c r="F309" s="519"/>
      <c r="G309" s="519"/>
      <c r="H309" s="519"/>
      <c r="I309" s="519"/>
      <c r="J309" s="519"/>
      <c r="K309" s="519"/>
      <c r="L309" s="519"/>
      <c r="M309" s="519"/>
      <c r="N309" s="519"/>
    </row>
    <row r="310" spans="3:14" s="536" customFormat="1">
      <c r="C310" s="537"/>
      <c r="D310" s="519"/>
      <c r="E310" s="519"/>
      <c r="F310" s="519"/>
      <c r="G310" s="519"/>
      <c r="H310" s="519"/>
      <c r="I310" s="519"/>
      <c r="J310" s="519"/>
      <c r="K310" s="519"/>
      <c r="L310" s="519"/>
      <c r="M310" s="519"/>
      <c r="N310" s="519"/>
    </row>
    <row r="311" spans="3:14" s="536" customFormat="1">
      <c r="C311" s="537"/>
      <c r="D311" s="519"/>
      <c r="E311" s="519"/>
      <c r="F311" s="519"/>
      <c r="G311" s="519"/>
      <c r="H311" s="519"/>
      <c r="I311" s="519"/>
      <c r="J311" s="519"/>
      <c r="K311" s="519"/>
      <c r="L311" s="519"/>
      <c r="M311" s="519"/>
      <c r="N311" s="519"/>
    </row>
    <row r="312" spans="3:14" s="536" customFormat="1">
      <c r="C312" s="537"/>
      <c r="D312" s="519"/>
      <c r="E312" s="519"/>
      <c r="F312" s="519"/>
      <c r="G312" s="519"/>
      <c r="H312" s="519"/>
      <c r="I312" s="519"/>
      <c r="J312" s="519"/>
      <c r="K312" s="519"/>
      <c r="L312" s="519"/>
      <c r="M312" s="519"/>
      <c r="N312" s="519"/>
    </row>
    <row r="313" spans="3:14" s="536" customFormat="1">
      <c r="C313" s="537"/>
      <c r="D313" s="519"/>
      <c r="E313" s="519"/>
      <c r="F313" s="519"/>
      <c r="G313" s="519"/>
      <c r="H313" s="519"/>
      <c r="I313" s="519"/>
      <c r="J313" s="519"/>
      <c r="K313" s="519"/>
      <c r="L313" s="519"/>
      <c r="M313" s="519"/>
      <c r="N313" s="519"/>
    </row>
    <row r="314" spans="3:14" s="536" customFormat="1">
      <c r="C314" s="537"/>
      <c r="D314" s="519"/>
      <c r="E314" s="519"/>
      <c r="F314" s="519"/>
      <c r="G314" s="519"/>
      <c r="H314" s="519"/>
      <c r="I314" s="519"/>
      <c r="J314" s="519"/>
      <c r="K314" s="519"/>
      <c r="L314" s="519"/>
      <c r="M314" s="519"/>
      <c r="N314" s="519"/>
    </row>
    <row r="315" spans="3:14" s="536" customFormat="1">
      <c r="C315" s="537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19"/>
    </row>
    <row r="316" spans="3:14" s="536" customFormat="1">
      <c r="C316" s="537"/>
      <c r="D316" s="519"/>
      <c r="E316" s="519"/>
      <c r="F316" s="519"/>
      <c r="G316" s="519"/>
      <c r="H316" s="519"/>
      <c r="I316" s="519"/>
      <c r="J316" s="519"/>
      <c r="K316" s="519"/>
      <c r="L316" s="519"/>
      <c r="M316" s="519"/>
      <c r="N316" s="519"/>
    </row>
    <row r="317" spans="3:14" s="536" customFormat="1">
      <c r="C317" s="537"/>
      <c r="D317" s="519"/>
      <c r="E317" s="519"/>
      <c r="F317" s="519"/>
      <c r="G317" s="519"/>
      <c r="H317" s="519"/>
      <c r="I317" s="519"/>
      <c r="J317" s="519"/>
      <c r="K317" s="519"/>
      <c r="L317" s="519"/>
      <c r="M317" s="519"/>
      <c r="N317" s="519"/>
    </row>
    <row r="318" spans="3:14" s="536" customFormat="1">
      <c r="C318" s="537"/>
      <c r="D318" s="519"/>
      <c r="E318" s="519"/>
      <c r="F318" s="519"/>
      <c r="G318" s="519"/>
      <c r="H318" s="519"/>
      <c r="I318" s="519"/>
      <c r="J318" s="519"/>
      <c r="K318" s="519"/>
      <c r="L318" s="519"/>
      <c r="M318" s="519"/>
      <c r="N318" s="519"/>
    </row>
    <row r="319" spans="3:14" s="536" customFormat="1">
      <c r="C319" s="537"/>
      <c r="D319" s="519"/>
      <c r="E319" s="519"/>
      <c r="F319" s="519"/>
      <c r="G319" s="519"/>
      <c r="H319" s="519"/>
      <c r="I319" s="519"/>
      <c r="J319" s="519"/>
      <c r="K319" s="519"/>
      <c r="L319" s="519"/>
      <c r="M319" s="519"/>
      <c r="N319" s="519"/>
    </row>
    <row r="320" spans="3:14" s="536" customFormat="1">
      <c r="C320" s="537"/>
      <c r="D320" s="519"/>
      <c r="E320" s="519"/>
      <c r="F320" s="519"/>
      <c r="G320" s="519"/>
      <c r="H320" s="519"/>
      <c r="I320" s="519"/>
      <c r="J320" s="519"/>
      <c r="K320" s="519"/>
      <c r="L320" s="519"/>
      <c r="M320" s="519"/>
      <c r="N320" s="519"/>
    </row>
    <row r="321" spans="3:14" s="536" customFormat="1">
      <c r="C321" s="537"/>
      <c r="D321" s="519"/>
      <c r="E321" s="519"/>
      <c r="F321" s="519"/>
      <c r="G321" s="519"/>
      <c r="H321" s="519"/>
      <c r="I321" s="519"/>
      <c r="J321" s="519"/>
      <c r="K321" s="519"/>
      <c r="L321" s="519"/>
      <c r="M321" s="519"/>
      <c r="N321" s="519"/>
    </row>
    <row r="322" spans="3:14" s="536" customFormat="1">
      <c r="C322" s="537"/>
      <c r="D322" s="519"/>
      <c r="E322" s="519"/>
      <c r="F322" s="519"/>
      <c r="G322" s="519"/>
      <c r="H322" s="519"/>
      <c r="I322" s="519"/>
      <c r="J322" s="519"/>
      <c r="K322" s="519"/>
      <c r="L322" s="519"/>
      <c r="M322" s="519"/>
      <c r="N322" s="519"/>
    </row>
    <row r="323" spans="3:14" s="536" customFormat="1">
      <c r="C323" s="537"/>
      <c r="D323" s="519"/>
      <c r="E323" s="519"/>
      <c r="F323" s="519"/>
      <c r="G323" s="519"/>
      <c r="H323" s="519"/>
      <c r="I323" s="519"/>
      <c r="J323" s="519"/>
      <c r="K323" s="519"/>
      <c r="L323" s="519"/>
      <c r="M323" s="519"/>
      <c r="N323" s="519"/>
    </row>
    <row r="324" spans="3:14" s="536" customFormat="1">
      <c r="C324" s="537"/>
      <c r="D324" s="519"/>
      <c r="E324" s="519"/>
      <c r="F324" s="519"/>
      <c r="G324" s="519"/>
      <c r="H324" s="519"/>
      <c r="I324" s="519"/>
      <c r="J324" s="519"/>
      <c r="K324" s="519"/>
      <c r="L324" s="519"/>
      <c r="M324" s="519"/>
      <c r="N324" s="519"/>
    </row>
    <row r="325" spans="3:14" s="536" customFormat="1">
      <c r="C325" s="537"/>
      <c r="D325" s="519"/>
      <c r="E325" s="519"/>
      <c r="F325" s="519"/>
      <c r="G325" s="519"/>
      <c r="H325" s="519"/>
      <c r="I325" s="519"/>
      <c r="J325" s="519"/>
      <c r="K325" s="519"/>
      <c r="L325" s="519"/>
      <c r="M325" s="519"/>
      <c r="N325" s="519"/>
    </row>
    <row r="326" spans="3:14" s="536" customFormat="1">
      <c r="C326" s="537"/>
      <c r="D326" s="519"/>
      <c r="E326" s="519"/>
      <c r="F326" s="519"/>
      <c r="G326" s="519"/>
      <c r="H326" s="519"/>
      <c r="I326" s="519"/>
      <c r="J326" s="519"/>
      <c r="K326" s="519"/>
      <c r="L326" s="519"/>
      <c r="M326" s="519"/>
      <c r="N326" s="519"/>
    </row>
    <row r="327" spans="3:14" s="536" customFormat="1">
      <c r="C327" s="537"/>
      <c r="D327" s="519"/>
      <c r="E327" s="519"/>
      <c r="F327" s="519"/>
      <c r="G327" s="519"/>
      <c r="H327" s="519"/>
      <c r="I327" s="519"/>
      <c r="J327" s="519"/>
      <c r="K327" s="519"/>
      <c r="L327" s="519"/>
      <c r="M327" s="519"/>
      <c r="N327" s="519"/>
    </row>
    <row r="328" spans="3:14" s="536" customFormat="1">
      <c r="C328" s="537"/>
      <c r="D328" s="519"/>
      <c r="E328" s="519"/>
      <c r="F328" s="519"/>
      <c r="G328" s="519"/>
      <c r="H328" s="519"/>
      <c r="I328" s="519"/>
      <c r="J328" s="519"/>
      <c r="K328" s="519"/>
      <c r="L328" s="519"/>
      <c r="M328" s="519"/>
      <c r="N328" s="519"/>
    </row>
    <row r="329" spans="3:14" s="536" customFormat="1">
      <c r="C329" s="537"/>
      <c r="D329" s="519"/>
      <c r="E329" s="519"/>
      <c r="F329" s="519"/>
      <c r="G329" s="519"/>
      <c r="H329" s="519"/>
      <c r="I329" s="519"/>
      <c r="J329" s="519"/>
      <c r="K329" s="519"/>
      <c r="L329" s="519"/>
      <c r="M329" s="519"/>
      <c r="N329" s="519"/>
    </row>
    <row r="330" spans="3:14" s="536" customFormat="1">
      <c r="C330" s="537"/>
      <c r="D330" s="519"/>
      <c r="E330" s="519"/>
      <c r="F330" s="519"/>
      <c r="G330" s="519"/>
      <c r="H330" s="519"/>
      <c r="I330" s="519"/>
      <c r="J330" s="519"/>
      <c r="K330" s="519"/>
      <c r="L330" s="519"/>
      <c r="M330" s="519"/>
      <c r="N330" s="519"/>
    </row>
    <row r="331" spans="3:14" s="536" customFormat="1">
      <c r="C331" s="537"/>
      <c r="D331" s="519"/>
      <c r="E331" s="519"/>
      <c r="F331" s="519"/>
      <c r="G331" s="519"/>
      <c r="H331" s="519"/>
      <c r="I331" s="519"/>
      <c r="J331" s="519"/>
      <c r="K331" s="519"/>
      <c r="L331" s="519"/>
      <c r="M331" s="519"/>
      <c r="N331" s="519"/>
    </row>
    <row r="332" spans="3:14" s="536" customFormat="1">
      <c r="C332" s="537"/>
      <c r="D332" s="519"/>
      <c r="E332" s="519"/>
      <c r="F332" s="519"/>
      <c r="G332" s="519"/>
      <c r="H332" s="519"/>
      <c r="I332" s="519"/>
      <c r="J332" s="519"/>
      <c r="K332" s="519"/>
      <c r="L332" s="519"/>
      <c r="M332" s="519"/>
      <c r="N332" s="519"/>
    </row>
    <row r="333" spans="3:14" s="536" customFormat="1">
      <c r="C333" s="537"/>
      <c r="D333" s="519"/>
      <c r="E333" s="519"/>
      <c r="F333" s="519"/>
      <c r="G333" s="519"/>
      <c r="H333" s="519"/>
      <c r="I333" s="519"/>
      <c r="J333" s="519"/>
      <c r="K333" s="519"/>
      <c r="L333" s="519"/>
      <c r="M333" s="519"/>
      <c r="N333" s="519"/>
    </row>
    <row r="334" spans="3:14" s="536" customFormat="1">
      <c r="C334" s="537"/>
      <c r="D334" s="519"/>
      <c r="E334" s="519"/>
      <c r="F334" s="519"/>
      <c r="G334" s="519"/>
      <c r="H334" s="519"/>
      <c r="I334" s="519"/>
      <c r="J334" s="519"/>
      <c r="K334" s="519"/>
      <c r="L334" s="519"/>
      <c r="M334" s="519"/>
      <c r="N334" s="519"/>
    </row>
    <row r="335" spans="3:14" s="536" customFormat="1">
      <c r="C335" s="537"/>
      <c r="D335" s="519"/>
      <c r="E335" s="519"/>
      <c r="F335" s="519"/>
      <c r="G335" s="519"/>
      <c r="H335" s="519"/>
      <c r="I335" s="519"/>
      <c r="J335" s="519"/>
      <c r="K335" s="519"/>
      <c r="L335" s="519"/>
      <c r="M335" s="519"/>
      <c r="N335" s="519"/>
    </row>
    <row r="336" spans="3:14" s="536" customFormat="1">
      <c r="C336" s="537"/>
      <c r="D336" s="519"/>
      <c r="E336" s="519"/>
      <c r="F336" s="519"/>
      <c r="G336" s="519"/>
      <c r="H336" s="519"/>
      <c r="I336" s="519"/>
      <c r="J336" s="519"/>
      <c r="K336" s="519"/>
      <c r="L336" s="519"/>
      <c r="M336" s="519"/>
      <c r="N336" s="519"/>
    </row>
    <row r="337" spans="3:14" s="536" customFormat="1">
      <c r="C337" s="537"/>
      <c r="D337" s="519"/>
      <c r="E337" s="519"/>
      <c r="F337" s="519"/>
      <c r="G337" s="519"/>
      <c r="H337" s="519"/>
      <c r="I337" s="519"/>
      <c r="J337" s="519"/>
      <c r="K337" s="519"/>
      <c r="L337" s="519"/>
      <c r="M337" s="519"/>
      <c r="N337" s="519"/>
    </row>
    <row r="338" spans="3:14" s="536" customFormat="1">
      <c r="C338" s="537"/>
      <c r="D338" s="519"/>
      <c r="E338" s="519"/>
      <c r="F338" s="519"/>
      <c r="G338" s="519"/>
      <c r="H338" s="519"/>
      <c r="I338" s="519"/>
      <c r="J338" s="519"/>
      <c r="K338" s="519"/>
      <c r="L338" s="519"/>
      <c r="M338" s="519"/>
      <c r="N338" s="519"/>
    </row>
    <row r="339" spans="3:14" s="536" customFormat="1">
      <c r="C339" s="537"/>
      <c r="D339" s="519"/>
      <c r="E339" s="519"/>
      <c r="F339" s="519"/>
      <c r="G339" s="519"/>
      <c r="H339" s="519"/>
      <c r="I339" s="519"/>
      <c r="J339" s="519"/>
      <c r="K339" s="519"/>
      <c r="L339" s="519"/>
      <c r="M339" s="519"/>
      <c r="N339" s="519"/>
    </row>
    <row r="340" spans="3:14" s="536" customFormat="1">
      <c r="C340" s="537"/>
      <c r="D340" s="519"/>
      <c r="E340" s="519"/>
      <c r="F340" s="519"/>
      <c r="G340" s="519"/>
      <c r="H340" s="519"/>
      <c r="I340" s="519"/>
      <c r="J340" s="519"/>
      <c r="K340" s="519"/>
      <c r="L340" s="519"/>
      <c r="M340" s="519"/>
      <c r="N340" s="519"/>
    </row>
    <row r="341" spans="3:14" s="536" customFormat="1">
      <c r="C341" s="537"/>
      <c r="D341" s="519"/>
      <c r="E341" s="519"/>
      <c r="F341" s="519"/>
      <c r="G341" s="519"/>
      <c r="H341" s="519"/>
      <c r="I341" s="519"/>
      <c r="J341" s="519"/>
      <c r="K341" s="519"/>
      <c r="L341" s="519"/>
      <c r="M341" s="519"/>
      <c r="N341" s="519"/>
    </row>
    <row r="342" spans="3:14" s="536" customFormat="1">
      <c r="C342" s="537"/>
      <c r="D342" s="519"/>
      <c r="E342" s="519"/>
      <c r="F342" s="519"/>
      <c r="G342" s="519"/>
      <c r="H342" s="519"/>
      <c r="I342" s="519"/>
      <c r="J342" s="519"/>
      <c r="K342" s="519"/>
      <c r="L342" s="519"/>
      <c r="M342" s="519"/>
      <c r="N342" s="519"/>
    </row>
    <row r="343" spans="3:14" s="536" customFormat="1">
      <c r="C343" s="537"/>
      <c r="D343" s="519"/>
      <c r="E343" s="519"/>
      <c r="F343" s="519"/>
      <c r="G343" s="519"/>
      <c r="H343" s="519"/>
      <c r="I343" s="519"/>
      <c r="J343" s="519"/>
      <c r="K343" s="519"/>
      <c r="L343" s="519"/>
      <c r="M343" s="519"/>
      <c r="N343" s="519"/>
    </row>
    <row r="344" spans="3:14" s="536" customFormat="1">
      <c r="C344" s="537"/>
      <c r="D344" s="519"/>
      <c r="E344" s="519"/>
      <c r="F344" s="519"/>
      <c r="G344" s="519"/>
      <c r="H344" s="519"/>
      <c r="I344" s="519"/>
      <c r="J344" s="519"/>
      <c r="K344" s="519"/>
      <c r="L344" s="519"/>
      <c r="M344" s="519"/>
      <c r="N344" s="519"/>
    </row>
    <row r="345" spans="3:14" s="536" customFormat="1">
      <c r="C345" s="537"/>
      <c r="D345" s="519"/>
      <c r="E345" s="519"/>
      <c r="F345" s="519"/>
      <c r="G345" s="519"/>
      <c r="H345" s="519"/>
      <c r="I345" s="519"/>
      <c r="J345" s="519"/>
      <c r="K345" s="519"/>
      <c r="L345" s="519"/>
      <c r="M345" s="519"/>
      <c r="N345" s="519"/>
    </row>
    <row r="346" spans="3:14" s="536" customFormat="1">
      <c r="C346" s="537"/>
      <c r="D346" s="519"/>
      <c r="E346" s="519"/>
      <c r="F346" s="519"/>
      <c r="G346" s="519"/>
      <c r="H346" s="519"/>
      <c r="I346" s="519"/>
      <c r="J346" s="519"/>
      <c r="K346" s="519"/>
      <c r="L346" s="519"/>
      <c r="M346" s="519"/>
      <c r="N346" s="519"/>
    </row>
    <row r="347" spans="3:14" s="536" customFormat="1">
      <c r="C347" s="537"/>
      <c r="D347" s="519"/>
      <c r="E347" s="519"/>
      <c r="F347" s="519"/>
      <c r="G347" s="519"/>
      <c r="H347" s="519"/>
      <c r="I347" s="519"/>
      <c r="J347" s="519"/>
      <c r="K347" s="519"/>
      <c r="L347" s="519"/>
      <c r="M347" s="519"/>
      <c r="N347" s="519"/>
    </row>
    <row r="348" spans="3:14" s="536" customFormat="1">
      <c r="C348" s="537"/>
      <c r="D348" s="519"/>
      <c r="E348" s="519"/>
      <c r="F348" s="519"/>
      <c r="G348" s="519"/>
      <c r="H348" s="519"/>
      <c r="I348" s="519"/>
      <c r="J348" s="519"/>
      <c r="K348" s="519"/>
      <c r="L348" s="519"/>
      <c r="M348" s="519"/>
      <c r="N348" s="519"/>
    </row>
    <row r="349" spans="3:14" s="536" customFormat="1">
      <c r="C349" s="537"/>
      <c r="D349" s="519"/>
      <c r="E349" s="519"/>
      <c r="F349" s="519"/>
      <c r="G349" s="519"/>
      <c r="H349" s="519"/>
      <c r="I349" s="519"/>
      <c r="J349" s="519"/>
      <c r="K349" s="519"/>
      <c r="L349" s="519"/>
      <c r="M349" s="519"/>
      <c r="N349" s="519"/>
    </row>
    <row r="350" spans="3:14" s="536" customFormat="1">
      <c r="C350" s="537"/>
      <c r="D350" s="519"/>
      <c r="E350" s="519"/>
      <c r="F350" s="519"/>
      <c r="G350" s="519"/>
      <c r="H350" s="519"/>
      <c r="I350" s="519"/>
      <c r="J350" s="519"/>
      <c r="K350" s="519"/>
      <c r="L350" s="519"/>
      <c r="M350" s="519"/>
      <c r="N350" s="519"/>
    </row>
    <row r="351" spans="3:14" s="536" customFormat="1">
      <c r="C351" s="537"/>
      <c r="D351" s="519"/>
      <c r="E351" s="519"/>
      <c r="F351" s="519"/>
      <c r="G351" s="519"/>
      <c r="H351" s="519"/>
      <c r="I351" s="519"/>
      <c r="J351" s="519"/>
      <c r="K351" s="519"/>
      <c r="L351" s="519"/>
      <c r="M351" s="519"/>
      <c r="N351" s="519"/>
    </row>
    <row r="352" spans="3:14" s="536" customFormat="1">
      <c r="C352" s="537"/>
      <c r="D352" s="519"/>
      <c r="E352" s="519"/>
      <c r="F352" s="519"/>
      <c r="G352" s="519"/>
      <c r="H352" s="519"/>
      <c r="I352" s="519"/>
      <c r="J352" s="519"/>
      <c r="K352" s="519"/>
      <c r="L352" s="519"/>
      <c r="M352" s="519"/>
      <c r="N352" s="519"/>
    </row>
    <row r="353" spans="3:14" s="536" customFormat="1">
      <c r="C353" s="537"/>
      <c r="D353" s="519"/>
      <c r="E353" s="519"/>
      <c r="F353" s="519"/>
      <c r="G353" s="519"/>
      <c r="H353" s="519"/>
      <c r="I353" s="519"/>
      <c r="J353" s="519"/>
      <c r="K353" s="519"/>
      <c r="L353" s="519"/>
      <c r="M353" s="519"/>
      <c r="N353" s="519"/>
    </row>
    <row r="354" spans="3:14" s="536" customFormat="1">
      <c r="C354" s="537"/>
      <c r="D354" s="519"/>
      <c r="E354" s="519"/>
      <c r="F354" s="519"/>
      <c r="G354" s="519"/>
      <c r="H354" s="519"/>
      <c r="I354" s="519"/>
      <c r="J354" s="519"/>
      <c r="K354" s="519"/>
      <c r="L354" s="519"/>
      <c r="M354" s="519"/>
      <c r="N354" s="519"/>
    </row>
    <row r="355" spans="3:14" s="536" customFormat="1">
      <c r="C355" s="537"/>
      <c r="D355" s="519"/>
      <c r="E355" s="519"/>
      <c r="F355" s="519"/>
      <c r="G355" s="519"/>
      <c r="H355" s="519"/>
      <c r="I355" s="519"/>
      <c r="J355" s="519"/>
      <c r="K355" s="519"/>
      <c r="L355" s="519"/>
      <c r="M355" s="519"/>
      <c r="N355" s="519"/>
    </row>
    <row r="356" spans="3:14" s="536" customFormat="1">
      <c r="C356" s="537"/>
      <c r="D356" s="519"/>
      <c r="E356" s="519"/>
      <c r="F356" s="519"/>
      <c r="G356" s="519"/>
      <c r="H356" s="519"/>
      <c r="I356" s="519"/>
      <c r="J356" s="519"/>
      <c r="K356" s="519"/>
      <c r="L356" s="519"/>
      <c r="M356" s="519"/>
      <c r="N356" s="519"/>
    </row>
    <row r="357" spans="3:14" s="536" customFormat="1">
      <c r="C357" s="537"/>
      <c r="D357" s="519"/>
      <c r="E357" s="519"/>
      <c r="F357" s="519"/>
      <c r="G357" s="519"/>
      <c r="H357" s="519"/>
      <c r="I357" s="519"/>
      <c r="J357" s="519"/>
      <c r="K357" s="519"/>
      <c r="L357" s="519"/>
      <c r="M357" s="519"/>
      <c r="N357" s="519"/>
    </row>
    <row r="358" spans="3:14" s="536" customFormat="1">
      <c r="C358" s="537"/>
      <c r="D358" s="519"/>
      <c r="E358" s="519"/>
      <c r="F358" s="519"/>
      <c r="G358" s="519"/>
      <c r="H358" s="519"/>
      <c r="I358" s="519"/>
      <c r="J358" s="519"/>
      <c r="K358" s="519"/>
      <c r="L358" s="519"/>
      <c r="M358" s="519"/>
      <c r="N358" s="519"/>
    </row>
    <row r="359" spans="3:14" s="536" customFormat="1">
      <c r="C359" s="537"/>
      <c r="D359" s="519"/>
      <c r="E359" s="519"/>
      <c r="F359" s="519"/>
      <c r="G359" s="519"/>
      <c r="H359" s="519"/>
      <c r="I359" s="519"/>
      <c r="J359" s="519"/>
      <c r="K359" s="519"/>
      <c r="L359" s="519"/>
      <c r="M359" s="519"/>
      <c r="N359" s="519"/>
    </row>
    <row r="360" spans="3:14" s="536" customFormat="1">
      <c r="C360" s="537"/>
      <c r="D360" s="519"/>
      <c r="E360" s="519"/>
      <c r="F360" s="519"/>
      <c r="G360" s="519"/>
      <c r="H360" s="519"/>
      <c r="I360" s="519"/>
      <c r="J360" s="519"/>
      <c r="K360" s="519"/>
      <c r="L360" s="519"/>
      <c r="M360" s="519"/>
      <c r="N360" s="519"/>
    </row>
    <row r="361" spans="3:14" s="536" customFormat="1">
      <c r="C361" s="537"/>
      <c r="D361" s="519"/>
      <c r="E361" s="519"/>
      <c r="F361" s="519"/>
      <c r="G361" s="519"/>
      <c r="H361" s="519"/>
      <c r="I361" s="519"/>
      <c r="J361" s="519"/>
      <c r="K361" s="519"/>
      <c r="L361" s="519"/>
      <c r="M361" s="519"/>
      <c r="N361" s="519"/>
    </row>
    <row r="362" spans="3:14" s="536" customFormat="1">
      <c r="C362" s="537"/>
      <c r="D362" s="519"/>
      <c r="E362" s="519"/>
      <c r="F362" s="519"/>
      <c r="G362" s="519"/>
      <c r="H362" s="519"/>
      <c r="I362" s="519"/>
      <c r="J362" s="519"/>
      <c r="K362" s="519"/>
      <c r="L362" s="519"/>
      <c r="M362" s="519"/>
      <c r="N362" s="519"/>
    </row>
    <row r="363" spans="3:14" s="536" customFormat="1">
      <c r="C363" s="537"/>
      <c r="D363" s="519"/>
      <c r="E363" s="519"/>
      <c r="F363" s="519"/>
      <c r="G363" s="519"/>
      <c r="H363" s="519"/>
      <c r="I363" s="519"/>
      <c r="J363" s="519"/>
      <c r="K363" s="519"/>
      <c r="L363" s="519"/>
      <c r="M363" s="519"/>
      <c r="N363" s="519"/>
    </row>
    <row r="364" spans="3:14" s="536" customFormat="1">
      <c r="C364" s="537"/>
      <c r="D364" s="519"/>
      <c r="E364" s="519"/>
      <c r="F364" s="519"/>
      <c r="G364" s="519"/>
      <c r="H364" s="519"/>
      <c r="I364" s="519"/>
      <c r="J364" s="519"/>
      <c r="K364" s="519"/>
      <c r="L364" s="519"/>
      <c r="M364" s="519"/>
      <c r="N364" s="519"/>
    </row>
    <row r="365" spans="3:14" s="536" customFormat="1">
      <c r="C365" s="537"/>
      <c r="D365" s="519"/>
      <c r="E365" s="519"/>
      <c r="F365" s="519"/>
      <c r="G365" s="519"/>
      <c r="H365" s="519"/>
      <c r="I365" s="519"/>
      <c r="J365" s="519"/>
      <c r="K365" s="519"/>
      <c r="L365" s="519"/>
      <c r="M365" s="519"/>
      <c r="N365" s="519"/>
    </row>
    <row r="366" spans="3:14" s="536" customFormat="1">
      <c r="C366" s="537"/>
      <c r="D366" s="519"/>
      <c r="E366" s="519"/>
      <c r="F366" s="519"/>
      <c r="G366" s="519"/>
      <c r="H366" s="519"/>
      <c r="I366" s="519"/>
      <c r="J366" s="519"/>
      <c r="K366" s="519"/>
      <c r="L366" s="519"/>
      <c r="M366" s="519"/>
      <c r="N366" s="519"/>
    </row>
    <row r="367" spans="3:14" s="536" customFormat="1">
      <c r="C367" s="537"/>
      <c r="D367" s="519"/>
      <c r="E367" s="519"/>
      <c r="F367" s="519"/>
      <c r="G367" s="519"/>
      <c r="H367" s="519"/>
      <c r="I367" s="519"/>
      <c r="J367" s="519"/>
      <c r="K367" s="519"/>
      <c r="L367" s="519"/>
      <c r="M367" s="519"/>
      <c r="N367" s="519"/>
    </row>
    <row r="368" spans="3:14" s="536" customFormat="1">
      <c r="C368" s="537"/>
      <c r="D368" s="519"/>
      <c r="E368" s="519"/>
      <c r="F368" s="519"/>
      <c r="G368" s="519"/>
      <c r="H368" s="519"/>
      <c r="I368" s="519"/>
      <c r="J368" s="519"/>
      <c r="K368" s="519"/>
      <c r="L368" s="519"/>
      <c r="M368" s="519"/>
      <c r="N368" s="519"/>
    </row>
    <row r="369" spans="3:14" s="536" customFormat="1">
      <c r="C369" s="537"/>
      <c r="D369" s="519"/>
      <c r="E369" s="519"/>
      <c r="F369" s="519"/>
      <c r="G369" s="519"/>
      <c r="H369" s="519"/>
      <c r="I369" s="519"/>
      <c r="J369" s="519"/>
      <c r="K369" s="519"/>
      <c r="L369" s="519"/>
      <c r="M369" s="519"/>
      <c r="N369" s="519"/>
    </row>
    <row r="370" spans="3:14" s="536" customFormat="1">
      <c r="C370" s="537"/>
      <c r="D370" s="519"/>
      <c r="E370" s="519"/>
      <c r="F370" s="519"/>
      <c r="G370" s="519"/>
      <c r="H370" s="519"/>
      <c r="I370" s="519"/>
      <c r="J370" s="519"/>
      <c r="K370" s="519"/>
      <c r="L370" s="519"/>
      <c r="M370" s="519"/>
      <c r="N370" s="519"/>
    </row>
    <row r="371" spans="3:14" s="536" customFormat="1">
      <c r="C371" s="537"/>
      <c r="D371" s="519"/>
      <c r="E371" s="519"/>
      <c r="F371" s="519"/>
      <c r="G371" s="519"/>
      <c r="H371" s="519"/>
      <c r="I371" s="519"/>
      <c r="J371" s="519"/>
      <c r="K371" s="519"/>
      <c r="L371" s="519"/>
      <c r="M371" s="519"/>
      <c r="N371" s="519"/>
    </row>
    <row r="372" spans="3:14" s="536" customFormat="1">
      <c r="C372" s="537"/>
      <c r="D372" s="519"/>
      <c r="E372" s="519"/>
      <c r="F372" s="519"/>
      <c r="G372" s="519"/>
      <c r="H372" s="519"/>
      <c r="I372" s="519"/>
      <c r="J372" s="519"/>
      <c r="K372" s="519"/>
      <c r="L372" s="519"/>
      <c r="M372" s="519"/>
      <c r="N372" s="519"/>
    </row>
    <row r="373" spans="3:14" s="536" customFormat="1">
      <c r="C373" s="537"/>
      <c r="D373" s="519"/>
      <c r="E373" s="519"/>
      <c r="F373" s="519"/>
      <c r="G373" s="519"/>
      <c r="H373" s="519"/>
      <c r="I373" s="519"/>
      <c r="J373" s="519"/>
      <c r="K373" s="519"/>
      <c r="L373" s="519"/>
      <c r="M373" s="519"/>
      <c r="N373" s="519"/>
    </row>
    <row r="374" spans="3:14" s="536" customFormat="1">
      <c r="C374" s="537"/>
      <c r="D374" s="519"/>
      <c r="E374" s="519"/>
      <c r="F374" s="519"/>
      <c r="G374" s="519"/>
      <c r="H374" s="519"/>
      <c r="I374" s="519"/>
      <c r="J374" s="519"/>
      <c r="K374" s="519"/>
      <c r="L374" s="519"/>
      <c r="M374" s="519"/>
      <c r="N374" s="519"/>
    </row>
    <row r="375" spans="3:14" s="536" customFormat="1">
      <c r="C375" s="537"/>
      <c r="D375" s="519"/>
      <c r="E375" s="519"/>
      <c r="F375" s="519"/>
      <c r="G375" s="519"/>
      <c r="H375" s="519"/>
      <c r="I375" s="519"/>
      <c r="J375" s="519"/>
      <c r="K375" s="519"/>
      <c r="L375" s="519"/>
      <c r="M375" s="519"/>
      <c r="N375" s="519"/>
    </row>
    <row r="376" spans="3:14" s="536" customFormat="1">
      <c r="C376" s="537"/>
      <c r="D376" s="519"/>
      <c r="E376" s="519"/>
      <c r="F376" s="519"/>
      <c r="G376" s="519"/>
      <c r="H376" s="519"/>
      <c r="I376" s="519"/>
      <c r="J376" s="519"/>
      <c r="K376" s="519"/>
      <c r="L376" s="519"/>
      <c r="M376" s="519"/>
      <c r="N376" s="519"/>
    </row>
    <row r="377" spans="3:14" s="536" customFormat="1">
      <c r="C377" s="537"/>
      <c r="D377" s="519"/>
      <c r="E377" s="519"/>
      <c r="F377" s="519"/>
      <c r="G377" s="519"/>
      <c r="H377" s="519"/>
      <c r="I377" s="519"/>
      <c r="J377" s="519"/>
      <c r="K377" s="519"/>
      <c r="L377" s="519"/>
      <c r="M377" s="519"/>
      <c r="N377" s="519"/>
    </row>
    <row r="378" spans="3:14" s="536" customFormat="1">
      <c r="C378" s="537"/>
      <c r="D378" s="519"/>
      <c r="E378" s="519"/>
      <c r="F378" s="519"/>
      <c r="G378" s="519"/>
      <c r="H378" s="519"/>
      <c r="I378" s="519"/>
      <c r="J378" s="519"/>
      <c r="K378" s="519"/>
      <c r="L378" s="519"/>
      <c r="M378" s="519"/>
      <c r="N378" s="519"/>
    </row>
    <row r="379" spans="3:14" s="536" customFormat="1">
      <c r="C379" s="537"/>
      <c r="D379" s="519"/>
      <c r="E379" s="519"/>
      <c r="F379" s="519"/>
      <c r="G379" s="519"/>
      <c r="H379" s="519"/>
      <c r="I379" s="519"/>
      <c r="J379" s="519"/>
      <c r="K379" s="519"/>
      <c r="L379" s="519"/>
      <c r="M379" s="519"/>
      <c r="N379" s="519"/>
    </row>
    <row r="380" spans="3:14" s="536" customFormat="1">
      <c r="C380" s="537"/>
      <c r="D380" s="519"/>
      <c r="E380" s="519"/>
      <c r="F380" s="519"/>
      <c r="G380" s="519"/>
      <c r="H380" s="519"/>
      <c r="I380" s="519"/>
      <c r="J380" s="519"/>
      <c r="K380" s="519"/>
      <c r="L380" s="519"/>
      <c r="M380" s="519"/>
      <c r="N380" s="519"/>
    </row>
    <row r="381" spans="3:14" s="536" customFormat="1">
      <c r="C381" s="537"/>
      <c r="D381" s="519"/>
      <c r="E381" s="519"/>
      <c r="F381" s="519"/>
      <c r="G381" s="519"/>
      <c r="H381" s="519"/>
      <c r="I381" s="519"/>
      <c r="J381" s="519"/>
      <c r="K381" s="519"/>
      <c r="L381" s="519"/>
      <c r="M381" s="519"/>
      <c r="N381" s="519"/>
    </row>
    <row r="382" spans="3:14" s="536" customFormat="1">
      <c r="C382" s="537"/>
      <c r="D382" s="519"/>
      <c r="E382" s="519"/>
      <c r="F382" s="519"/>
      <c r="G382" s="519"/>
      <c r="H382" s="519"/>
      <c r="I382" s="519"/>
      <c r="J382" s="519"/>
      <c r="K382" s="519"/>
      <c r="L382" s="519"/>
      <c r="M382" s="519"/>
      <c r="N382" s="519"/>
    </row>
    <row r="383" spans="3:14" s="536" customFormat="1">
      <c r="C383" s="537"/>
      <c r="D383" s="519"/>
      <c r="E383" s="519"/>
      <c r="F383" s="519"/>
      <c r="G383" s="519"/>
      <c r="H383" s="519"/>
      <c r="I383" s="519"/>
      <c r="J383" s="519"/>
      <c r="K383" s="519"/>
      <c r="L383" s="519"/>
      <c r="M383" s="519"/>
      <c r="N383" s="519"/>
    </row>
    <row r="384" spans="3:14" s="536" customFormat="1">
      <c r="C384" s="537"/>
      <c r="D384" s="519"/>
      <c r="E384" s="519"/>
      <c r="F384" s="519"/>
      <c r="G384" s="519"/>
      <c r="H384" s="519"/>
      <c r="I384" s="519"/>
      <c r="J384" s="519"/>
      <c r="K384" s="519"/>
      <c r="L384" s="519"/>
      <c r="M384" s="519"/>
      <c r="N384" s="519"/>
    </row>
    <row r="385" spans="3:14" s="536" customFormat="1">
      <c r="C385" s="537"/>
      <c r="D385" s="519"/>
      <c r="E385" s="519"/>
      <c r="F385" s="519"/>
      <c r="G385" s="519"/>
      <c r="H385" s="519"/>
      <c r="I385" s="519"/>
      <c r="J385" s="519"/>
      <c r="K385" s="519"/>
      <c r="L385" s="519"/>
      <c r="M385" s="519"/>
      <c r="N385" s="519"/>
    </row>
    <row r="386" spans="3:14" s="536" customFormat="1">
      <c r="C386" s="537"/>
      <c r="D386" s="519"/>
      <c r="E386" s="519"/>
      <c r="F386" s="519"/>
      <c r="G386" s="519"/>
      <c r="H386" s="519"/>
      <c r="I386" s="519"/>
      <c r="J386" s="519"/>
      <c r="K386" s="519"/>
      <c r="L386" s="519"/>
      <c r="M386" s="519"/>
      <c r="N386" s="519"/>
    </row>
    <row r="387" spans="3:14" s="536" customFormat="1">
      <c r="C387" s="537"/>
      <c r="D387" s="519"/>
      <c r="E387" s="519"/>
      <c r="F387" s="519"/>
      <c r="G387" s="519"/>
      <c r="H387" s="519"/>
      <c r="I387" s="519"/>
      <c r="J387" s="519"/>
      <c r="K387" s="519"/>
      <c r="L387" s="519"/>
      <c r="M387" s="519"/>
      <c r="N387" s="519"/>
    </row>
    <row r="388" spans="3:14" s="536" customFormat="1">
      <c r="C388" s="537"/>
      <c r="D388" s="519"/>
      <c r="E388" s="519"/>
      <c r="F388" s="519"/>
      <c r="G388" s="519"/>
      <c r="H388" s="519"/>
      <c r="I388" s="519"/>
      <c r="J388" s="519"/>
      <c r="K388" s="519"/>
      <c r="L388" s="519"/>
      <c r="M388" s="519"/>
      <c r="N388" s="519"/>
    </row>
    <row r="389" spans="3:14" s="536" customFormat="1">
      <c r="C389" s="537"/>
      <c r="D389" s="519"/>
      <c r="E389" s="519"/>
      <c r="F389" s="519"/>
      <c r="G389" s="519"/>
      <c r="H389" s="519"/>
      <c r="I389" s="519"/>
      <c r="J389" s="519"/>
      <c r="K389" s="519"/>
      <c r="L389" s="519"/>
      <c r="M389" s="519"/>
      <c r="N389" s="519"/>
    </row>
    <row r="390" spans="3:14" s="536" customFormat="1">
      <c r="C390" s="537"/>
      <c r="D390" s="519"/>
      <c r="E390" s="519"/>
      <c r="F390" s="519"/>
      <c r="G390" s="519"/>
      <c r="H390" s="519"/>
      <c r="I390" s="519"/>
      <c r="J390" s="519"/>
      <c r="K390" s="519"/>
      <c r="L390" s="519"/>
      <c r="M390" s="519"/>
      <c r="N390" s="519"/>
    </row>
    <row r="391" spans="3:14" s="536" customFormat="1">
      <c r="C391" s="537"/>
      <c r="D391" s="519"/>
      <c r="E391" s="519"/>
      <c r="F391" s="519"/>
      <c r="G391" s="519"/>
      <c r="H391" s="519"/>
      <c r="I391" s="519"/>
      <c r="J391" s="519"/>
      <c r="K391" s="519"/>
      <c r="L391" s="519"/>
      <c r="M391" s="519"/>
      <c r="N391" s="519"/>
    </row>
    <row r="392" spans="3:14" s="536" customFormat="1">
      <c r="C392" s="537"/>
      <c r="D392" s="519"/>
      <c r="E392" s="519"/>
      <c r="F392" s="519"/>
      <c r="G392" s="519"/>
      <c r="H392" s="519"/>
      <c r="I392" s="519"/>
      <c r="J392" s="519"/>
      <c r="K392" s="519"/>
      <c r="L392" s="519"/>
      <c r="M392" s="519"/>
      <c r="N392" s="519"/>
    </row>
    <row r="393" spans="3:14" s="536" customFormat="1">
      <c r="C393" s="537"/>
      <c r="D393" s="519"/>
      <c r="E393" s="519"/>
      <c r="F393" s="519"/>
      <c r="G393" s="519"/>
      <c r="H393" s="519"/>
      <c r="I393" s="519"/>
      <c r="J393" s="519"/>
      <c r="K393" s="519"/>
      <c r="L393" s="519"/>
      <c r="M393" s="519"/>
      <c r="N393" s="519"/>
    </row>
    <row r="394" spans="3:14" s="536" customFormat="1">
      <c r="C394" s="537"/>
      <c r="D394" s="519"/>
      <c r="E394" s="519"/>
      <c r="F394" s="519"/>
      <c r="G394" s="519"/>
      <c r="H394" s="519"/>
      <c r="I394" s="519"/>
      <c r="J394" s="519"/>
      <c r="K394" s="519"/>
      <c r="L394" s="519"/>
      <c r="M394" s="519"/>
      <c r="N394" s="519"/>
    </row>
    <row r="395" spans="3:14" s="536" customFormat="1">
      <c r="C395" s="537"/>
      <c r="D395" s="519"/>
      <c r="E395" s="519"/>
      <c r="F395" s="519"/>
      <c r="G395" s="519"/>
      <c r="H395" s="519"/>
      <c r="I395" s="519"/>
      <c r="J395" s="519"/>
      <c r="K395" s="519"/>
      <c r="L395" s="519"/>
      <c r="M395" s="519"/>
      <c r="N395" s="519"/>
    </row>
    <row r="396" spans="3:14" s="536" customFormat="1">
      <c r="C396" s="537"/>
      <c r="D396" s="519"/>
      <c r="E396" s="519"/>
      <c r="F396" s="519"/>
      <c r="G396" s="519"/>
      <c r="H396" s="519"/>
      <c r="I396" s="519"/>
      <c r="J396" s="519"/>
      <c r="K396" s="519"/>
      <c r="L396" s="519"/>
      <c r="M396" s="519"/>
      <c r="N396" s="519"/>
    </row>
    <row r="397" spans="3:14" s="536" customFormat="1">
      <c r="C397" s="537"/>
      <c r="D397" s="519"/>
      <c r="E397" s="519"/>
      <c r="F397" s="519"/>
      <c r="G397" s="519"/>
      <c r="H397" s="519"/>
      <c r="I397" s="519"/>
      <c r="J397" s="519"/>
      <c r="K397" s="519"/>
      <c r="L397" s="519"/>
      <c r="M397" s="519"/>
      <c r="N397" s="519"/>
    </row>
    <row r="398" spans="3:14" s="536" customFormat="1">
      <c r="C398" s="537"/>
      <c r="D398" s="519"/>
      <c r="E398" s="519"/>
      <c r="F398" s="519"/>
      <c r="G398" s="519"/>
      <c r="H398" s="519"/>
      <c r="I398" s="519"/>
      <c r="J398" s="519"/>
      <c r="K398" s="519"/>
      <c r="L398" s="519"/>
      <c r="M398" s="519"/>
      <c r="N398" s="519"/>
    </row>
    <row r="399" spans="3:14" s="536" customFormat="1">
      <c r="C399" s="537"/>
      <c r="D399" s="519"/>
      <c r="E399" s="519"/>
      <c r="F399" s="519"/>
      <c r="G399" s="519"/>
      <c r="H399" s="519"/>
      <c r="I399" s="519"/>
      <c r="J399" s="519"/>
      <c r="K399" s="519"/>
      <c r="L399" s="519"/>
      <c r="M399" s="519"/>
      <c r="N399" s="519"/>
    </row>
    <row r="400" spans="3:14" s="536" customFormat="1">
      <c r="C400" s="537"/>
      <c r="D400" s="519"/>
      <c r="E400" s="519"/>
      <c r="F400" s="519"/>
      <c r="G400" s="519"/>
      <c r="H400" s="519"/>
      <c r="I400" s="519"/>
      <c r="J400" s="519"/>
      <c r="K400" s="519"/>
      <c r="L400" s="519"/>
      <c r="M400" s="519"/>
      <c r="N400" s="519"/>
    </row>
    <row r="401" spans="3:14" s="536" customFormat="1">
      <c r="C401" s="537"/>
      <c r="D401" s="519"/>
      <c r="E401" s="519"/>
      <c r="F401" s="519"/>
      <c r="G401" s="519"/>
      <c r="H401" s="519"/>
      <c r="I401" s="519"/>
      <c r="J401" s="519"/>
      <c r="K401" s="519"/>
      <c r="L401" s="519"/>
      <c r="M401" s="519"/>
      <c r="N401" s="519"/>
    </row>
    <row r="402" spans="3:14" s="536" customFormat="1">
      <c r="C402" s="537"/>
      <c r="D402" s="519"/>
      <c r="E402" s="519"/>
      <c r="F402" s="519"/>
      <c r="G402" s="519"/>
      <c r="H402" s="519"/>
      <c r="I402" s="519"/>
      <c r="J402" s="519"/>
      <c r="K402" s="519"/>
      <c r="L402" s="519"/>
      <c r="M402" s="519"/>
      <c r="N402" s="519"/>
    </row>
    <row r="403" spans="3:14" s="536" customFormat="1">
      <c r="C403" s="537"/>
      <c r="D403" s="519"/>
      <c r="E403" s="519"/>
      <c r="F403" s="519"/>
      <c r="G403" s="519"/>
      <c r="H403" s="519"/>
      <c r="I403" s="519"/>
      <c r="J403" s="519"/>
      <c r="K403" s="519"/>
      <c r="L403" s="519"/>
      <c r="M403" s="519"/>
      <c r="N403" s="519"/>
    </row>
    <row r="404" spans="3:14" s="536" customFormat="1">
      <c r="C404" s="537"/>
      <c r="D404" s="519"/>
      <c r="E404" s="519"/>
      <c r="F404" s="519"/>
      <c r="G404" s="519"/>
      <c r="H404" s="519"/>
      <c r="I404" s="519"/>
      <c r="J404" s="519"/>
      <c r="K404" s="519"/>
      <c r="L404" s="519"/>
      <c r="M404" s="519"/>
      <c r="N404" s="519"/>
    </row>
    <row r="405" spans="3:14" s="536" customFormat="1">
      <c r="C405" s="537"/>
      <c r="D405" s="519"/>
      <c r="E405" s="519"/>
      <c r="F405" s="519"/>
      <c r="G405" s="519"/>
      <c r="H405" s="519"/>
      <c r="I405" s="519"/>
      <c r="J405" s="519"/>
      <c r="K405" s="519"/>
      <c r="L405" s="519"/>
      <c r="M405" s="519"/>
      <c r="N405" s="519"/>
    </row>
    <row r="406" spans="3:14" s="536" customFormat="1">
      <c r="C406" s="537"/>
      <c r="D406" s="519"/>
      <c r="E406" s="519"/>
      <c r="F406" s="519"/>
      <c r="G406" s="519"/>
      <c r="H406" s="519"/>
      <c r="I406" s="519"/>
      <c r="J406" s="519"/>
      <c r="K406" s="519"/>
      <c r="L406" s="519"/>
      <c r="M406" s="519"/>
      <c r="N406" s="519"/>
    </row>
    <row r="407" spans="3:14" s="536" customFormat="1">
      <c r="C407" s="537"/>
      <c r="D407" s="519"/>
      <c r="E407" s="519"/>
      <c r="F407" s="519"/>
      <c r="G407" s="519"/>
      <c r="H407" s="519"/>
      <c r="I407" s="519"/>
      <c r="J407" s="519"/>
      <c r="K407" s="519"/>
      <c r="L407" s="519"/>
      <c r="M407" s="519"/>
      <c r="N407" s="519"/>
    </row>
    <row r="408" spans="3:14" s="536" customFormat="1">
      <c r="C408" s="537"/>
      <c r="D408" s="519"/>
      <c r="E408" s="519"/>
      <c r="F408" s="519"/>
      <c r="G408" s="519"/>
      <c r="H408" s="519"/>
      <c r="I408" s="519"/>
      <c r="J408" s="519"/>
      <c r="K408" s="519"/>
      <c r="L408" s="519"/>
      <c r="M408" s="519"/>
      <c r="N408" s="519"/>
    </row>
    <row r="409" spans="3:14" s="536" customFormat="1">
      <c r="C409" s="537"/>
      <c r="D409" s="519"/>
      <c r="E409" s="519"/>
      <c r="F409" s="519"/>
      <c r="G409" s="519"/>
      <c r="H409" s="519"/>
      <c r="I409" s="519"/>
      <c r="J409" s="519"/>
      <c r="K409" s="519"/>
      <c r="L409" s="519"/>
      <c r="M409" s="519"/>
      <c r="N409" s="519"/>
    </row>
    <row r="410" spans="3:14" s="536" customFormat="1">
      <c r="C410" s="537"/>
      <c r="D410" s="519"/>
      <c r="E410" s="519"/>
      <c r="F410" s="519"/>
      <c r="G410" s="519"/>
      <c r="H410" s="519"/>
      <c r="I410" s="519"/>
      <c r="J410" s="519"/>
      <c r="K410" s="519"/>
      <c r="L410" s="519"/>
      <c r="M410" s="519"/>
      <c r="N410" s="519"/>
    </row>
    <row r="411" spans="3:14">
      <c r="D411" s="519"/>
      <c r="E411" s="519"/>
    </row>
    <row r="412" spans="3:14">
      <c r="D412" s="519"/>
      <c r="E412" s="519"/>
    </row>
    <row r="413" spans="3:14">
      <c r="D413" s="519"/>
      <c r="E413" s="519"/>
    </row>
    <row r="414" spans="3:14">
      <c r="D414" s="519"/>
      <c r="E414" s="519"/>
    </row>
    <row r="415" spans="3:14">
      <c r="D415" s="519"/>
      <c r="E415" s="519"/>
    </row>
    <row r="416" spans="3:14">
      <c r="D416" s="519"/>
      <c r="E416" s="519"/>
    </row>
    <row r="417" spans="4:5">
      <c r="D417" s="519"/>
      <c r="E417" s="519"/>
    </row>
    <row r="418" spans="4:5">
      <c r="D418" s="519"/>
      <c r="E418" s="519"/>
    </row>
    <row r="419" spans="4:5">
      <c r="D419" s="519"/>
      <c r="E419" s="519"/>
    </row>
    <row r="420" spans="4:5">
      <c r="D420" s="519"/>
      <c r="E420" s="519"/>
    </row>
    <row r="421" spans="4:5">
      <c r="D421" s="519"/>
      <c r="E421" s="519"/>
    </row>
    <row r="422" spans="4:5">
      <c r="D422" s="519"/>
      <c r="E422" s="519"/>
    </row>
    <row r="423" spans="4:5">
      <c r="D423" s="519"/>
      <c r="E423" s="519"/>
    </row>
    <row r="424" spans="4:5">
      <c r="D424" s="519"/>
      <c r="E424" s="519"/>
    </row>
    <row r="425" spans="4:5">
      <c r="D425" s="519"/>
      <c r="E425" s="519"/>
    </row>
    <row r="426" spans="4:5">
      <c r="D426" s="519"/>
      <c r="E426" s="519"/>
    </row>
    <row r="427" spans="4:5">
      <c r="D427" s="519"/>
      <c r="E427" s="519"/>
    </row>
    <row r="428" spans="4:5">
      <c r="D428" s="519"/>
      <c r="E428" s="519"/>
    </row>
    <row r="429" spans="4:5">
      <c r="D429" s="519"/>
      <c r="E429" s="519"/>
    </row>
    <row r="430" spans="4:5">
      <c r="D430" s="519"/>
      <c r="E430" s="519"/>
    </row>
    <row r="431" spans="4:5">
      <c r="D431" s="519"/>
      <c r="E431" s="519"/>
    </row>
    <row r="432" spans="4:5">
      <c r="D432" s="519"/>
      <c r="E432" s="519"/>
    </row>
    <row r="433" spans="4:5">
      <c r="D433" s="519"/>
      <c r="E433" s="519"/>
    </row>
    <row r="434" spans="4:5">
      <c r="D434" s="519"/>
      <c r="E434" s="519"/>
    </row>
    <row r="435" spans="4:5">
      <c r="D435" s="519"/>
      <c r="E435" s="519"/>
    </row>
    <row r="436" spans="4:5">
      <c r="D436" s="519"/>
      <c r="E436" s="519"/>
    </row>
    <row r="437" spans="4:5">
      <c r="D437" s="519"/>
      <c r="E437" s="519"/>
    </row>
    <row r="438" spans="4:5">
      <c r="D438" s="519"/>
      <c r="E438" s="519"/>
    </row>
    <row r="439" spans="4:5">
      <c r="D439" s="519"/>
      <c r="E439" s="519"/>
    </row>
    <row r="440" spans="4:5">
      <c r="D440" s="519"/>
      <c r="E440" s="519"/>
    </row>
    <row r="441" spans="4:5">
      <c r="D441" s="519"/>
      <c r="E441" s="519"/>
    </row>
    <row r="442" spans="4:5">
      <c r="D442" s="519"/>
      <c r="E442" s="519"/>
    </row>
    <row r="443" spans="4:5">
      <c r="D443" s="519"/>
      <c r="E443" s="519"/>
    </row>
    <row r="444" spans="4:5">
      <c r="D444" s="519"/>
      <c r="E444" s="519"/>
    </row>
    <row r="445" spans="4:5">
      <c r="D445" s="519"/>
      <c r="E445" s="519"/>
    </row>
    <row r="446" spans="4:5">
      <c r="D446" s="519"/>
      <c r="E446" s="519"/>
    </row>
    <row r="447" spans="4:5">
      <c r="D447" s="519"/>
      <c r="E447" s="519"/>
    </row>
    <row r="448" spans="4:5">
      <c r="D448" s="519"/>
      <c r="E448" s="519"/>
    </row>
    <row r="449" spans="4:5">
      <c r="D449" s="519"/>
      <c r="E449" s="519"/>
    </row>
    <row r="450" spans="4:5">
      <c r="D450" s="519"/>
      <c r="E450" s="519"/>
    </row>
    <row r="451" spans="4:5">
      <c r="D451" s="519"/>
      <c r="E451" s="519"/>
    </row>
    <row r="452" spans="4:5">
      <c r="D452" s="519"/>
      <c r="E452" s="519"/>
    </row>
    <row r="453" spans="4:5">
      <c r="D453" s="519"/>
      <c r="E453" s="519"/>
    </row>
    <row r="454" spans="4:5">
      <c r="D454" s="519"/>
      <c r="E454" s="519"/>
    </row>
    <row r="455" spans="4:5">
      <c r="D455" s="519"/>
      <c r="E455" s="519"/>
    </row>
    <row r="456" spans="4:5">
      <c r="D456" s="519"/>
      <c r="E456" s="519"/>
    </row>
    <row r="457" spans="4:5">
      <c r="D457" s="519"/>
      <c r="E457" s="519"/>
    </row>
    <row r="458" spans="4:5">
      <c r="D458" s="519"/>
      <c r="E458" s="519"/>
    </row>
    <row r="459" spans="4:5">
      <c r="D459" s="519"/>
      <c r="E459" s="519"/>
    </row>
    <row r="460" spans="4:5">
      <c r="D460" s="519"/>
      <c r="E460" s="519"/>
    </row>
    <row r="461" spans="4:5">
      <c r="D461" s="519"/>
      <c r="E461" s="519"/>
    </row>
    <row r="462" spans="4:5">
      <c r="D462" s="519"/>
      <c r="E462" s="519"/>
    </row>
    <row r="463" spans="4:5">
      <c r="D463" s="519"/>
      <c r="E463" s="519"/>
    </row>
    <row r="464" spans="4:5">
      <c r="D464" s="519"/>
      <c r="E464" s="519"/>
    </row>
    <row r="465" spans="4:5">
      <c r="D465" s="519"/>
      <c r="E465" s="519"/>
    </row>
    <row r="466" spans="4:5">
      <c r="D466" s="519"/>
      <c r="E466" s="519"/>
    </row>
    <row r="467" spans="4:5">
      <c r="D467" s="519"/>
      <c r="E467" s="519"/>
    </row>
    <row r="468" spans="4:5">
      <c r="D468" s="519"/>
      <c r="E468" s="519"/>
    </row>
    <row r="469" spans="4:5">
      <c r="D469" s="519"/>
      <c r="E469" s="519"/>
    </row>
    <row r="470" spans="4:5">
      <c r="D470" s="519"/>
      <c r="E470" s="519"/>
    </row>
    <row r="471" spans="4:5">
      <c r="D471" s="519"/>
      <c r="E471" s="519"/>
    </row>
    <row r="472" spans="4:5">
      <c r="D472" s="519"/>
      <c r="E472" s="519"/>
    </row>
    <row r="473" spans="4:5">
      <c r="D473" s="519"/>
      <c r="E473" s="519"/>
    </row>
    <row r="474" spans="4:5">
      <c r="D474" s="519"/>
      <c r="E474" s="519"/>
    </row>
    <row r="475" spans="4:5">
      <c r="D475" s="519"/>
      <c r="E475" s="519"/>
    </row>
    <row r="476" spans="4:5">
      <c r="D476" s="519"/>
      <c r="E476" s="519"/>
    </row>
    <row r="477" spans="4:5">
      <c r="D477" s="519"/>
      <c r="E477" s="519"/>
    </row>
    <row r="478" spans="4:5">
      <c r="D478" s="519"/>
      <c r="E478" s="519"/>
    </row>
    <row r="479" spans="4:5">
      <c r="D479" s="519"/>
      <c r="E479" s="519"/>
    </row>
    <row r="480" spans="4:5">
      <c r="D480" s="519"/>
      <c r="E480" s="519"/>
    </row>
    <row r="481" spans="4:5">
      <c r="D481" s="519"/>
      <c r="E481" s="519"/>
    </row>
    <row r="482" spans="4:5">
      <c r="D482" s="519"/>
      <c r="E482" s="519"/>
    </row>
    <row r="483" spans="4:5">
      <c r="D483" s="519"/>
      <c r="E483" s="519"/>
    </row>
    <row r="484" spans="4:5">
      <c r="D484" s="519"/>
      <c r="E484" s="519"/>
    </row>
    <row r="485" spans="4:5">
      <c r="D485" s="519"/>
      <c r="E485" s="519"/>
    </row>
    <row r="486" spans="4:5">
      <c r="D486" s="519"/>
      <c r="E486" s="519"/>
    </row>
    <row r="487" spans="4:5">
      <c r="D487" s="519"/>
      <c r="E487" s="519"/>
    </row>
    <row r="488" spans="4:5">
      <c r="D488" s="519"/>
      <c r="E488" s="519"/>
    </row>
    <row r="489" spans="4:5">
      <c r="D489" s="519"/>
      <c r="E489" s="519"/>
    </row>
    <row r="490" spans="4:5">
      <c r="D490" s="519"/>
      <c r="E490" s="519"/>
    </row>
    <row r="491" spans="4:5">
      <c r="D491" s="519"/>
      <c r="E491" s="519"/>
    </row>
    <row r="492" spans="4:5">
      <c r="D492" s="519"/>
      <c r="E492" s="519"/>
    </row>
    <row r="493" spans="4:5">
      <c r="D493" s="519"/>
      <c r="E493" s="519"/>
    </row>
    <row r="494" spans="4:5">
      <c r="D494" s="519"/>
      <c r="E494" s="519"/>
    </row>
    <row r="495" spans="4:5">
      <c r="D495" s="519"/>
      <c r="E495" s="519"/>
    </row>
    <row r="496" spans="4:5">
      <c r="D496" s="519"/>
      <c r="E496" s="519"/>
    </row>
    <row r="497" spans="4:5">
      <c r="D497" s="519"/>
      <c r="E497" s="519"/>
    </row>
    <row r="498" spans="4:5">
      <c r="D498" s="519"/>
      <c r="E498" s="519"/>
    </row>
    <row r="499" spans="4:5">
      <c r="D499" s="519"/>
      <c r="E499" s="519"/>
    </row>
    <row r="500" spans="4:5">
      <c r="D500" s="519"/>
      <c r="E500" s="519"/>
    </row>
    <row r="501" spans="4:5">
      <c r="D501" s="519"/>
      <c r="E501" s="519"/>
    </row>
    <row r="502" spans="4:5">
      <c r="D502" s="519"/>
      <c r="E502" s="519"/>
    </row>
    <row r="503" spans="4:5">
      <c r="D503" s="519"/>
      <c r="E503" s="519"/>
    </row>
    <row r="504" spans="4:5">
      <c r="D504" s="519"/>
      <c r="E504" s="519"/>
    </row>
    <row r="505" spans="4:5">
      <c r="D505" s="519"/>
      <c r="E505" s="519"/>
    </row>
    <row r="506" spans="4:5">
      <c r="D506" s="519"/>
      <c r="E506" s="519"/>
    </row>
    <row r="507" spans="4:5">
      <c r="D507" s="519"/>
      <c r="E507" s="519"/>
    </row>
    <row r="508" spans="4:5">
      <c r="D508" s="519"/>
      <c r="E508" s="519"/>
    </row>
    <row r="509" spans="4:5">
      <c r="D509" s="519"/>
      <c r="E509" s="519"/>
    </row>
    <row r="510" spans="4:5">
      <c r="D510" s="519"/>
      <c r="E510" s="519"/>
    </row>
    <row r="511" spans="4:5">
      <c r="D511" s="519"/>
      <c r="E511" s="519"/>
    </row>
    <row r="512" spans="4:5">
      <c r="D512" s="519"/>
      <c r="E512" s="519"/>
    </row>
    <row r="513" spans="4:5">
      <c r="D513" s="519"/>
      <c r="E513" s="519"/>
    </row>
    <row r="514" spans="4:5">
      <c r="D514" s="519"/>
      <c r="E514" s="519"/>
    </row>
    <row r="515" spans="4:5">
      <c r="D515" s="519"/>
      <c r="E515" s="519"/>
    </row>
    <row r="516" spans="4:5">
      <c r="D516" s="519"/>
      <c r="E516" s="519"/>
    </row>
    <row r="517" spans="4:5">
      <c r="D517" s="519"/>
      <c r="E517" s="519"/>
    </row>
    <row r="518" spans="4:5">
      <c r="D518" s="519"/>
      <c r="E518" s="519"/>
    </row>
    <row r="519" spans="4:5">
      <c r="D519" s="519"/>
      <c r="E519" s="519"/>
    </row>
    <row r="520" spans="4:5">
      <c r="D520" s="519"/>
      <c r="E520" s="519"/>
    </row>
    <row r="521" spans="4:5">
      <c r="D521" s="519"/>
      <c r="E521" s="519"/>
    </row>
    <row r="522" spans="4:5">
      <c r="D522" s="519"/>
      <c r="E522" s="519"/>
    </row>
    <row r="523" spans="4:5">
      <c r="D523" s="519"/>
      <c r="E523" s="519"/>
    </row>
    <row r="524" spans="4:5">
      <c r="D524" s="519"/>
      <c r="E524" s="519"/>
    </row>
    <row r="525" spans="4:5">
      <c r="D525" s="519"/>
      <c r="E525" s="519"/>
    </row>
    <row r="526" spans="4:5">
      <c r="D526" s="519"/>
      <c r="E526" s="519"/>
    </row>
    <row r="527" spans="4:5">
      <c r="D527" s="519"/>
      <c r="E527" s="519"/>
    </row>
    <row r="528" spans="4:5">
      <c r="D528" s="519"/>
      <c r="E528" s="519"/>
    </row>
    <row r="529" spans="4:5">
      <c r="D529" s="519"/>
      <c r="E529" s="519"/>
    </row>
    <row r="530" spans="4:5">
      <c r="D530" s="519"/>
      <c r="E530" s="519"/>
    </row>
    <row r="531" spans="4:5">
      <c r="D531" s="519"/>
      <c r="E531" s="519"/>
    </row>
    <row r="532" spans="4:5">
      <c r="D532" s="519"/>
      <c r="E532" s="519"/>
    </row>
    <row r="533" spans="4:5">
      <c r="D533" s="519"/>
      <c r="E533" s="519"/>
    </row>
    <row r="534" spans="4:5">
      <c r="D534" s="519"/>
      <c r="E534" s="519"/>
    </row>
    <row r="535" spans="4:5">
      <c r="D535" s="519"/>
      <c r="E535" s="519"/>
    </row>
    <row r="536" spans="4:5">
      <c r="D536" s="519"/>
      <c r="E536" s="519"/>
    </row>
    <row r="537" spans="4:5">
      <c r="D537" s="519"/>
      <c r="E537" s="519"/>
    </row>
    <row r="538" spans="4:5">
      <c r="D538" s="519"/>
      <c r="E538" s="519"/>
    </row>
    <row r="539" spans="4:5">
      <c r="D539" s="519"/>
      <c r="E539" s="519"/>
    </row>
    <row r="540" spans="4:5">
      <c r="D540" s="519"/>
      <c r="E540" s="519"/>
    </row>
    <row r="541" spans="4:5">
      <c r="D541" s="519"/>
      <c r="E541" s="519"/>
    </row>
    <row r="542" spans="4:5">
      <c r="D542" s="519"/>
      <c r="E542" s="519"/>
    </row>
    <row r="543" spans="4:5">
      <c r="D543" s="519"/>
      <c r="E543" s="519"/>
    </row>
    <row r="544" spans="4:5">
      <c r="D544" s="519"/>
      <c r="E544" s="519"/>
    </row>
    <row r="545" spans="4:5">
      <c r="D545" s="519"/>
      <c r="E545" s="519"/>
    </row>
    <row r="546" spans="4:5">
      <c r="D546" s="519"/>
      <c r="E546" s="519"/>
    </row>
    <row r="547" spans="4:5">
      <c r="D547" s="519"/>
      <c r="E547" s="519"/>
    </row>
    <row r="548" spans="4:5">
      <c r="D548" s="519"/>
      <c r="E548" s="519"/>
    </row>
    <row r="549" spans="4:5">
      <c r="D549" s="519"/>
      <c r="E549" s="519"/>
    </row>
    <row r="550" spans="4:5">
      <c r="D550" s="519"/>
      <c r="E550" s="519"/>
    </row>
    <row r="551" spans="4:5">
      <c r="D551" s="519"/>
      <c r="E551" s="519"/>
    </row>
    <row r="552" spans="4:5">
      <c r="D552" s="519"/>
      <c r="E552" s="519"/>
    </row>
    <row r="553" spans="4:5">
      <c r="D553" s="519"/>
      <c r="E553" s="519"/>
    </row>
    <row r="554" spans="4:5">
      <c r="D554" s="519"/>
      <c r="E554" s="519"/>
    </row>
    <row r="555" spans="4:5">
      <c r="D555" s="519"/>
      <c r="E555" s="519"/>
    </row>
    <row r="556" spans="4:5">
      <c r="D556" s="519"/>
      <c r="E556" s="519"/>
    </row>
    <row r="557" spans="4:5">
      <c r="D557" s="519"/>
      <c r="E557" s="519"/>
    </row>
    <row r="558" spans="4:5">
      <c r="D558" s="519"/>
      <c r="E558" s="519"/>
    </row>
    <row r="559" spans="4:5">
      <c r="D559" s="519"/>
      <c r="E559" s="519"/>
    </row>
    <row r="560" spans="4:5">
      <c r="D560" s="519"/>
      <c r="E560" s="519"/>
    </row>
    <row r="561" spans="4:5">
      <c r="D561" s="519"/>
      <c r="E561" s="519"/>
    </row>
    <row r="562" spans="4:5">
      <c r="D562" s="519"/>
      <c r="E562" s="519"/>
    </row>
    <row r="563" spans="4:5">
      <c r="D563" s="519"/>
      <c r="E563" s="519"/>
    </row>
    <row r="564" spans="4:5">
      <c r="D564" s="519"/>
      <c r="E564" s="519"/>
    </row>
    <row r="565" spans="4:5">
      <c r="D565" s="519"/>
      <c r="E565" s="519"/>
    </row>
    <row r="566" spans="4:5">
      <c r="D566" s="519"/>
      <c r="E566" s="519"/>
    </row>
    <row r="567" spans="4:5">
      <c r="D567" s="519"/>
      <c r="E567" s="519"/>
    </row>
    <row r="568" spans="4:5">
      <c r="D568" s="519"/>
      <c r="E568" s="519"/>
    </row>
    <row r="569" spans="4:5">
      <c r="D569" s="519"/>
      <c r="E569" s="519"/>
    </row>
    <row r="570" spans="4:5">
      <c r="D570" s="519"/>
      <c r="E570" s="519"/>
    </row>
    <row r="571" spans="4:5">
      <c r="D571" s="519"/>
      <c r="E571" s="519"/>
    </row>
    <row r="572" spans="4:5">
      <c r="D572" s="519"/>
      <c r="E572" s="519"/>
    </row>
    <row r="573" spans="4:5">
      <c r="D573" s="519"/>
      <c r="E573" s="519"/>
    </row>
    <row r="574" spans="4:5">
      <c r="D574" s="519"/>
      <c r="E574" s="519"/>
    </row>
    <row r="575" spans="4:5">
      <c r="D575" s="519"/>
      <c r="E575" s="519"/>
    </row>
    <row r="576" spans="4:5">
      <c r="D576" s="519"/>
      <c r="E576" s="519"/>
    </row>
    <row r="577" spans="4:5">
      <c r="D577" s="519"/>
      <c r="E577" s="519"/>
    </row>
    <row r="578" spans="4:5">
      <c r="D578" s="519"/>
      <c r="E578" s="519"/>
    </row>
    <row r="579" spans="4:5">
      <c r="D579" s="519"/>
      <c r="E579" s="519"/>
    </row>
    <row r="580" spans="4:5">
      <c r="D580" s="519"/>
      <c r="E580" s="519"/>
    </row>
    <row r="581" spans="4:5">
      <c r="D581" s="519"/>
      <c r="E581" s="519"/>
    </row>
    <row r="582" spans="4:5">
      <c r="D582" s="519"/>
      <c r="E582" s="519"/>
    </row>
    <row r="583" spans="4:5">
      <c r="D583" s="519"/>
      <c r="E583" s="519"/>
    </row>
    <row r="584" spans="4:5">
      <c r="D584" s="519"/>
      <c r="E584" s="519"/>
    </row>
    <row r="585" spans="4:5">
      <c r="D585" s="519"/>
      <c r="E585" s="519"/>
    </row>
    <row r="586" spans="4:5">
      <c r="D586" s="519"/>
      <c r="E586" s="519"/>
    </row>
    <row r="587" spans="4:5">
      <c r="D587" s="519"/>
      <c r="E587" s="519"/>
    </row>
    <row r="588" spans="4:5">
      <c r="D588" s="519"/>
      <c r="E588" s="519"/>
    </row>
    <row r="589" spans="4:5">
      <c r="D589" s="519"/>
      <c r="E589" s="519"/>
    </row>
    <row r="590" spans="4:5">
      <c r="D590" s="519"/>
      <c r="E590" s="519"/>
    </row>
    <row r="591" spans="4:5">
      <c r="D591" s="519"/>
      <c r="E591" s="519"/>
    </row>
    <row r="592" spans="4:5">
      <c r="D592" s="519"/>
      <c r="E592" s="519"/>
    </row>
    <row r="593" spans="4:5">
      <c r="D593" s="519"/>
      <c r="E593" s="519"/>
    </row>
    <row r="594" spans="4:5">
      <c r="D594" s="519"/>
      <c r="E594" s="519"/>
    </row>
    <row r="595" spans="4:5">
      <c r="D595" s="519"/>
      <c r="E595" s="519"/>
    </row>
    <row r="596" spans="4:5">
      <c r="D596" s="519"/>
      <c r="E596" s="519"/>
    </row>
    <row r="597" spans="4:5">
      <c r="D597" s="519"/>
      <c r="E597" s="519"/>
    </row>
    <row r="598" spans="4:5">
      <c r="D598" s="519"/>
      <c r="E598" s="519"/>
    </row>
    <row r="599" spans="4:5">
      <c r="D599" s="519"/>
      <c r="E599" s="519"/>
    </row>
    <row r="600" spans="4:5">
      <c r="D600" s="519"/>
      <c r="E600" s="519"/>
    </row>
    <row r="601" spans="4:5">
      <c r="D601" s="519"/>
      <c r="E601" s="519"/>
    </row>
    <row r="602" spans="4:5">
      <c r="D602" s="519"/>
      <c r="E602" s="519"/>
    </row>
    <row r="603" spans="4:5">
      <c r="D603" s="519"/>
      <c r="E603" s="519"/>
    </row>
    <row r="604" spans="4:5">
      <c r="D604" s="519"/>
      <c r="E604" s="519"/>
    </row>
    <row r="605" spans="4:5">
      <c r="D605" s="519"/>
      <c r="E605" s="519"/>
    </row>
    <row r="606" spans="4:5">
      <c r="D606" s="519"/>
      <c r="E606" s="519"/>
    </row>
    <row r="607" spans="4:5">
      <c r="D607" s="519"/>
      <c r="E607" s="519"/>
    </row>
    <row r="608" spans="4:5">
      <c r="D608" s="519"/>
      <c r="E608" s="519"/>
    </row>
    <row r="609" spans="4:5">
      <c r="D609" s="519"/>
      <c r="E609" s="519"/>
    </row>
    <row r="610" spans="4:5">
      <c r="D610" s="519"/>
      <c r="E610" s="519"/>
    </row>
    <row r="611" spans="4:5">
      <c r="D611" s="519"/>
      <c r="E611" s="519"/>
    </row>
    <row r="612" spans="4:5">
      <c r="D612" s="519"/>
      <c r="E612" s="519"/>
    </row>
    <row r="613" spans="4:5">
      <c r="D613" s="519"/>
      <c r="E613" s="519"/>
    </row>
    <row r="614" spans="4:5">
      <c r="D614" s="519"/>
      <c r="E614" s="519"/>
    </row>
    <row r="615" spans="4:5">
      <c r="D615" s="519"/>
      <c r="E615" s="519"/>
    </row>
    <row r="616" spans="4:5">
      <c r="D616" s="519"/>
      <c r="E616" s="519"/>
    </row>
    <row r="617" spans="4:5">
      <c r="D617" s="519"/>
      <c r="E617" s="519"/>
    </row>
    <row r="618" spans="4:5">
      <c r="D618" s="519"/>
      <c r="E618" s="519"/>
    </row>
    <row r="619" spans="4:5">
      <c r="D619" s="519"/>
      <c r="E619" s="519"/>
    </row>
    <row r="620" spans="4:5">
      <c r="D620" s="519"/>
      <c r="E620" s="519"/>
    </row>
    <row r="621" spans="4:5">
      <c r="D621" s="519"/>
      <c r="E621" s="519"/>
    </row>
    <row r="622" spans="4:5">
      <c r="D622" s="519"/>
      <c r="E622" s="519"/>
    </row>
    <row r="623" spans="4:5">
      <c r="D623" s="519"/>
      <c r="E623" s="519"/>
    </row>
    <row r="624" spans="4:5">
      <c r="D624" s="519"/>
      <c r="E624" s="519"/>
    </row>
    <row r="625" spans="4:5">
      <c r="D625" s="519"/>
      <c r="E625" s="519"/>
    </row>
    <row r="626" spans="4:5">
      <c r="D626" s="519"/>
      <c r="E626" s="519"/>
    </row>
    <row r="627" spans="4:5">
      <c r="D627" s="519"/>
      <c r="E627" s="519"/>
    </row>
    <row r="628" spans="4:5">
      <c r="D628" s="519"/>
      <c r="E628" s="519"/>
    </row>
    <row r="629" spans="4:5">
      <c r="D629" s="519"/>
      <c r="E629" s="519"/>
    </row>
    <row r="630" spans="4:5">
      <c r="D630" s="519"/>
      <c r="E630" s="519"/>
    </row>
    <row r="631" spans="4:5">
      <c r="D631" s="519"/>
      <c r="E631" s="519"/>
    </row>
    <row r="632" spans="4:5">
      <c r="D632" s="519"/>
      <c r="E632" s="519"/>
    </row>
    <row r="633" spans="4:5">
      <c r="D633" s="519"/>
      <c r="E633" s="519"/>
    </row>
    <row r="634" spans="4:5">
      <c r="D634" s="519"/>
      <c r="E634" s="519"/>
    </row>
    <row r="635" spans="4:5">
      <c r="D635" s="519"/>
      <c r="E635" s="519"/>
    </row>
    <row r="636" spans="4:5">
      <c r="D636" s="519"/>
      <c r="E636" s="519"/>
    </row>
    <row r="637" spans="4:5">
      <c r="D637" s="519"/>
      <c r="E637" s="519"/>
    </row>
    <row r="638" spans="4:5">
      <c r="D638" s="519"/>
      <c r="E638" s="519"/>
    </row>
    <row r="639" spans="4:5">
      <c r="D639" s="519"/>
      <c r="E639" s="519"/>
    </row>
    <row r="640" spans="4:5">
      <c r="D640" s="519"/>
      <c r="E640" s="519"/>
    </row>
    <row r="641" spans="4:5">
      <c r="D641" s="519"/>
      <c r="E641" s="519"/>
    </row>
    <row r="642" spans="4:5">
      <c r="D642" s="519"/>
      <c r="E642" s="519"/>
    </row>
    <row r="643" spans="4:5">
      <c r="D643" s="519"/>
      <c r="E643" s="519"/>
    </row>
    <row r="644" spans="4:5">
      <c r="D644" s="519"/>
      <c r="E644" s="519"/>
    </row>
    <row r="645" spans="4:5">
      <c r="D645" s="519"/>
      <c r="E645" s="519"/>
    </row>
    <row r="646" spans="4:5">
      <c r="D646" s="519"/>
      <c r="E646" s="519"/>
    </row>
    <row r="647" spans="4:5">
      <c r="D647" s="519"/>
      <c r="E647" s="519"/>
    </row>
    <row r="648" spans="4:5">
      <c r="D648" s="519"/>
      <c r="E648" s="519"/>
    </row>
    <row r="649" spans="4:5">
      <c r="D649" s="519"/>
      <c r="E649" s="519"/>
    </row>
    <row r="650" spans="4:5">
      <c r="D650" s="519"/>
      <c r="E650" s="519"/>
    </row>
    <row r="651" spans="4:5">
      <c r="D651" s="519"/>
      <c r="E651" s="519"/>
    </row>
    <row r="652" spans="4:5">
      <c r="D652" s="519"/>
      <c r="E652" s="519"/>
    </row>
    <row r="653" spans="4:5">
      <c r="D653" s="519"/>
      <c r="E653" s="519"/>
    </row>
    <row r="654" spans="4:5">
      <c r="D654" s="519"/>
      <c r="E654" s="519"/>
    </row>
    <row r="655" spans="4:5">
      <c r="D655" s="519"/>
      <c r="E655" s="519"/>
    </row>
    <row r="656" spans="4:5">
      <c r="D656" s="519"/>
      <c r="E656" s="519"/>
    </row>
    <row r="657" spans="4:5">
      <c r="D657" s="519"/>
      <c r="E657" s="519"/>
    </row>
    <row r="658" spans="4:5">
      <c r="D658" s="519"/>
      <c r="E658" s="519"/>
    </row>
    <row r="659" spans="4:5">
      <c r="D659" s="519"/>
      <c r="E659" s="519"/>
    </row>
    <row r="660" spans="4:5">
      <c r="D660" s="519"/>
      <c r="E660" s="519"/>
    </row>
    <row r="661" spans="4:5">
      <c r="D661" s="519"/>
      <c r="E661" s="519"/>
    </row>
    <row r="662" spans="4:5">
      <c r="D662" s="519"/>
      <c r="E662" s="519"/>
    </row>
    <row r="663" spans="4:5">
      <c r="D663" s="519"/>
      <c r="E663" s="519"/>
    </row>
    <row r="664" spans="4:5">
      <c r="D664" s="519"/>
      <c r="E664" s="519"/>
    </row>
    <row r="665" spans="4:5">
      <c r="D665" s="519"/>
      <c r="E665" s="519"/>
    </row>
    <row r="666" spans="4:5">
      <c r="D666" s="519"/>
      <c r="E666" s="519"/>
    </row>
    <row r="667" spans="4:5">
      <c r="D667" s="519"/>
      <c r="E667" s="519"/>
    </row>
    <row r="668" spans="4:5">
      <c r="D668" s="519"/>
      <c r="E668" s="519"/>
    </row>
    <row r="669" spans="4:5">
      <c r="D669" s="519"/>
      <c r="E669" s="519"/>
    </row>
    <row r="670" spans="4:5">
      <c r="D670" s="519"/>
      <c r="E670" s="519"/>
    </row>
    <row r="671" spans="4:5">
      <c r="D671" s="519"/>
      <c r="E671" s="519"/>
    </row>
    <row r="672" spans="4:5">
      <c r="D672" s="519"/>
      <c r="E672" s="519"/>
    </row>
    <row r="673" spans="4:5">
      <c r="D673" s="519"/>
      <c r="E673" s="519"/>
    </row>
    <row r="674" spans="4:5">
      <c r="D674" s="519"/>
      <c r="E674" s="519"/>
    </row>
    <row r="675" spans="4:5">
      <c r="D675" s="519"/>
      <c r="E675" s="519"/>
    </row>
    <row r="676" spans="4:5">
      <c r="D676" s="519"/>
      <c r="E676" s="519"/>
    </row>
    <row r="677" spans="4:5">
      <c r="D677" s="519"/>
      <c r="E677" s="519"/>
    </row>
    <row r="678" spans="4:5">
      <c r="D678" s="519"/>
      <c r="E678" s="519"/>
    </row>
    <row r="679" spans="4:5">
      <c r="D679" s="519"/>
      <c r="E679" s="519"/>
    </row>
    <row r="680" spans="4:5">
      <c r="D680" s="519"/>
      <c r="E680" s="519"/>
    </row>
    <row r="681" spans="4:5">
      <c r="D681" s="519"/>
      <c r="E681" s="519"/>
    </row>
    <row r="682" spans="4:5">
      <c r="D682" s="519"/>
      <c r="E682" s="519"/>
    </row>
    <row r="683" spans="4:5">
      <c r="D683" s="519"/>
      <c r="E683" s="519"/>
    </row>
    <row r="684" spans="4:5">
      <c r="D684" s="519"/>
      <c r="E684" s="519"/>
    </row>
    <row r="685" spans="4:5">
      <c r="D685" s="519"/>
      <c r="E685" s="519"/>
    </row>
    <row r="686" spans="4:5">
      <c r="D686" s="519"/>
      <c r="E686" s="519"/>
    </row>
    <row r="687" spans="4:5">
      <c r="D687" s="519"/>
      <c r="E687" s="519"/>
    </row>
    <row r="688" spans="4:5">
      <c r="D688" s="519"/>
      <c r="E688" s="519"/>
    </row>
    <row r="689" spans="4:5">
      <c r="D689" s="519"/>
      <c r="E689" s="519"/>
    </row>
    <row r="690" spans="4:5">
      <c r="D690" s="519"/>
      <c r="E690" s="519"/>
    </row>
    <row r="691" spans="4:5">
      <c r="D691" s="519"/>
      <c r="E691" s="519"/>
    </row>
    <row r="692" spans="4:5">
      <c r="D692" s="519"/>
      <c r="E692" s="519"/>
    </row>
    <row r="693" spans="4:5">
      <c r="D693" s="519"/>
      <c r="E693" s="519"/>
    </row>
    <row r="694" spans="4:5">
      <c r="D694" s="519"/>
      <c r="E694" s="519"/>
    </row>
    <row r="695" spans="4:5">
      <c r="D695" s="519"/>
      <c r="E695" s="519"/>
    </row>
    <row r="696" spans="4:5">
      <c r="D696" s="519"/>
      <c r="E696" s="519"/>
    </row>
    <row r="697" spans="4:5">
      <c r="D697" s="519"/>
      <c r="E697" s="519"/>
    </row>
    <row r="698" spans="4:5">
      <c r="D698" s="519"/>
      <c r="E698" s="519"/>
    </row>
    <row r="699" spans="4:5">
      <c r="D699" s="519"/>
      <c r="E699" s="519"/>
    </row>
    <row r="700" spans="4:5">
      <c r="D700" s="519"/>
      <c r="E700" s="519"/>
    </row>
    <row r="701" spans="4:5">
      <c r="D701" s="519"/>
      <c r="E701" s="519"/>
    </row>
    <row r="702" spans="4:5">
      <c r="D702" s="519"/>
      <c r="E702" s="519"/>
    </row>
    <row r="703" spans="4:5">
      <c r="D703" s="519"/>
      <c r="E703" s="519"/>
    </row>
    <row r="704" spans="4:5">
      <c r="D704" s="519"/>
      <c r="E704" s="519"/>
    </row>
    <row r="705" spans="4:5">
      <c r="D705" s="519"/>
      <c r="E705" s="519"/>
    </row>
    <row r="706" spans="4:5">
      <c r="D706" s="519"/>
      <c r="E706" s="519"/>
    </row>
    <row r="707" spans="4:5">
      <c r="D707" s="519"/>
      <c r="E707" s="519"/>
    </row>
    <row r="708" spans="4:5">
      <c r="D708" s="519"/>
      <c r="E708" s="519"/>
    </row>
    <row r="709" spans="4:5">
      <c r="D709" s="519"/>
      <c r="E709" s="519"/>
    </row>
    <row r="710" spans="4:5">
      <c r="D710" s="519"/>
      <c r="E710" s="519"/>
    </row>
    <row r="711" spans="4:5">
      <c r="D711" s="519"/>
      <c r="E711" s="519"/>
    </row>
    <row r="712" spans="4:5">
      <c r="D712" s="519"/>
      <c r="E712" s="519"/>
    </row>
    <row r="713" spans="4:5">
      <c r="D713" s="519"/>
      <c r="E713" s="519"/>
    </row>
    <row r="714" spans="4:5">
      <c r="D714" s="519"/>
      <c r="E714" s="519"/>
    </row>
    <row r="715" spans="4:5">
      <c r="D715" s="519"/>
      <c r="E715" s="519"/>
    </row>
    <row r="716" spans="4:5">
      <c r="D716" s="519"/>
      <c r="E716" s="519"/>
    </row>
    <row r="717" spans="4:5">
      <c r="D717" s="519"/>
      <c r="E717" s="519"/>
    </row>
    <row r="718" spans="4:5">
      <c r="D718" s="519"/>
      <c r="E718" s="519"/>
    </row>
    <row r="719" spans="4:5">
      <c r="D719" s="519"/>
      <c r="E719" s="519"/>
    </row>
    <row r="720" spans="4:5">
      <c r="D720" s="519"/>
      <c r="E720" s="519"/>
    </row>
    <row r="721" spans="4:5">
      <c r="D721" s="519"/>
      <c r="E721" s="519"/>
    </row>
    <row r="722" spans="4:5">
      <c r="D722" s="519"/>
      <c r="E722" s="519"/>
    </row>
    <row r="723" spans="4:5">
      <c r="D723" s="519"/>
      <c r="E723" s="519"/>
    </row>
    <row r="724" spans="4:5">
      <c r="D724" s="519"/>
      <c r="E724" s="519"/>
    </row>
    <row r="725" spans="4:5">
      <c r="D725" s="519"/>
      <c r="E725" s="519"/>
    </row>
    <row r="726" spans="4:5">
      <c r="D726" s="519"/>
      <c r="E726" s="519"/>
    </row>
    <row r="727" spans="4:5">
      <c r="D727" s="519"/>
      <c r="E727" s="519"/>
    </row>
    <row r="728" spans="4:5">
      <c r="D728" s="519"/>
      <c r="E728" s="519"/>
    </row>
    <row r="729" spans="4:5">
      <c r="D729" s="519"/>
      <c r="E729" s="519"/>
    </row>
    <row r="730" spans="4:5">
      <c r="D730" s="519"/>
      <c r="E730" s="519"/>
    </row>
    <row r="731" spans="4:5">
      <c r="D731" s="519"/>
      <c r="E731" s="519"/>
    </row>
    <row r="732" spans="4:5">
      <c r="D732" s="519"/>
      <c r="E732" s="519"/>
    </row>
    <row r="733" spans="4:5">
      <c r="D733" s="519"/>
      <c r="E733" s="519"/>
    </row>
    <row r="734" spans="4:5">
      <c r="D734" s="519"/>
      <c r="E734" s="519"/>
    </row>
    <row r="735" spans="4:5">
      <c r="D735" s="519"/>
      <c r="E735" s="519"/>
    </row>
    <row r="736" spans="4:5">
      <c r="D736" s="519"/>
      <c r="E736" s="519"/>
    </row>
    <row r="737" spans="4:5">
      <c r="D737" s="519"/>
      <c r="E737" s="519"/>
    </row>
    <row r="738" spans="4:5">
      <c r="D738" s="519"/>
      <c r="E738" s="519"/>
    </row>
    <row r="739" spans="4:5">
      <c r="D739" s="519"/>
      <c r="E739" s="519"/>
    </row>
    <row r="740" spans="4:5">
      <c r="D740" s="519"/>
      <c r="E740" s="519"/>
    </row>
    <row r="741" spans="4:5">
      <c r="D741" s="519"/>
      <c r="E741" s="519"/>
    </row>
    <row r="742" spans="4:5">
      <c r="D742" s="519"/>
      <c r="E742" s="519"/>
    </row>
    <row r="743" spans="4:5">
      <c r="D743" s="519"/>
      <c r="E743" s="519"/>
    </row>
    <row r="744" spans="4:5">
      <c r="D744" s="519"/>
      <c r="E744" s="519"/>
    </row>
    <row r="745" spans="4:5">
      <c r="D745" s="519"/>
      <c r="E745" s="519"/>
    </row>
    <row r="746" spans="4:5">
      <c r="D746" s="519"/>
      <c r="E746" s="519"/>
    </row>
    <row r="747" spans="4:5">
      <c r="D747" s="519"/>
      <c r="E747" s="519"/>
    </row>
    <row r="748" spans="4:5">
      <c r="D748" s="519"/>
      <c r="E748" s="519"/>
    </row>
    <row r="749" spans="4:5">
      <c r="D749" s="519"/>
      <c r="E749" s="519"/>
    </row>
    <row r="750" spans="4:5">
      <c r="D750" s="519"/>
      <c r="E750" s="519"/>
    </row>
    <row r="751" spans="4:5">
      <c r="D751" s="519"/>
      <c r="E751" s="519"/>
    </row>
    <row r="752" spans="4:5">
      <c r="D752" s="519"/>
      <c r="E752" s="519"/>
    </row>
    <row r="753" spans="4:5">
      <c r="D753" s="519"/>
      <c r="E753" s="519"/>
    </row>
    <row r="754" spans="4:5">
      <c r="D754" s="519"/>
      <c r="E754" s="519"/>
    </row>
    <row r="755" spans="4:5">
      <c r="D755" s="519"/>
      <c r="E755" s="519"/>
    </row>
    <row r="756" spans="4:5">
      <c r="D756" s="519"/>
      <c r="E756" s="519"/>
    </row>
    <row r="757" spans="4:5">
      <c r="D757" s="519"/>
      <c r="E757" s="519"/>
    </row>
    <row r="758" spans="4:5">
      <c r="D758" s="519"/>
      <c r="E758" s="519"/>
    </row>
    <row r="759" spans="4:5">
      <c r="D759" s="519"/>
      <c r="E759" s="519"/>
    </row>
    <row r="760" spans="4:5">
      <c r="D760" s="519"/>
      <c r="E760" s="519"/>
    </row>
    <row r="761" spans="4:5">
      <c r="D761" s="519"/>
      <c r="E761" s="519"/>
    </row>
    <row r="762" spans="4:5">
      <c r="D762" s="519"/>
      <c r="E762" s="519"/>
    </row>
    <row r="763" spans="4:5">
      <c r="D763" s="519"/>
      <c r="E763" s="519"/>
    </row>
    <row r="764" spans="4:5">
      <c r="D764" s="519"/>
      <c r="E764" s="519"/>
    </row>
    <row r="765" spans="4:5">
      <c r="D765" s="519"/>
      <c r="E765" s="519"/>
    </row>
    <row r="766" spans="4:5">
      <c r="D766" s="519"/>
      <c r="E766" s="519"/>
    </row>
    <row r="767" spans="4:5">
      <c r="D767" s="519"/>
      <c r="E767" s="519"/>
    </row>
    <row r="768" spans="4:5">
      <c r="D768" s="519"/>
      <c r="E768" s="519"/>
    </row>
    <row r="769" spans="4:5">
      <c r="D769" s="519"/>
      <c r="E769" s="519"/>
    </row>
    <row r="770" spans="4:5">
      <c r="D770" s="519"/>
      <c r="E770" s="519"/>
    </row>
    <row r="771" spans="4:5">
      <c r="D771" s="519"/>
      <c r="E771" s="519"/>
    </row>
    <row r="772" spans="4:5">
      <c r="D772" s="519"/>
      <c r="E772" s="519"/>
    </row>
    <row r="773" spans="4:5">
      <c r="D773" s="519"/>
      <c r="E773" s="519"/>
    </row>
    <row r="774" spans="4:5">
      <c r="D774" s="519"/>
      <c r="E774" s="519"/>
    </row>
    <row r="775" spans="4:5">
      <c r="D775" s="519"/>
      <c r="E775" s="519"/>
    </row>
    <row r="776" spans="4:5">
      <c r="D776" s="519"/>
      <c r="E776" s="519"/>
    </row>
    <row r="777" spans="4:5">
      <c r="D777" s="519"/>
      <c r="E777" s="519"/>
    </row>
    <row r="778" spans="4:5">
      <c r="D778" s="519"/>
      <c r="E778" s="519"/>
    </row>
    <row r="779" spans="4:5">
      <c r="D779" s="519"/>
      <c r="E779" s="519"/>
    </row>
    <row r="780" spans="4:5">
      <c r="D780" s="519"/>
      <c r="E780" s="519"/>
    </row>
    <row r="781" spans="4:5">
      <c r="D781" s="519"/>
      <c r="E781" s="519"/>
    </row>
    <row r="782" spans="4:5">
      <c r="D782" s="519"/>
      <c r="E782" s="519"/>
    </row>
    <row r="783" spans="4:5">
      <c r="D783" s="519"/>
      <c r="E783" s="519"/>
    </row>
    <row r="784" spans="4:5">
      <c r="D784" s="519"/>
      <c r="E784" s="519"/>
    </row>
    <row r="785" spans="4:5">
      <c r="D785" s="519"/>
      <c r="E785" s="519"/>
    </row>
    <row r="786" spans="4:5">
      <c r="D786" s="519"/>
      <c r="E786" s="519"/>
    </row>
    <row r="787" spans="4:5">
      <c r="D787" s="519"/>
      <c r="E787" s="519"/>
    </row>
    <row r="788" spans="4:5">
      <c r="D788" s="519"/>
      <c r="E788" s="519"/>
    </row>
    <row r="789" spans="4:5">
      <c r="D789" s="519"/>
      <c r="E789" s="519"/>
    </row>
    <row r="790" spans="4:5">
      <c r="D790" s="519"/>
      <c r="E790" s="519"/>
    </row>
    <row r="791" spans="4:5">
      <c r="D791" s="519"/>
      <c r="E791" s="519"/>
    </row>
    <row r="792" spans="4:5">
      <c r="D792" s="519"/>
      <c r="E792" s="519"/>
    </row>
    <row r="793" spans="4:5">
      <c r="D793" s="519"/>
      <c r="E793" s="519"/>
    </row>
    <row r="794" spans="4:5">
      <c r="D794" s="519"/>
      <c r="E794" s="519"/>
    </row>
    <row r="795" spans="4:5">
      <c r="D795" s="519"/>
      <c r="E795" s="519"/>
    </row>
    <row r="796" spans="4:5">
      <c r="D796" s="519"/>
      <c r="E796" s="519"/>
    </row>
    <row r="797" spans="4:5">
      <c r="D797" s="519"/>
      <c r="E797" s="519"/>
    </row>
    <row r="798" spans="4:5">
      <c r="D798" s="519"/>
      <c r="E798" s="519"/>
    </row>
    <row r="799" spans="4:5">
      <c r="D799" s="519"/>
      <c r="E799" s="519"/>
    </row>
    <row r="800" spans="4:5">
      <c r="D800" s="519"/>
      <c r="E800" s="519"/>
    </row>
    <row r="801" spans="4:5">
      <c r="D801" s="519"/>
      <c r="E801" s="519"/>
    </row>
    <row r="802" spans="4:5">
      <c r="D802" s="519"/>
      <c r="E802" s="519"/>
    </row>
    <row r="803" spans="4:5">
      <c r="D803" s="519"/>
      <c r="E803" s="519"/>
    </row>
    <row r="804" spans="4:5">
      <c r="D804" s="519"/>
      <c r="E804" s="519"/>
    </row>
    <row r="805" spans="4:5">
      <c r="D805" s="519"/>
      <c r="E805" s="519"/>
    </row>
    <row r="806" spans="4:5">
      <c r="D806" s="519"/>
      <c r="E806" s="519"/>
    </row>
    <row r="807" spans="4:5">
      <c r="D807" s="519"/>
      <c r="E807" s="519"/>
    </row>
    <row r="808" spans="4:5">
      <c r="D808" s="519"/>
      <c r="E808" s="519"/>
    </row>
    <row r="809" spans="4:5">
      <c r="D809" s="519"/>
      <c r="E809" s="519"/>
    </row>
    <row r="810" spans="4:5">
      <c r="D810" s="519"/>
      <c r="E810" s="519"/>
    </row>
    <row r="811" spans="4:5">
      <c r="D811" s="519"/>
      <c r="E811" s="519"/>
    </row>
    <row r="812" spans="4:5">
      <c r="D812" s="519"/>
      <c r="E812" s="519"/>
    </row>
    <row r="813" spans="4:5">
      <c r="D813" s="519"/>
      <c r="E813" s="519"/>
    </row>
    <row r="814" spans="4:5">
      <c r="D814" s="519"/>
      <c r="E814" s="519"/>
    </row>
    <row r="815" spans="4:5">
      <c r="D815" s="519"/>
      <c r="E815" s="519"/>
    </row>
    <row r="816" spans="4:5">
      <c r="D816" s="519"/>
      <c r="E816" s="519"/>
    </row>
    <row r="817" spans="4:5">
      <c r="D817" s="519"/>
      <c r="E817" s="519"/>
    </row>
    <row r="818" spans="4:5">
      <c r="D818" s="519"/>
      <c r="E818" s="519"/>
    </row>
    <row r="819" spans="4:5">
      <c r="D819" s="519"/>
      <c r="E819" s="519"/>
    </row>
    <row r="820" spans="4:5">
      <c r="D820" s="519"/>
      <c r="E820" s="519"/>
    </row>
    <row r="821" spans="4:5">
      <c r="D821" s="519"/>
      <c r="E821" s="519"/>
    </row>
    <row r="822" spans="4:5">
      <c r="D822" s="519"/>
      <c r="E822" s="519"/>
    </row>
    <row r="823" spans="4:5">
      <c r="D823" s="519"/>
      <c r="E823" s="519"/>
    </row>
    <row r="824" spans="4:5">
      <c r="D824" s="519"/>
      <c r="E824" s="519"/>
    </row>
    <row r="825" spans="4:5">
      <c r="D825" s="519"/>
      <c r="E825" s="519"/>
    </row>
    <row r="826" spans="4:5">
      <c r="D826" s="519"/>
      <c r="E826" s="519"/>
    </row>
    <row r="827" spans="4:5">
      <c r="D827" s="519"/>
      <c r="E827" s="519"/>
    </row>
    <row r="828" spans="4:5">
      <c r="D828" s="519"/>
      <c r="E828" s="519"/>
    </row>
    <row r="829" spans="4:5">
      <c r="D829" s="519"/>
      <c r="E829" s="519"/>
    </row>
    <row r="830" spans="4:5">
      <c r="D830" s="519"/>
      <c r="E830" s="519"/>
    </row>
    <row r="831" spans="4:5">
      <c r="D831" s="519"/>
      <c r="E831" s="519"/>
    </row>
    <row r="832" spans="4:5">
      <c r="D832" s="519"/>
      <c r="E832" s="519"/>
    </row>
    <row r="833" spans="4:5">
      <c r="D833" s="519"/>
      <c r="E833" s="519"/>
    </row>
    <row r="834" spans="4:5">
      <c r="D834" s="519"/>
      <c r="E834" s="519"/>
    </row>
    <row r="835" spans="4:5">
      <c r="D835" s="519"/>
      <c r="E835" s="519"/>
    </row>
    <row r="836" spans="4:5">
      <c r="D836" s="519"/>
      <c r="E836" s="519"/>
    </row>
    <row r="837" spans="4:5">
      <c r="D837" s="519"/>
      <c r="E837" s="519"/>
    </row>
    <row r="838" spans="4:5">
      <c r="D838" s="519"/>
      <c r="E838" s="519"/>
    </row>
    <row r="839" spans="4:5">
      <c r="D839" s="519"/>
      <c r="E839" s="519"/>
    </row>
    <row r="840" spans="4:5">
      <c r="D840" s="519"/>
      <c r="E840" s="519"/>
    </row>
    <row r="841" spans="4:5">
      <c r="D841" s="519"/>
      <c r="E841" s="519"/>
    </row>
    <row r="842" spans="4:5">
      <c r="D842" s="519"/>
      <c r="E842" s="519"/>
    </row>
    <row r="843" spans="4:5">
      <c r="D843" s="519"/>
      <c r="E843" s="519"/>
    </row>
    <row r="844" spans="4:5">
      <c r="D844" s="519"/>
      <c r="E844" s="519"/>
    </row>
    <row r="845" spans="4:5">
      <c r="D845" s="519"/>
      <c r="E845" s="519"/>
    </row>
    <row r="846" spans="4:5">
      <c r="D846" s="519"/>
      <c r="E846" s="519"/>
    </row>
    <row r="847" spans="4:5">
      <c r="D847" s="519"/>
      <c r="E847" s="519"/>
    </row>
    <row r="848" spans="4:5">
      <c r="D848" s="519"/>
      <c r="E848" s="519"/>
    </row>
    <row r="849" spans="4:5">
      <c r="D849" s="519"/>
      <c r="E849" s="519"/>
    </row>
    <row r="850" spans="4:5">
      <c r="D850" s="519"/>
      <c r="E850" s="519"/>
    </row>
    <row r="851" spans="4:5">
      <c r="D851" s="519"/>
      <c r="E851" s="519"/>
    </row>
    <row r="852" spans="4:5">
      <c r="D852" s="519"/>
      <c r="E852" s="519"/>
    </row>
    <row r="853" spans="4:5">
      <c r="D853" s="519"/>
      <c r="E853" s="519"/>
    </row>
    <row r="854" spans="4:5">
      <c r="D854" s="519"/>
      <c r="E854" s="519"/>
    </row>
    <row r="855" spans="4:5">
      <c r="D855" s="519"/>
      <c r="E855" s="519"/>
    </row>
    <row r="856" spans="4:5">
      <c r="D856" s="519"/>
      <c r="E856" s="519"/>
    </row>
    <row r="857" spans="4:5">
      <c r="D857" s="519"/>
      <c r="E857" s="519"/>
    </row>
    <row r="858" spans="4:5">
      <c r="D858" s="519"/>
      <c r="E858" s="519"/>
    </row>
    <row r="859" spans="4:5">
      <c r="D859" s="519"/>
      <c r="E859" s="519"/>
    </row>
    <row r="860" spans="4:5">
      <c r="D860" s="519"/>
      <c r="E860" s="519"/>
    </row>
    <row r="861" spans="4:5">
      <c r="D861" s="519"/>
      <c r="E861" s="519"/>
    </row>
    <row r="862" spans="4:5">
      <c r="D862" s="519"/>
      <c r="E862" s="519"/>
    </row>
    <row r="863" spans="4:5">
      <c r="D863" s="519"/>
      <c r="E863" s="519"/>
    </row>
    <row r="864" spans="4:5">
      <c r="D864" s="519"/>
      <c r="E864" s="519"/>
    </row>
    <row r="865" spans="4:5">
      <c r="D865" s="519"/>
      <c r="E865" s="519"/>
    </row>
    <row r="866" spans="4:5">
      <c r="D866" s="519"/>
      <c r="E866" s="519"/>
    </row>
    <row r="867" spans="4:5">
      <c r="D867" s="519"/>
      <c r="E867" s="519"/>
    </row>
    <row r="868" spans="4:5">
      <c r="D868" s="519"/>
      <c r="E868" s="519"/>
    </row>
    <row r="869" spans="4:5">
      <c r="D869" s="519"/>
      <c r="E869" s="519"/>
    </row>
    <row r="870" spans="4:5">
      <c r="D870" s="519"/>
      <c r="E870" s="519"/>
    </row>
    <row r="871" spans="4:5">
      <c r="D871" s="519"/>
      <c r="E871" s="519"/>
    </row>
    <row r="872" spans="4:5">
      <c r="D872" s="519"/>
      <c r="E872" s="519"/>
    </row>
    <row r="873" spans="4:5">
      <c r="D873" s="519"/>
      <c r="E873" s="519"/>
    </row>
    <row r="874" spans="4:5">
      <c r="D874" s="519"/>
      <c r="E874" s="519"/>
    </row>
    <row r="875" spans="4:5">
      <c r="D875" s="519"/>
      <c r="E875" s="519"/>
    </row>
    <row r="876" spans="4:5">
      <c r="D876" s="519"/>
      <c r="E876" s="519"/>
    </row>
    <row r="877" spans="4:5">
      <c r="D877" s="519"/>
      <c r="E877" s="519"/>
    </row>
    <row r="878" spans="4:5">
      <c r="D878" s="519"/>
      <c r="E878" s="519"/>
    </row>
    <row r="879" spans="4:5">
      <c r="D879" s="519"/>
      <c r="E879" s="519"/>
    </row>
    <row r="880" spans="4:5">
      <c r="D880" s="519"/>
      <c r="E880" s="519"/>
    </row>
    <row r="881" spans="4:5">
      <c r="D881" s="519"/>
      <c r="E881" s="519"/>
    </row>
    <row r="882" spans="4:5">
      <c r="D882" s="519"/>
      <c r="E882" s="519"/>
    </row>
    <row r="883" spans="4:5">
      <c r="D883" s="519"/>
      <c r="E883" s="519"/>
    </row>
    <row r="884" spans="4:5">
      <c r="D884" s="519"/>
      <c r="E884" s="519"/>
    </row>
    <row r="885" spans="4:5">
      <c r="D885" s="519"/>
      <c r="E885" s="519"/>
    </row>
    <row r="886" spans="4:5">
      <c r="D886" s="519"/>
      <c r="E886" s="519"/>
    </row>
    <row r="887" spans="4:5">
      <c r="D887" s="519"/>
      <c r="E887" s="519"/>
    </row>
    <row r="888" spans="4:5">
      <c r="D888" s="519"/>
      <c r="E888" s="519"/>
    </row>
    <row r="889" spans="4:5">
      <c r="D889" s="519"/>
      <c r="E889" s="519"/>
    </row>
    <row r="890" spans="4:5">
      <c r="D890" s="519"/>
      <c r="E890" s="519"/>
    </row>
    <row r="891" spans="4:5">
      <c r="D891" s="519"/>
      <c r="E891" s="519"/>
    </row>
    <row r="892" spans="4:5">
      <c r="D892" s="519"/>
      <c r="E892" s="519"/>
    </row>
    <row r="893" spans="4:5">
      <c r="D893" s="519"/>
      <c r="E893" s="519"/>
    </row>
    <row r="894" spans="4:5">
      <c r="D894" s="519"/>
      <c r="E894" s="519"/>
    </row>
    <row r="895" spans="4:5">
      <c r="D895" s="519"/>
      <c r="E895" s="519"/>
    </row>
    <row r="896" spans="4:5">
      <c r="D896" s="519"/>
      <c r="E896" s="519"/>
    </row>
    <row r="897" spans="4:5">
      <c r="D897" s="519"/>
      <c r="E897" s="519"/>
    </row>
    <row r="898" spans="4:5">
      <c r="D898" s="519"/>
      <c r="E898" s="519"/>
    </row>
    <row r="899" spans="4:5">
      <c r="D899" s="519"/>
      <c r="E899" s="519"/>
    </row>
    <row r="900" spans="4:5">
      <c r="D900" s="519"/>
      <c r="E900" s="519"/>
    </row>
    <row r="901" spans="4:5">
      <c r="D901" s="519"/>
      <c r="E901" s="519"/>
    </row>
    <row r="902" spans="4:5">
      <c r="D902" s="519"/>
      <c r="E902" s="519"/>
    </row>
    <row r="903" spans="4:5">
      <c r="D903" s="519"/>
      <c r="E903" s="519"/>
    </row>
    <row r="904" spans="4:5">
      <c r="D904" s="519"/>
      <c r="E904" s="519"/>
    </row>
    <row r="905" spans="4:5">
      <c r="D905" s="519"/>
      <c r="E905" s="519"/>
    </row>
    <row r="906" spans="4:5">
      <c r="D906" s="519"/>
      <c r="E906" s="519"/>
    </row>
    <row r="907" spans="4:5">
      <c r="D907" s="519"/>
      <c r="E907" s="519"/>
    </row>
    <row r="908" spans="4:5">
      <c r="D908" s="519"/>
      <c r="E908" s="519"/>
    </row>
    <row r="909" spans="4:5">
      <c r="D909" s="519"/>
      <c r="E909" s="519"/>
    </row>
    <row r="910" spans="4:5">
      <c r="D910" s="519"/>
      <c r="E910" s="519"/>
    </row>
    <row r="911" spans="4:5">
      <c r="D911" s="519"/>
      <c r="E911" s="519"/>
    </row>
    <row r="912" spans="4:5">
      <c r="D912" s="519"/>
      <c r="E912" s="519"/>
    </row>
    <row r="913" spans="4:5">
      <c r="D913" s="519"/>
      <c r="E913" s="519"/>
    </row>
    <row r="914" spans="4:5">
      <c r="D914" s="519"/>
      <c r="E914" s="519"/>
    </row>
    <row r="915" spans="4:5">
      <c r="D915" s="519"/>
      <c r="E915" s="519"/>
    </row>
    <row r="916" spans="4:5">
      <c r="D916" s="519"/>
      <c r="E916" s="519"/>
    </row>
    <row r="917" spans="4:5">
      <c r="D917" s="519"/>
      <c r="E917" s="519"/>
    </row>
    <row r="918" spans="4:5">
      <c r="D918" s="519"/>
      <c r="E918" s="519"/>
    </row>
    <row r="919" spans="4:5">
      <c r="D919" s="519"/>
      <c r="E919" s="519"/>
    </row>
    <row r="920" spans="4:5">
      <c r="D920" s="519"/>
      <c r="E920" s="519"/>
    </row>
    <row r="921" spans="4:5">
      <c r="D921" s="519"/>
      <c r="E921" s="519"/>
    </row>
    <row r="922" spans="4:5">
      <c r="D922" s="519"/>
      <c r="E922" s="519"/>
    </row>
    <row r="923" spans="4:5">
      <c r="D923" s="519"/>
      <c r="E923" s="519"/>
    </row>
    <row r="924" spans="4:5">
      <c r="D924" s="519"/>
      <c r="E924" s="519"/>
    </row>
    <row r="925" spans="4:5">
      <c r="D925" s="519"/>
      <c r="E925" s="519"/>
    </row>
    <row r="926" spans="4:5">
      <c r="D926" s="519"/>
      <c r="E926" s="519"/>
    </row>
    <row r="927" spans="4:5">
      <c r="D927" s="519"/>
      <c r="E927" s="519"/>
    </row>
    <row r="928" spans="4:5">
      <c r="D928" s="519"/>
      <c r="E928" s="519"/>
    </row>
    <row r="929" spans="4:5">
      <c r="D929" s="519"/>
      <c r="E929" s="519"/>
    </row>
    <row r="930" spans="4:5">
      <c r="D930" s="519"/>
      <c r="E930" s="519"/>
    </row>
    <row r="931" spans="4:5">
      <c r="D931" s="519"/>
      <c r="E931" s="519"/>
    </row>
    <row r="932" spans="4:5">
      <c r="D932" s="519"/>
      <c r="E932" s="519"/>
    </row>
    <row r="933" spans="4:5">
      <c r="D933" s="519"/>
      <c r="E933" s="519"/>
    </row>
    <row r="934" spans="4:5">
      <c r="D934" s="519"/>
      <c r="E934" s="519"/>
    </row>
    <row r="935" spans="4:5">
      <c r="D935" s="519"/>
      <c r="E935" s="519"/>
    </row>
    <row r="936" spans="4:5">
      <c r="D936" s="519"/>
      <c r="E936" s="519"/>
    </row>
    <row r="937" spans="4:5">
      <c r="D937" s="519"/>
      <c r="E937" s="519"/>
    </row>
    <row r="938" spans="4:5">
      <c r="D938" s="519"/>
      <c r="E938" s="519"/>
    </row>
    <row r="939" spans="4:5">
      <c r="D939" s="519"/>
      <c r="E939" s="519"/>
    </row>
    <row r="940" spans="4:5">
      <c r="D940" s="519"/>
      <c r="E940" s="519"/>
    </row>
    <row r="941" spans="4:5">
      <c r="D941" s="519"/>
      <c r="E941" s="519"/>
    </row>
    <row r="942" spans="4:5">
      <c r="D942" s="519"/>
      <c r="E942" s="519"/>
    </row>
    <row r="943" spans="4:5">
      <c r="D943" s="519"/>
      <c r="E943" s="519"/>
    </row>
    <row r="944" spans="4:5">
      <c r="D944" s="519"/>
      <c r="E944" s="519"/>
    </row>
    <row r="945" spans="4:5">
      <c r="D945" s="519"/>
      <c r="E945" s="519"/>
    </row>
    <row r="946" spans="4:5">
      <c r="D946" s="519"/>
      <c r="E946" s="519"/>
    </row>
    <row r="947" spans="4:5">
      <c r="D947" s="519"/>
      <c r="E947" s="519"/>
    </row>
    <row r="948" spans="4:5">
      <c r="D948" s="519"/>
      <c r="E948" s="519"/>
    </row>
    <row r="949" spans="4:5">
      <c r="D949" s="519"/>
      <c r="E949" s="519"/>
    </row>
    <row r="950" spans="4:5">
      <c r="D950" s="519"/>
      <c r="E950" s="519"/>
    </row>
    <row r="951" spans="4:5">
      <c r="D951" s="519"/>
      <c r="E951" s="519"/>
    </row>
    <row r="952" spans="4:5">
      <c r="D952" s="519"/>
      <c r="E952" s="519"/>
    </row>
    <row r="953" spans="4:5">
      <c r="D953" s="519"/>
      <c r="E953" s="519"/>
    </row>
    <row r="954" spans="4:5">
      <c r="D954" s="519"/>
      <c r="E954" s="519"/>
    </row>
    <row r="955" spans="4:5">
      <c r="D955" s="519"/>
      <c r="E955" s="519"/>
    </row>
    <row r="956" spans="4:5">
      <c r="D956" s="519"/>
      <c r="E956" s="519"/>
    </row>
    <row r="957" spans="4:5">
      <c r="D957" s="519"/>
      <c r="E957" s="519"/>
    </row>
    <row r="958" spans="4:5">
      <c r="D958" s="519"/>
      <c r="E958" s="519"/>
    </row>
    <row r="959" spans="4:5">
      <c r="D959" s="519"/>
      <c r="E959" s="519"/>
    </row>
    <row r="960" spans="4:5">
      <c r="D960" s="519"/>
      <c r="E960" s="519"/>
    </row>
    <row r="961" spans="4:5">
      <c r="D961" s="519"/>
      <c r="E961" s="519"/>
    </row>
    <row r="962" spans="4:5">
      <c r="D962" s="519"/>
      <c r="E962" s="519"/>
    </row>
    <row r="963" spans="4:5">
      <c r="D963" s="519"/>
      <c r="E963" s="519"/>
    </row>
    <row r="964" spans="4:5">
      <c r="D964" s="519"/>
      <c r="E964" s="519"/>
    </row>
    <row r="965" spans="4:5">
      <c r="D965" s="519"/>
      <c r="E965" s="519"/>
    </row>
    <row r="966" spans="4:5">
      <c r="D966" s="519"/>
      <c r="E966" s="519"/>
    </row>
    <row r="967" spans="4:5">
      <c r="D967" s="519"/>
      <c r="E967" s="519"/>
    </row>
    <row r="968" spans="4:5">
      <c r="D968" s="519"/>
      <c r="E968" s="519"/>
    </row>
    <row r="969" spans="4:5">
      <c r="D969" s="519"/>
      <c r="E969" s="519"/>
    </row>
    <row r="970" spans="4:5">
      <c r="D970" s="519"/>
      <c r="E970" s="519"/>
    </row>
    <row r="971" spans="4:5">
      <c r="D971" s="519"/>
      <c r="E971" s="519"/>
    </row>
    <row r="972" spans="4:5">
      <c r="D972" s="519"/>
      <c r="E972" s="519"/>
    </row>
    <row r="973" spans="4:5">
      <c r="D973" s="519"/>
      <c r="E973" s="519"/>
    </row>
    <row r="974" spans="4:5">
      <c r="D974" s="519"/>
      <c r="E974" s="519"/>
    </row>
    <row r="975" spans="4:5">
      <c r="D975" s="519"/>
      <c r="E975" s="519"/>
    </row>
    <row r="976" spans="4:5">
      <c r="D976" s="519"/>
      <c r="E976" s="519"/>
    </row>
    <row r="977" spans="4:5">
      <c r="D977" s="519"/>
      <c r="E977" s="519"/>
    </row>
    <row r="978" spans="4:5">
      <c r="D978" s="519"/>
      <c r="E978" s="519"/>
    </row>
    <row r="979" spans="4:5">
      <c r="D979" s="519"/>
      <c r="E979" s="519"/>
    </row>
    <row r="980" spans="4:5">
      <c r="D980" s="519"/>
      <c r="E980" s="519"/>
    </row>
    <row r="981" spans="4:5">
      <c r="D981" s="519"/>
      <c r="E981" s="519"/>
    </row>
    <row r="982" spans="4:5">
      <c r="D982" s="519"/>
      <c r="E982" s="519"/>
    </row>
    <row r="983" spans="4:5">
      <c r="D983" s="519"/>
      <c r="E983" s="519"/>
    </row>
    <row r="984" spans="4:5">
      <c r="D984" s="519"/>
      <c r="E984" s="519"/>
    </row>
    <row r="985" spans="4:5">
      <c r="D985" s="519"/>
      <c r="E985" s="519"/>
    </row>
    <row r="986" spans="4:5">
      <c r="D986" s="519"/>
      <c r="E986" s="519"/>
    </row>
    <row r="987" spans="4:5">
      <c r="D987" s="519"/>
      <c r="E987" s="519"/>
    </row>
    <row r="988" spans="4:5">
      <c r="D988" s="519"/>
      <c r="E988" s="519"/>
    </row>
    <row r="989" spans="4:5">
      <c r="D989" s="519"/>
      <c r="E989" s="519"/>
    </row>
    <row r="990" spans="4:5">
      <c r="D990" s="519"/>
      <c r="E990" s="519"/>
    </row>
    <row r="991" spans="4:5">
      <c r="D991" s="519"/>
      <c r="E991" s="519"/>
    </row>
    <row r="992" spans="4:5">
      <c r="D992" s="519"/>
      <c r="E992" s="519"/>
    </row>
    <row r="993" spans="4:5">
      <c r="D993" s="519"/>
      <c r="E993" s="519"/>
    </row>
    <row r="994" spans="4:5">
      <c r="D994" s="519"/>
      <c r="E994" s="519"/>
    </row>
    <row r="995" spans="4:5">
      <c r="D995" s="519"/>
      <c r="E995" s="519"/>
    </row>
    <row r="996" spans="4:5">
      <c r="D996" s="519"/>
      <c r="E996" s="519"/>
    </row>
    <row r="997" spans="4:5">
      <c r="D997" s="519"/>
      <c r="E997" s="519"/>
    </row>
    <row r="998" spans="4:5">
      <c r="D998" s="519"/>
      <c r="E998" s="519"/>
    </row>
    <row r="999" spans="4:5">
      <c r="D999" s="519"/>
      <c r="E999" s="519"/>
    </row>
    <row r="1000" spans="4:5">
      <c r="D1000" s="519"/>
      <c r="E1000" s="519"/>
    </row>
    <row r="1001" spans="4:5">
      <c r="D1001" s="519"/>
      <c r="E1001" s="519"/>
    </row>
    <row r="1002" spans="4:5">
      <c r="D1002" s="519"/>
      <c r="E1002" s="519"/>
    </row>
    <row r="1003" spans="4:5">
      <c r="D1003" s="519"/>
      <c r="E1003" s="519"/>
    </row>
    <row r="1004" spans="4:5">
      <c r="D1004" s="519"/>
      <c r="E1004" s="519"/>
    </row>
    <row r="1005" spans="4:5">
      <c r="D1005" s="519"/>
      <c r="E1005" s="519"/>
    </row>
    <row r="1006" spans="4:5">
      <c r="D1006" s="519"/>
      <c r="E1006" s="519"/>
    </row>
    <row r="1007" spans="4:5">
      <c r="D1007" s="519"/>
      <c r="E1007" s="519"/>
    </row>
    <row r="1008" spans="4:5">
      <c r="D1008" s="519"/>
      <c r="E1008" s="519"/>
    </row>
    <row r="1009" spans="4:5">
      <c r="D1009" s="519"/>
      <c r="E1009" s="519"/>
    </row>
    <row r="1010" spans="4:5">
      <c r="D1010" s="519"/>
      <c r="E1010" s="519"/>
    </row>
    <row r="1011" spans="4:5">
      <c r="D1011" s="519"/>
      <c r="E1011" s="519"/>
    </row>
    <row r="1012" spans="4:5">
      <c r="D1012" s="519"/>
      <c r="E1012" s="519"/>
    </row>
    <row r="1013" spans="4:5">
      <c r="D1013" s="519"/>
      <c r="E1013" s="519"/>
    </row>
    <row r="1014" spans="4:5">
      <c r="D1014" s="519"/>
      <c r="E1014" s="519"/>
    </row>
    <row r="1015" spans="4:5">
      <c r="D1015" s="519"/>
      <c r="E1015" s="519"/>
    </row>
    <row r="1016" spans="4:5">
      <c r="D1016" s="519"/>
      <c r="E1016" s="519"/>
    </row>
    <row r="1017" spans="4:5">
      <c r="D1017" s="519"/>
      <c r="E1017" s="519"/>
    </row>
    <row r="1018" spans="4:5">
      <c r="D1018" s="519"/>
      <c r="E1018" s="519"/>
    </row>
    <row r="1019" spans="4:5">
      <c r="D1019" s="519"/>
      <c r="E1019" s="519"/>
    </row>
    <row r="1020" spans="4:5">
      <c r="D1020" s="519"/>
      <c r="E1020" s="519"/>
    </row>
    <row r="1021" spans="4:5">
      <c r="D1021" s="519"/>
      <c r="E1021" s="519"/>
    </row>
    <row r="1022" spans="4:5">
      <c r="D1022" s="519"/>
      <c r="E1022" s="519"/>
    </row>
    <row r="1023" spans="4:5">
      <c r="D1023" s="519"/>
      <c r="E1023" s="519"/>
    </row>
    <row r="1024" spans="4:5">
      <c r="D1024" s="519"/>
      <c r="E1024" s="519"/>
    </row>
    <row r="1025" spans="4:5">
      <c r="D1025" s="519"/>
      <c r="E1025" s="519"/>
    </row>
    <row r="1026" spans="4:5">
      <c r="D1026" s="519"/>
      <c r="E1026" s="519"/>
    </row>
    <row r="1027" spans="4:5">
      <c r="D1027" s="519"/>
      <c r="E1027" s="519"/>
    </row>
    <row r="1028" spans="4:5">
      <c r="D1028" s="519"/>
      <c r="E1028" s="519"/>
    </row>
    <row r="1029" spans="4:5">
      <c r="D1029" s="519"/>
      <c r="E1029" s="519"/>
    </row>
    <row r="1030" spans="4:5">
      <c r="D1030" s="519"/>
      <c r="E1030" s="519"/>
    </row>
    <row r="1031" spans="4:5">
      <c r="D1031" s="519"/>
      <c r="E1031" s="519"/>
    </row>
    <row r="1032" spans="4:5">
      <c r="D1032" s="519"/>
      <c r="E1032" s="519"/>
    </row>
    <row r="1033" spans="4:5">
      <c r="D1033" s="519"/>
      <c r="E1033" s="519"/>
    </row>
    <row r="1034" spans="4:5">
      <c r="D1034" s="519"/>
      <c r="E1034" s="519"/>
    </row>
    <row r="1035" spans="4:5">
      <c r="D1035" s="519"/>
      <c r="E1035" s="519"/>
    </row>
    <row r="1036" spans="4:5">
      <c r="D1036" s="519"/>
      <c r="E1036" s="519"/>
    </row>
    <row r="1037" spans="4:5">
      <c r="D1037" s="519"/>
      <c r="E1037" s="519"/>
    </row>
    <row r="1038" spans="4:5">
      <c r="D1038" s="519"/>
      <c r="E1038" s="519"/>
    </row>
    <row r="1039" spans="4:5">
      <c r="D1039" s="519"/>
      <c r="E1039" s="519"/>
    </row>
    <row r="1040" spans="4:5">
      <c r="D1040" s="519"/>
      <c r="E1040" s="519"/>
    </row>
    <row r="1041" spans="4:5">
      <c r="D1041" s="519"/>
      <c r="E1041" s="519"/>
    </row>
    <row r="1042" spans="4:5">
      <c r="D1042" s="519"/>
      <c r="E1042" s="519"/>
    </row>
    <row r="1043" spans="4:5">
      <c r="D1043" s="519"/>
      <c r="E1043" s="519"/>
    </row>
    <row r="1044" spans="4:5">
      <c r="D1044" s="519"/>
      <c r="E1044" s="519"/>
    </row>
    <row r="1045" spans="4:5">
      <c r="D1045" s="519"/>
      <c r="E1045" s="519"/>
    </row>
    <row r="1046" spans="4:5">
      <c r="D1046" s="519"/>
      <c r="E1046" s="519"/>
    </row>
    <row r="1047" spans="4:5">
      <c r="D1047" s="519"/>
      <c r="E1047" s="519"/>
    </row>
    <row r="1048" spans="4:5">
      <c r="D1048" s="519"/>
      <c r="E1048" s="519"/>
    </row>
    <row r="1049" spans="4:5">
      <c r="D1049" s="519"/>
      <c r="E1049" s="519"/>
    </row>
    <row r="1050" spans="4:5">
      <c r="D1050" s="519"/>
      <c r="E1050" s="519"/>
    </row>
    <row r="1051" spans="4:5">
      <c r="D1051" s="519"/>
      <c r="E1051" s="519"/>
    </row>
    <row r="1052" spans="4:5">
      <c r="D1052" s="519"/>
      <c r="E1052" s="519"/>
    </row>
    <row r="1053" spans="4:5">
      <c r="D1053" s="519"/>
      <c r="E1053" s="519"/>
    </row>
    <row r="1054" spans="4:5">
      <c r="D1054" s="519"/>
      <c r="E1054" s="519"/>
    </row>
    <row r="1055" spans="4:5">
      <c r="D1055" s="519"/>
      <c r="E1055" s="519"/>
    </row>
    <row r="1056" spans="4:5">
      <c r="D1056" s="519"/>
      <c r="E1056" s="519"/>
    </row>
    <row r="1057" spans="4:5">
      <c r="D1057" s="519"/>
      <c r="E1057" s="519"/>
    </row>
    <row r="1058" spans="4:5">
      <c r="D1058" s="519"/>
      <c r="E1058" s="519"/>
    </row>
    <row r="1059" spans="4:5">
      <c r="D1059" s="519"/>
      <c r="E1059" s="519"/>
    </row>
    <row r="1060" spans="4:5">
      <c r="D1060" s="519"/>
      <c r="E1060" s="519"/>
    </row>
    <row r="1061" spans="4:5">
      <c r="D1061" s="519"/>
      <c r="E1061" s="519"/>
    </row>
    <row r="1062" spans="4:5">
      <c r="D1062" s="519"/>
      <c r="E1062" s="519"/>
    </row>
    <row r="1063" spans="4:5">
      <c r="D1063" s="519"/>
      <c r="E1063" s="519"/>
    </row>
    <row r="1064" spans="4:5">
      <c r="D1064" s="519"/>
      <c r="E1064" s="519"/>
    </row>
    <row r="1065" spans="4:5">
      <c r="D1065" s="519"/>
      <c r="E1065" s="519"/>
    </row>
    <row r="1066" spans="4:5">
      <c r="D1066" s="519"/>
      <c r="E1066" s="519"/>
    </row>
    <row r="1067" spans="4:5">
      <c r="D1067" s="519"/>
      <c r="E1067" s="519"/>
    </row>
    <row r="1068" spans="4:5">
      <c r="D1068" s="519"/>
      <c r="E1068" s="519"/>
    </row>
    <row r="1069" spans="4:5">
      <c r="D1069" s="519"/>
      <c r="E1069" s="519"/>
    </row>
    <row r="1070" spans="4:5">
      <c r="D1070" s="519"/>
      <c r="E1070" s="519"/>
    </row>
    <row r="1071" spans="4:5">
      <c r="D1071" s="519"/>
      <c r="E1071" s="519"/>
    </row>
    <row r="1072" spans="4:5">
      <c r="D1072" s="519"/>
      <c r="E1072" s="519"/>
    </row>
    <row r="1073" spans="4:5">
      <c r="D1073" s="519"/>
      <c r="E1073" s="519"/>
    </row>
    <row r="1074" spans="4:5">
      <c r="D1074" s="519"/>
      <c r="E1074" s="519"/>
    </row>
    <row r="1075" spans="4:5">
      <c r="D1075" s="519"/>
      <c r="E1075" s="519"/>
    </row>
    <row r="1076" spans="4:5">
      <c r="D1076" s="519"/>
      <c r="E1076" s="519"/>
    </row>
    <row r="1077" spans="4:5">
      <c r="D1077" s="519"/>
      <c r="E1077" s="519"/>
    </row>
    <row r="1078" spans="4:5">
      <c r="D1078" s="519"/>
      <c r="E1078" s="519"/>
    </row>
    <row r="1079" spans="4:5">
      <c r="D1079" s="519"/>
      <c r="E1079" s="519"/>
    </row>
    <row r="1080" spans="4:5">
      <c r="D1080" s="519"/>
      <c r="E1080" s="519"/>
    </row>
    <row r="1081" spans="4:5">
      <c r="D1081" s="519"/>
      <c r="E1081" s="519"/>
    </row>
    <row r="1082" spans="4:5">
      <c r="D1082" s="519"/>
      <c r="E1082" s="519"/>
    </row>
    <row r="1083" spans="4:5">
      <c r="D1083" s="519"/>
      <c r="E1083" s="519"/>
    </row>
    <row r="1084" spans="4:5">
      <c r="D1084" s="519"/>
      <c r="E1084" s="519"/>
    </row>
    <row r="1085" spans="4:5">
      <c r="D1085" s="519"/>
      <c r="E1085" s="519"/>
    </row>
    <row r="1086" spans="4:5">
      <c r="D1086" s="519"/>
      <c r="E1086" s="519"/>
    </row>
    <row r="1087" spans="4:5">
      <c r="D1087" s="519"/>
      <c r="E1087" s="519"/>
    </row>
    <row r="1088" spans="4:5">
      <c r="D1088" s="519"/>
      <c r="E1088" s="519"/>
    </row>
    <row r="1089" spans="4:5">
      <c r="D1089" s="519"/>
      <c r="E1089" s="519"/>
    </row>
    <row r="1090" spans="4:5">
      <c r="D1090" s="519"/>
      <c r="E1090" s="519"/>
    </row>
    <row r="1091" spans="4:5">
      <c r="D1091" s="519"/>
      <c r="E1091" s="519"/>
    </row>
    <row r="1092" spans="4:5">
      <c r="D1092" s="519"/>
      <c r="E1092" s="519"/>
    </row>
    <row r="1093" spans="4:5">
      <c r="D1093" s="519"/>
      <c r="E1093" s="519"/>
    </row>
    <row r="1094" spans="4:5">
      <c r="D1094" s="519"/>
      <c r="E1094" s="519"/>
    </row>
    <row r="1095" spans="4:5">
      <c r="D1095" s="519"/>
      <c r="E1095" s="519"/>
    </row>
    <row r="1096" spans="4:5">
      <c r="D1096" s="519"/>
      <c r="E1096" s="519"/>
    </row>
    <row r="1097" spans="4:5">
      <c r="D1097" s="519"/>
      <c r="E1097" s="519"/>
    </row>
    <row r="1098" spans="4:5">
      <c r="D1098" s="519"/>
      <c r="E1098" s="519"/>
    </row>
    <row r="1099" spans="4:5">
      <c r="D1099" s="519"/>
      <c r="E1099" s="519"/>
    </row>
    <row r="1100" spans="4:5">
      <c r="D1100" s="519"/>
      <c r="E1100" s="519"/>
    </row>
    <row r="1101" spans="4:5">
      <c r="D1101" s="519"/>
      <c r="E1101" s="519"/>
    </row>
    <row r="1102" spans="4:5">
      <c r="D1102" s="519"/>
      <c r="E1102" s="519"/>
    </row>
    <row r="1103" spans="4:5">
      <c r="D1103" s="519"/>
      <c r="E1103" s="519"/>
    </row>
    <row r="1104" spans="4:5">
      <c r="D1104" s="519"/>
      <c r="E1104" s="519"/>
    </row>
    <row r="1105" spans="4:5">
      <c r="D1105" s="519"/>
      <c r="E1105" s="519"/>
    </row>
    <row r="1106" spans="4:5">
      <c r="D1106" s="519"/>
      <c r="E1106" s="519"/>
    </row>
    <row r="1107" spans="4:5">
      <c r="D1107" s="519"/>
      <c r="E1107" s="519"/>
    </row>
    <row r="1108" spans="4:5">
      <c r="D1108" s="519"/>
      <c r="E1108" s="519"/>
    </row>
    <row r="1109" spans="4:5">
      <c r="D1109" s="519"/>
      <c r="E1109" s="519"/>
    </row>
    <row r="1110" spans="4:5">
      <c r="D1110" s="519"/>
      <c r="E1110" s="519"/>
    </row>
    <row r="1111" spans="4:5">
      <c r="D1111" s="519"/>
      <c r="E1111" s="519"/>
    </row>
    <row r="1112" spans="4:5">
      <c r="D1112" s="519"/>
      <c r="E1112" s="519"/>
    </row>
    <row r="1113" spans="4:5">
      <c r="D1113" s="519"/>
      <c r="E1113" s="519"/>
    </row>
    <row r="1114" spans="4:5">
      <c r="D1114" s="519"/>
      <c r="E1114" s="519"/>
    </row>
    <row r="1115" spans="4:5">
      <c r="D1115" s="519"/>
      <c r="E1115" s="519"/>
    </row>
    <row r="1116" spans="4:5">
      <c r="D1116" s="519"/>
      <c r="E1116" s="519"/>
    </row>
    <row r="1117" spans="4:5">
      <c r="D1117" s="519"/>
      <c r="E1117" s="519"/>
    </row>
    <row r="1118" spans="4:5">
      <c r="D1118" s="519"/>
      <c r="E1118" s="519"/>
    </row>
    <row r="1119" spans="4:5">
      <c r="D1119" s="519"/>
      <c r="E1119" s="519"/>
    </row>
    <row r="1120" spans="4:5">
      <c r="D1120" s="519"/>
      <c r="E1120" s="519"/>
    </row>
    <row r="1121" spans="4:5">
      <c r="D1121" s="519"/>
      <c r="E1121" s="519"/>
    </row>
    <row r="1122" spans="4:5">
      <c r="D1122" s="519"/>
      <c r="E1122" s="519"/>
    </row>
    <row r="1123" spans="4:5">
      <c r="D1123" s="519"/>
      <c r="E1123" s="519"/>
    </row>
    <row r="1124" spans="4:5">
      <c r="D1124" s="519"/>
      <c r="E1124" s="519"/>
    </row>
    <row r="1125" spans="4:5">
      <c r="D1125" s="519"/>
      <c r="E1125" s="519"/>
    </row>
    <row r="1126" spans="4:5">
      <c r="D1126" s="519"/>
      <c r="E1126" s="519"/>
    </row>
    <row r="1127" spans="4:5">
      <c r="D1127" s="519"/>
      <c r="E1127" s="519"/>
    </row>
    <row r="1128" spans="4:5">
      <c r="D1128" s="519"/>
      <c r="E1128" s="519"/>
    </row>
    <row r="1129" spans="4:5">
      <c r="D1129" s="519"/>
      <c r="E1129" s="519"/>
    </row>
    <row r="1130" spans="4:5">
      <c r="D1130" s="519"/>
      <c r="E1130" s="519"/>
    </row>
    <row r="1131" spans="4:5">
      <c r="D1131" s="519"/>
      <c r="E1131" s="519"/>
    </row>
    <row r="1132" spans="4:5">
      <c r="D1132" s="519"/>
      <c r="E1132" s="519"/>
    </row>
    <row r="1133" spans="4:5">
      <c r="D1133" s="519"/>
      <c r="E1133" s="519"/>
    </row>
    <row r="1134" spans="4:5">
      <c r="D1134" s="519"/>
      <c r="E1134" s="519"/>
    </row>
    <row r="1135" spans="4:5">
      <c r="D1135" s="519"/>
      <c r="E1135" s="519"/>
    </row>
    <row r="1136" spans="4:5">
      <c r="D1136" s="519"/>
      <c r="E1136" s="519"/>
    </row>
    <row r="1137" spans="4:5">
      <c r="D1137" s="519"/>
      <c r="E1137" s="519"/>
    </row>
    <row r="1138" spans="4:5">
      <c r="D1138" s="519"/>
      <c r="E1138" s="519"/>
    </row>
    <row r="1139" spans="4:5">
      <c r="D1139" s="519"/>
      <c r="E1139" s="519"/>
    </row>
    <row r="1140" spans="4:5">
      <c r="D1140" s="519"/>
      <c r="E1140" s="519"/>
    </row>
    <row r="1141" spans="4:5">
      <c r="D1141" s="519"/>
      <c r="E1141" s="519"/>
    </row>
    <row r="1142" spans="4:5">
      <c r="D1142" s="519"/>
      <c r="E1142" s="519"/>
    </row>
    <row r="1143" spans="4:5">
      <c r="D1143" s="519"/>
      <c r="E1143" s="519"/>
    </row>
    <row r="1144" spans="4:5">
      <c r="D1144" s="519"/>
      <c r="E1144" s="519"/>
    </row>
    <row r="1145" spans="4:5">
      <c r="D1145" s="519"/>
      <c r="E1145" s="519"/>
    </row>
    <row r="1146" spans="4:5">
      <c r="D1146" s="519"/>
      <c r="E1146" s="519"/>
    </row>
    <row r="1147" spans="4:5">
      <c r="D1147" s="519"/>
      <c r="E1147" s="519"/>
    </row>
    <row r="1148" spans="4:5">
      <c r="D1148" s="519"/>
      <c r="E1148" s="519"/>
    </row>
    <row r="1149" spans="4:5">
      <c r="D1149" s="519"/>
      <c r="E1149" s="519"/>
    </row>
    <row r="1150" spans="4:5">
      <c r="D1150" s="519"/>
      <c r="E1150" s="519"/>
    </row>
    <row r="1151" spans="4:5">
      <c r="D1151" s="519"/>
      <c r="E1151" s="519"/>
    </row>
    <row r="1152" spans="4:5">
      <c r="D1152" s="519"/>
      <c r="E1152" s="519"/>
    </row>
    <row r="1153" spans="4:5">
      <c r="D1153" s="519"/>
      <c r="E1153" s="519"/>
    </row>
    <row r="1154" spans="4:5">
      <c r="D1154" s="519"/>
      <c r="E1154" s="519"/>
    </row>
    <row r="1155" spans="4:5">
      <c r="D1155" s="519"/>
      <c r="E1155" s="519"/>
    </row>
    <row r="1156" spans="4:5">
      <c r="D1156" s="519"/>
      <c r="E1156" s="519"/>
    </row>
    <row r="1157" spans="4:5">
      <c r="D1157" s="519"/>
      <c r="E1157" s="519"/>
    </row>
    <row r="1158" spans="4:5">
      <c r="D1158" s="519"/>
      <c r="E1158" s="519"/>
    </row>
    <row r="1159" spans="4:5">
      <c r="D1159" s="519"/>
      <c r="E1159" s="519"/>
    </row>
    <row r="1160" spans="4:5">
      <c r="D1160" s="519"/>
      <c r="E1160" s="519"/>
    </row>
    <row r="1161" spans="4:5">
      <c r="D1161" s="519"/>
      <c r="E1161" s="519"/>
    </row>
    <row r="1162" spans="4:5">
      <c r="D1162" s="519"/>
      <c r="E1162" s="519"/>
    </row>
    <row r="1163" spans="4:5">
      <c r="D1163" s="519"/>
      <c r="E1163" s="519"/>
    </row>
    <row r="1164" spans="4:5">
      <c r="D1164" s="519"/>
      <c r="E1164" s="519"/>
    </row>
    <row r="1165" spans="4:5">
      <c r="D1165" s="519"/>
      <c r="E1165" s="519"/>
    </row>
    <row r="1166" spans="4:5">
      <c r="D1166" s="519"/>
      <c r="E1166" s="519"/>
    </row>
    <row r="1167" spans="4:5">
      <c r="D1167" s="519"/>
      <c r="E1167" s="519"/>
    </row>
    <row r="1168" spans="4:5">
      <c r="D1168" s="519"/>
      <c r="E1168" s="519"/>
    </row>
    <row r="1169" spans="4:5">
      <c r="D1169" s="519"/>
      <c r="E1169" s="519"/>
    </row>
    <row r="1170" spans="4:5">
      <c r="D1170" s="519"/>
      <c r="E1170" s="519"/>
    </row>
    <row r="1171" spans="4:5">
      <c r="D1171" s="519"/>
      <c r="E1171" s="519"/>
    </row>
    <row r="1172" spans="4:5">
      <c r="D1172" s="519"/>
      <c r="E1172" s="519"/>
    </row>
    <row r="1173" spans="4:5">
      <c r="D1173" s="519"/>
      <c r="E1173" s="519"/>
    </row>
    <row r="1174" spans="4:5">
      <c r="D1174" s="519"/>
      <c r="E1174" s="519"/>
    </row>
    <row r="1175" spans="4:5">
      <c r="D1175" s="519"/>
      <c r="E1175" s="519"/>
    </row>
    <row r="1176" spans="4:5">
      <c r="D1176" s="519"/>
      <c r="E1176" s="519"/>
    </row>
    <row r="1177" spans="4:5">
      <c r="D1177" s="519"/>
      <c r="E1177" s="519"/>
    </row>
    <row r="1178" spans="4:5">
      <c r="D1178" s="519"/>
      <c r="E1178" s="519"/>
    </row>
    <row r="1179" spans="4:5">
      <c r="D1179" s="519"/>
      <c r="E1179" s="519"/>
    </row>
    <row r="1180" spans="4:5">
      <c r="D1180" s="519"/>
      <c r="E1180" s="519"/>
    </row>
    <row r="1181" spans="4:5">
      <c r="D1181" s="519"/>
      <c r="E1181" s="519"/>
    </row>
    <row r="1182" spans="4:5">
      <c r="D1182" s="519"/>
      <c r="E1182" s="519"/>
    </row>
    <row r="1183" spans="4:5">
      <c r="D1183" s="519"/>
      <c r="E1183" s="519"/>
    </row>
    <row r="1184" spans="4:5">
      <c r="D1184" s="519"/>
      <c r="E1184" s="519"/>
    </row>
    <row r="1185" spans="4:5">
      <c r="D1185" s="519"/>
      <c r="E1185" s="519"/>
    </row>
    <row r="1186" spans="4:5">
      <c r="D1186" s="519"/>
      <c r="E1186" s="519"/>
    </row>
    <row r="1187" spans="4:5">
      <c r="D1187" s="519"/>
      <c r="E1187" s="519"/>
    </row>
    <row r="1188" spans="4:5">
      <c r="D1188" s="519"/>
      <c r="E1188" s="519"/>
    </row>
    <row r="1189" spans="4:5">
      <c r="D1189" s="519"/>
      <c r="E1189" s="519"/>
    </row>
    <row r="1190" spans="4:5">
      <c r="D1190" s="519"/>
      <c r="E1190" s="519"/>
    </row>
    <row r="1191" spans="4:5">
      <c r="D1191" s="519"/>
      <c r="E1191" s="519"/>
    </row>
    <row r="1192" spans="4:5">
      <c r="D1192" s="519"/>
      <c r="E1192" s="519"/>
    </row>
    <row r="1193" spans="4:5">
      <c r="D1193" s="519"/>
      <c r="E1193" s="519"/>
    </row>
    <row r="1194" spans="4:5">
      <c r="D1194" s="519"/>
      <c r="E1194" s="519"/>
    </row>
    <row r="1195" spans="4:5">
      <c r="D1195" s="519"/>
      <c r="E1195" s="519"/>
    </row>
    <row r="1196" spans="4:5">
      <c r="D1196" s="519"/>
      <c r="E1196" s="519"/>
    </row>
    <row r="1197" spans="4:5">
      <c r="D1197" s="519"/>
      <c r="E1197" s="519"/>
    </row>
    <row r="1198" spans="4:5">
      <c r="D1198" s="519"/>
      <c r="E1198" s="519"/>
    </row>
    <row r="1199" spans="4:5">
      <c r="D1199" s="519"/>
      <c r="E1199" s="519"/>
    </row>
    <row r="1200" spans="4:5">
      <c r="D1200" s="519"/>
      <c r="E1200" s="519"/>
    </row>
    <row r="1201" spans="4:5">
      <c r="D1201" s="519"/>
      <c r="E1201" s="519"/>
    </row>
    <row r="1202" spans="4:5">
      <c r="D1202" s="519"/>
      <c r="E1202" s="519"/>
    </row>
    <row r="1203" spans="4:5">
      <c r="D1203" s="519"/>
      <c r="E1203" s="519"/>
    </row>
    <row r="1204" spans="4:5">
      <c r="D1204" s="519"/>
      <c r="E1204" s="519"/>
    </row>
    <row r="1205" spans="4:5">
      <c r="D1205" s="519"/>
      <c r="E1205" s="519"/>
    </row>
    <row r="1206" spans="4:5">
      <c r="D1206" s="519"/>
      <c r="E1206" s="519"/>
    </row>
    <row r="1207" spans="4:5">
      <c r="D1207" s="519"/>
      <c r="E1207" s="519"/>
    </row>
    <row r="1208" spans="4:5">
      <c r="D1208" s="519"/>
      <c r="E1208" s="519"/>
    </row>
    <row r="1209" spans="4:5">
      <c r="D1209" s="519"/>
      <c r="E1209" s="519"/>
    </row>
    <row r="1210" spans="4:5">
      <c r="D1210" s="519"/>
      <c r="E1210" s="519"/>
    </row>
    <row r="1211" spans="4:5">
      <c r="D1211" s="519"/>
      <c r="E1211" s="519"/>
    </row>
    <row r="1212" spans="4:5">
      <c r="D1212" s="519"/>
      <c r="E1212" s="519"/>
    </row>
    <row r="1213" spans="4:5">
      <c r="D1213" s="519"/>
      <c r="E1213" s="519"/>
    </row>
    <row r="1214" spans="4:5">
      <c r="D1214" s="519"/>
      <c r="E1214" s="519"/>
    </row>
    <row r="1215" spans="4:5">
      <c r="D1215" s="519"/>
      <c r="E1215" s="519"/>
    </row>
    <row r="1216" spans="4:5">
      <c r="D1216" s="519"/>
      <c r="E1216" s="519"/>
    </row>
    <row r="1217" spans="4:5">
      <c r="D1217" s="519"/>
      <c r="E1217" s="519"/>
    </row>
    <row r="1218" spans="4:5">
      <c r="D1218" s="519"/>
      <c r="E1218" s="519"/>
    </row>
    <row r="1219" spans="4:5">
      <c r="D1219" s="519"/>
      <c r="E1219" s="519"/>
    </row>
    <row r="1220" spans="4:5">
      <c r="D1220" s="519"/>
      <c r="E1220" s="519"/>
    </row>
    <row r="1221" spans="4:5">
      <c r="D1221" s="519"/>
      <c r="E1221" s="519"/>
    </row>
    <row r="1222" spans="4:5">
      <c r="D1222" s="519"/>
      <c r="E1222" s="519"/>
    </row>
    <row r="1223" spans="4:5">
      <c r="D1223" s="519"/>
      <c r="E1223" s="519"/>
    </row>
    <row r="1224" spans="4:5">
      <c r="D1224" s="519"/>
      <c r="E1224" s="519"/>
    </row>
    <row r="1225" spans="4:5">
      <c r="D1225" s="519"/>
      <c r="E1225" s="519"/>
    </row>
    <row r="1226" spans="4:5">
      <c r="D1226" s="519"/>
      <c r="E1226" s="519"/>
    </row>
    <row r="1227" spans="4:5">
      <c r="D1227" s="519"/>
      <c r="E1227" s="519"/>
    </row>
    <row r="1228" spans="4:5">
      <c r="D1228" s="519"/>
      <c r="E1228" s="519"/>
    </row>
    <row r="1229" spans="4:5">
      <c r="D1229" s="519"/>
      <c r="E1229" s="519"/>
    </row>
    <row r="1230" spans="4:5">
      <c r="D1230" s="519"/>
      <c r="E1230" s="519"/>
    </row>
    <row r="1231" spans="4:5">
      <c r="D1231" s="519"/>
      <c r="E1231" s="519"/>
    </row>
    <row r="1232" spans="4:5">
      <c r="D1232" s="519"/>
      <c r="E1232" s="519"/>
    </row>
    <row r="1233" spans="4:5">
      <c r="D1233" s="519"/>
      <c r="E1233" s="519"/>
    </row>
    <row r="1234" spans="4:5">
      <c r="D1234" s="519"/>
      <c r="E1234" s="519"/>
    </row>
    <row r="1235" spans="4:5">
      <c r="D1235" s="519"/>
      <c r="E1235" s="519"/>
    </row>
    <row r="1236" spans="4:5">
      <c r="D1236" s="519"/>
      <c r="E1236" s="519"/>
    </row>
    <row r="1237" spans="4:5">
      <c r="D1237" s="519"/>
      <c r="E1237" s="519"/>
    </row>
    <row r="1238" spans="4:5">
      <c r="D1238" s="519"/>
      <c r="E1238" s="519"/>
    </row>
    <row r="1239" spans="4:5">
      <c r="D1239" s="519"/>
      <c r="E1239" s="519"/>
    </row>
    <row r="1240" spans="4:5">
      <c r="D1240" s="519"/>
      <c r="E1240" s="519"/>
    </row>
    <row r="1241" spans="4:5">
      <c r="D1241" s="519"/>
      <c r="E1241" s="519"/>
    </row>
    <row r="1242" spans="4:5">
      <c r="D1242" s="519"/>
      <c r="E1242" s="519"/>
    </row>
    <row r="1243" spans="4:5">
      <c r="D1243" s="519"/>
      <c r="E1243" s="519"/>
    </row>
    <row r="1244" spans="4:5">
      <c r="D1244" s="519"/>
      <c r="E1244" s="519"/>
    </row>
    <row r="1245" spans="4:5">
      <c r="D1245" s="519"/>
      <c r="E1245" s="519"/>
    </row>
    <row r="1246" spans="4:5">
      <c r="D1246" s="519"/>
      <c r="E1246" s="519"/>
    </row>
    <row r="1247" spans="4:5">
      <c r="D1247" s="519"/>
      <c r="E1247" s="519"/>
    </row>
    <row r="1248" spans="4:5">
      <c r="D1248" s="519"/>
      <c r="E1248" s="519"/>
    </row>
    <row r="1249" spans="4:5">
      <c r="D1249" s="519"/>
      <c r="E1249" s="519"/>
    </row>
    <row r="1250" spans="4:5">
      <c r="D1250" s="519"/>
      <c r="E1250" s="519"/>
    </row>
    <row r="1251" spans="4:5">
      <c r="D1251" s="519"/>
      <c r="E1251" s="519"/>
    </row>
    <row r="1252" spans="4:5">
      <c r="D1252" s="519"/>
      <c r="E1252" s="519"/>
    </row>
    <row r="1253" spans="4:5">
      <c r="D1253" s="519"/>
      <c r="E1253" s="519"/>
    </row>
    <row r="1254" spans="4:5">
      <c r="D1254" s="519"/>
      <c r="E1254" s="519"/>
    </row>
    <row r="1255" spans="4:5">
      <c r="D1255" s="519"/>
      <c r="E1255" s="519"/>
    </row>
    <row r="1256" spans="4:5">
      <c r="D1256" s="519"/>
      <c r="E1256" s="519"/>
    </row>
    <row r="1257" spans="4:5">
      <c r="D1257" s="519"/>
      <c r="E1257" s="519"/>
    </row>
    <row r="1258" spans="4:5">
      <c r="D1258" s="519"/>
      <c r="E1258" s="519"/>
    </row>
    <row r="1259" spans="4:5">
      <c r="D1259" s="519"/>
      <c r="E1259" s="519"/>
    </row>
    <row r="1260" spans="4:5">
      <c r="D1260" s="519"/>
      <c r="E1260" s="519"/>
    </row>
    <row r="1261" spans="4:5">
      <c r="D1261" s="519"/>
      <c r="E1261" s="519"/>
    </row>
    <row r="1262" spans="4:5">
      <c r="D1262" s="519"/>
      <c r="E1262" s="519"/>
    </row>
    <row r="1263" spans="4:5">
      <c r="D1263" s="519"/>
      <c r="E1263" s="519"/>
    </row>
    <row r="1264" spans="4:5">
      <c r="D1264" s="519"/>
      <c r="E1264" s="519"/>
    </row>
    <row r="1265" spans="4:5">
      <c r="D1265" s="519"/>
      <c r="E1265" s="519"/>
    </row>
    <row r="1266" spans="4:5">
      <c r="D1266" s="519"/>
      <c r="E1266" s="519"/>
    </row>
    <row r="1267" spans="4:5">
      <c r="D1267" s="519"/>
      <c r="E1267" s="519"/>
    </row>
    <row r="1268" spans="4:5">
      <c r="D1268" s="519"/>
      <c r="E1268" s="519"/>
    </row>
    <row r="1269" spans="4:5">
      <c r="D1269" s="519"/>
      <c r="E1269" s="519"/>
    </row>
    <row r="1270" spans="4:5">
      <c r="D1270" s="519"/>
      <c r="E1270" s="519"/>
    </row>
    <row r="1271" spans="4:5">
      <c r="D1271" s="519"/>
      <c r="E1271" s="519"/>
    </row>
    <row r="1272" spans="4:5">
      <c r="D1272" s="519"/>
      <c r="E1272" s="519"/>
    </row>
    <row r="1273" spans="4:5">
      <c r="D1273" s="519"/>
      <c r="E1273" s="519"/>
    </row>
    <row r="1274" spans="4:5">
      <c r="D1274" s="519"/>
      <c r="E1274" s="519"/>
    </row>
    <row r="1275" spans="4:5">
      <c r="D1275" s="519"/>
      <c r="E1275" s="519"/>
    </row>
    <row r="1276" spans="4:5">
      <c r="D1276" s="519"/>
      <c r="E1276" s="519"/>
    </row>
    <row r="1277" spans="4:5">
      <c r="D1277" s="519"/>
      <c r="E1277" s="519"/>
    </row>
    <row r="1278" spans="4:5">
      <c r="D1278" s="519"/>
      <c r="E1278" s="519"/>
    </row>
    <row r="1279" spans="4:5">
      <c r="D1279" s="519"/>
      <c r="E1279" s="519"/>
    </row>
    <row r="1280" spans="4:5">
      <c r="D1280" s="519"/>
      <c r="E1280" s="519"/>
    </row>
    <row r="1281" spans="4:5">
      <c r="D1281" s="519"/>
      <c r="E1281" s="519"/>
    </row>
    <row r="1282" spans="4:5">
      <c r="D1282" s="519"/>
      <c r="E1282" s="519"/>
    </row>
    <row r="1283" spans="4:5">
      <c r="D1283" s="519"/>
      <c r="E1283" s="519"/>
    </row>
    <row r="1284" spans="4:5">
      <c r="D1284" s="519"/>
      <c r="E1284" s="519"/>
    </row>
    <row r="1285" spans="4:5">
      <c r="D1285" s="519"/>
      <c r="E1285" s="519"/>
    </row>
    <row r="1286" spans="4:5">
      <c r="D1286" s="519"/>
      <c r="E1286" s="519"/>
    </row>
    <row r="1287" spans="4:5">
      <c r="D1287" s="519"/>
      <c r="E1287" s="519"/>
    </row>
    <row r="1288" spans="4:5">
      <c r="D1288" s="519"/>
      <c r="E1288" s="519"/>
    </row>
    <row r="1289" spans="4:5">
      <c r="D1289" s="519"/>
      <c r="E1289" s="519"/>
    </row>
    <row r="1290" spans="4:5">
      <c r="D1290" s="519"/>
      <c r="E1290" s="519"/>
    </row>
    <row r="1291" spans="4:5">
      <c r="D1291" s="519"/>
      <c r="E1291" s="519"/>
    </row>
    <row r="1292" spans="4:5">
      <c r="D1292" s="519"/>
      <c r="E1292" s="519"/>
    </row>
    <row r="1293" spans="4:5">
      <c r="D1293" s="519"/>
      <c r="E1293" s="519"/>
    </row>
    <row r="1294" spans="4:5">
      <c r="D1294" s="519"/>
      <c r="E1294" s="519"/>
    </row>
    <row r="1295" spans="4:5">
      <c r="D1295" s="519"/>
      <c r="E1295" s="519"/>
    </row>
    <row r="1296" spans="4:5">
      <c r="D1296" s="519"/>
      <c r="E1296" s="519"/>
    </row>
    <row r="1297" spans="4:5">
      <c r="D1297" s="519"/>
      <c r="E1297" s="519"/>
    </row>
    <row r="1298" spans="4:5">
      <c r="D1298" s="519"/>
      <c r="E1298" s="519"/>
    </row>
    <row r="1299" spans="4:5">
      <c r="D1299" s="519"/>
      <c r="E1299" s="519"/>
    </row>
    <row r="1300" spans="4:5">
      <c r="D1300" s="519"/>
      <c r="E1300" s="519"/>
    </row>
    <row r="1301" spans="4:5">
      <c r="D1301" s="519"/>
      <c r="E1301" s="519"/>
    </row>
    <row r="1302" spans="4:5">
      <c r="D1302" s="519"/>
      <c r="E1302" s="519"/>
    </row>
    <row r="1303" spans="4:5">
      <c r="D1303" s="519"/>
      <c r="E1303" s="519"/>
    </row>
    <row r="1304" spans="4:5">
      <c r="D1304" s="519"/>
      <c r="E1304" s="519"/>
    </row>
    <row r="1305" spans="4:5">
      <c r="D1305" s="519"/>
      <c r="E1305" s="519"/>
    </row>
    <row r="1306" spans="4:5">
      <c r="D1306" s="519"/>
      <c r="E1306" s="519"/>
    </row>
    <row r="1307" spans="4:5">
      <c r="D1307" s="519"/>
      <c r="E1307" s="519"/>
    </row>
    <row r="1308" spans="4:5">
      <c r="D1308" s="519"/>
      <c r="E1308" s="519"/>
    </row>
    <row r="1309" spans="4:5">
      <c r="D1309" s="519"/>
      <c r="E1309" s="519"/>
    </row>
    <row r="1310" spans="4:5">
      <c r="D1310" s="519"/>
      <c r="E1310" s="519"/>
    </row>
    <row r="1311" spans="4:5">
      <c r="D1311" s="519"/>
      <c r="E1311" s="519"/>
    </row>
    <row r="1312" spans="4:5">
      <c r="D1312" s="519"/>
      <c r="E1312" s="519"/>
    </row>
    <row r="1313" spans="4:5">
      <c r="D1313" s="519"/>
      <c r="E1313" s="519"/>
    </row>
    <row r="1314" spans="4:5">
      <c r="D1314" s="519"/>
      <c r="E1314" s="519"/>
    </row>
    <row r="1315" spans="4:5">
      <c r="D1315" s="519"/>
      <c r="E1315" s="519"/>
    </row>
    <row r="1316" spans="4:5">
      <c r="D1316" s="519"/>
      <c r="E1316" s="519"/>
    </row>
    <row r="1317" spans="4:5">
      <c r="D1317" s="519"/>
      <c r="E1317" s="519"/>
    </row>
    <row r="1318" spans="4:5">
      <c r="D1318" s="519"/>
      <c r="E1318" s="519"/>
    </row>
    <row r="1319" spans="4:5">
      <c r="D1319" s="519"/>
      <c r="E1319" s="519"/>
    </row>
    <row r="1320" spans="4:5">
      <c r="D1320" s="519"/>
      <c r="E1320" s="519"/>
    </row>
    <row r="1321" spans="4:5">
      <c r="D1321" s="519"/>
      <c r="E1321" s="519"/>
    </row>
    <row r="1322" spans="4:5">
      <c r="D1322" s="519"/>
      <c r="E1322" s="519"/>
    </row>
    <row r="1323" spans="4:5">
      <c r="D1323" s="519"/>
      <c r="E1323" s="519"/>
    </row>
    <row r="1324" spans="4:5">
      <c r="D1324" s="519"/>
      <c r="E1324" s="519"/>
    </row>
    <row r="1325" spans="4:5">
      <c r="D1325" s="519"/>
      <c r="E1325" s="519"/>
    </row>
    <row r="1326" spans="4:5">
      <c r="D1326" s="519"/>
      <c r="E1326" s="519"/>
    </row>
    <row r="1327" spans="4:5">
      <c r="D1327" s="519"/>
      <c r="E1327" s="519"/>
    </row>
    <row r="1328" spans="4:5">
      <c r="D1328" s="519"/>
      <c r="E1328" s="519"/>
    </row>
    <row r="1329" spans="4:5">
      <c r="D1329" s="519"/>
      <c r="E1329" s="519"/>
    </row>
    <row r="1330" spans="4:5">
      <c r="D1330" s="519"/>
      <c r="E1330" s="519"/>
    </row>
    <row r="1331" spans="4:5">
      <c r="D1331" s="519"/>
      <c r="E1331" s="519"/>
    </row>
    <row r="1332" spans="4:5">
      <c r="D1332" s="519"/>
      <c r="E1332" s="519"/>
    </row>
    <row r="1333" spans="4:5">
      <c r="D1333" s="519"/>
      <c r="E1333" s="519"/>
    </row>
    <row r="1334" spans="4:5">
      <c r="D1334" s="519"/>
      <c r="E1334" s="519"/>
    </row>
    <row r="1335" spans="4:5">
      <c r="D1335" s="519"/>
      <c r="E1335" s="519"/>
    </row>
    <row r="1336" spans="4:5">
      <c r="D1336" s="519"/>
      <c r="E1336" s="519"/>
    </row>
    <row r="1337" spans="4:5">
      <c r="D1337" s="519"/>
      <c r="E1337" s="519"/>
    </row>
    <row r="1338" spans="4:5">
      <c r="D1338" s="519"/>
      <c r="E1338" s="519"/>
    </row>
    <row r="1339" spans="4:5">
      <c r="D1339" s="519"/>
      <c r="E1339" s="519"/>
    </row>
    <row r="1340" spans="4:5">
      <c r="D1340" s="519"/>
      <c r="E1340" s="519"/>
    </row>
    <row r="1341" spans="4:5">
      <c r="D1341" s="519"/>
      <c r="E1341" s="519"/>
    </row>
    <row r="1342" spans="4:5">
      <c r="D1342" s="519"/>
      <c r="E1342" s="519"/>
    </row>
    <row r="1343" spans="4:5">
      <c r="D1343" s="519"/>
      <c r="E1343" s="519"/>
    </row>
    <row r="1344" spans="4:5">
      <c r="D1344" s="519"/>
      <c r="E1344" s="519"/>
    </row>
    <row r="1345" spans="4:5">
      <c r="D1345" s="519"/>
      <c r="E1345" s="519"/>
    </row>
    <row r="1346" spans="4:5">
      <c r="D1346" s="519"/>
      <c r="E1346" s="519"/>
    </row>
    <row r="1347" spans="4:5">
      <c r="D1347" s="519"/>
      <c r="E1347" s="519"/>
    </row>
    <row r="1348" spans="4:5">
      <c r="D1348" s="519"/>
      <c r="E1348" s="519"/>
    </row>
    <row r="1349" spans="4:5">
      <c r="D1349" s="519"/>
      <c r="E1349" s="519"/>
    </row>
    <row r="1350" spans="4:5">
      <c r="D1350" s="519"/>
      <c r="E1350" s="519"/>
    </row>
    <row r="1351" spans="4:5">
      <c r="D1351" s="519"/>
      <c r="E1351" s="519"/>
    </row>
    <row r="1352" spans="4:5">
      <c r="D1352" s="519"/>
      <c r="E1352" s="519"/>
    </row>
    <row r="1353" spans="4:5">
      <c r="D1353" s="519"/>
      <c r="E1353" s="519"/>
    </row>
    <row r="1354" spans="4:5">
      <c r="D1354" s="519"/>
      <c r="E1354" s="519"/>
    </row>
    <row r="1355" spans="4:5">
      <c r="D1355" s="519"/>
      <c r="E1355" s="519"/>
    </row>
    <row r="1356" spans="4:5">
      <c r="D1356" s="519"/>
      <c r="E1356" s="519"/>
    </row>
    <row r="1357" spans="4:5">
      <c r="D1357" s="519"/>
      <c r="E1357" s="519"/>
    </row>
    <row r="1358" spans="4:5">
      <c r="D1358" s="519"/>
      <c r="E1358" s="519"/>
    </row>
    <row r="1359" spans="4:5">
      <c r="D1359" s="519"/>
      <c r="E1359" s="519"/>
    </row>
    <row r="1360" spans="4:5">
      <c r="D1360" s="519"/>
      <c r="E1360" s="519"/>
    </row>
    <row r="1361" spans="4:5">
      <c r="D1361" s="519"/>
      <c r="E1361" s="519"/>
    </row>
    <row r="1362" spans="4:5">
      <c r="D1362" s="519"/>
      <c r="E1362" s="519"/>
    </row>
    <row r="1363" spans="4:5">
      <c r="D1363" s="519"/>
      <c r="E1363" s="519"/>
    </row>
    <row r="1364" spans="4:5">
      <c r="D1364" s="519"/>
      <c r="E1364" s="519"/>
    </row>
    <row r="1365" spans="4:5">
      <c r="D1365" s="519"/>
      <c r="E1365" s="519"/>
    </row>
    <row r="1366" spans="4:5">
      <c r="D1366" s="519"/>
      <c r="E1366" s="519"/>
    </row>
    <row r="1367" spans="4:5">
      <c r="D1367" s="519"/>
      <c r="E1367" s="519"/>
    </row>
    <row r="1368" spans="4:5">
      <c r="D1368" s="519"/>
      <c r="E1368" s="519"/>
    </row>
    <row r="1369" spans="4:5">
      <c r="D1369" s="519"/>
      <c r="E1369" s="519"/>
    </row>
    <row r="1370" spans="4:5">
      <c r="D1370" s="519"/>
      <c r="E1370" s="519"/>
    </row>
    <row r="1371" spans="4:5">
      <c r="D1371" s="519"/>
      <c r="E1371" s="519"/>
    </row>
    <row r="1372" spans="4:5">
      <c r="D1372" s="519"/>
      <c r="E1372" s="519"/>
    </row>
    <row r="1373" spans="4:5">
      <c r="D1373" s="519"/>
      <c r="E1373" s="519"/>
    </row>
    <row r="1374" spans="4:5">
      <c r="D1374" s="519"/>
      <c r="E1374" s="519"/>
    </row>
    <row r="1375" spans="4:5">
      <c r="D1375" s="519"/>
      <c r="E1375" s="519"/>
    </row>
    <row r="1376" spans="4:5">
      <c r="D1376" s="519"/>
      <c r="E1376" s="519"/>
    </row>
    <row r="1377" spans="4:5">
      <c r="D1377" s="519"/>
      <c r="E1377" s="519"/>
    </row>
    <row r="1378" spans="4:5">
      <c r="D1378" s="519"/>
      <c r="E1378" s="519"/>
    </row>
    <row r="1379" spans="4:5">
      <c r="D1379" s="519"/>
      <c r="E1379" s="519"/>
    </row>
    <row r="1380" spans="4:5">
      <c r="D1380" s="519"/>
      <c r="E1380" s="519"/>
    </row>
    <row r="1381" spans="4:5">
      <c r="D1381" s="519"/>
      <c r="E1381" s="519"/>
    </row>
    <row r="1382" spans="4:5">
      <c r="D1382" s="519"/>
      <c r="E1382" s="519"/>
    </row>
    <row r="1383" spans="4:5">
      <c r="D1383" s="519"/>
      <c r="E1383" s="519"/>
    </row>
    <row r="1384" spans="4:5">
      <c r="D1384" s="519"/>
      <c r="E1384" s="519"/>
    </row>
    <row r="1385" spans="4:5">
      <c r="D1385" s="519"/>
      <c r="E1385" s="519"/>
    </row>
    <row r="1386" spans="4:5">
      <c r="D1386" s="519"/>
      <c r="E1386" s="519"/>
    </row>
    <row r="1387" spans="4:5">
      <c r="D1387" s="519"/>
      <c r="E1387" s="519"/>
    </row>
    <row r="1388" spans="4:5">
      <c r="D1388" s="519"/>
      <c r="E1388" s="519"/>
    </row>
    <row r="1389" spans="4:5">
      <c r="D1389" s="519"/>
      <c r="E1389" s="519"/>
    </row>
    <row r="1390" spans="4:5">
      <c r="D1390" s="519"/>
      <c r="E1390" s="519"/>
    </row>
    <row r="1391" spans="4:5">
      <c r="D1391" s="519"/>
      <c r="E1391" s="519"/>
    </row>
    <row r="1392" spans="4:5">
      <c r="D1392" s="519"/>
      <c r="E1392" s="519"/>
    </row>
    <row r="1393" spans="4:5">
      <c r="D1393" s="519"/>
      <c r="E1393" s="519"/>
    </row>
    <row r="1394" spans="4:5">
      <c r="D1394" s="519"/>
      <c r="E1394" s="519"/>
    </row>
    <row r="1395" spans="4:5">
      <c r="D1395" s="519"/>
      <c r="E1395" s="519"/>
    </row>
    <row r="1396" spans="4:5">
      <c r="D1396" s="519"/>
      <c r="E1396" s="519"/>
    </row>
    <row r="1397" spans="4:5">
      <c r="D1397" s="519"/>
      <c r="E1397" s="519"/>
    </row>
    <row r="1398" spans="4:5">
      <c r="D1398" s="519"/>
      <c r="E1398" s="519"/>
    </row>
    <row r="1399" spans="4:5">
      <c r="D1399" s="519"/>
      <c r="E1399" s="519"/>
    </row>
    <row r="1400" spans="4:5">
      <c r="D1400" s="519"/>
      <c r="E1400" s="519"/>
    </row>
    <row r="1401" spans="4:5">
      <c r="D1401" s="519"/>
      <c r="E1401" s="519"/>
    </row>
    <row r="1402" spans="4:5">
      <c r="D1402" s="519"/>
      <c r="E1402" s="519"/>
    </row>
    <row r="1403" spans="4:5">
      <c r="D1403" s="519"/>
      <c r="E1403" s="519"/>
    </row>
    <row r="1404" spans="4:5">
      <c r="D1404" s="519"/>
      <c r="E1404" s="519"/>
    </row>
    <row r="1405" spans="4:5">
      <c r="D1405" s="519"/>
      <c r="E1405" s="519"/>
    </row>
    <row r="1406" spans="4:5">
      <c r="D1406" s="519"/>
      <c r="E1406" s="519"/>
    </row>
    <row r="1407" spans="4:5">
      <c r="D1407" s="519"/>
      <c r="E1407" s="519"/>
    </row>
    <row r="1408" spans="4:5">
      <c r="D1408" s="519"/>
      <c r="E1408" s="519"/>
    </row>
    <row r="1409" spans="4:5">
      <c r="D1409" s="519"/>
      <c r="E1409" s="519"/>
    </row>
    <row r="1410" spans="4:5">
      <c r="D1410" s="519"/>
      <c r="E1410" s="519"/>
    </row>
    <row r="1411" spans="4:5">
      <c r="D1411" s="519"/>
      <c r="E1411" s="519"/>
    </row>
    <row r="1412" spans="4:5">
      <c r="D1412" s="519"/>
      <c r="E1412" s="519"/>
    </row>
    <row r="1413" spans="4:5">
      <c r="D1413" s="519"/>
      <c r="E1413" s="519"/>
    </row>
    <row r="1414" spans="4:5">
      <c r="D1414" s="519"/>
      <c r="E1414" s="519"/>
    </row>
    <row r="1415" spans="4:5">
      <c r="D1415" s="519"/>
      <c r="E1415" s="519"/>
    </row>
    <row r="1416" spans="4:5">
      <c r="D1416" s="519"/>
      <c r="E1416" s="519"/>
    </row>
    <row r="1417" spans="4:5">
      <c r="D1417" s="519"/>
      <c r="E1417" s="519"/>
    </row>
    <row r="1418" spans="4:5">
      <c r="D1418" s="519"/>
      <c r="E1418" s="519"/>
    </row>
    <row r="1419" spans="4:5">
      <c r="D1419" s="519"/>
      <c r="E1419" s="519"/>
    </row>
    <row r="1420" spans="4:5">
      <c r="D1420" s="519"/>
      <c r="E1420" s="519"/>
    </row>
    <row r="1421" spans="4:5">
      <c r="D1421" s="519"/>
      <c r="E1421" s="519"/>
    </row>
    <row r="1422" spans="4:5">
      <c r="D1422" s="519"/>
      <c r="E1422" s="519"/>
    </row>
    <row r="1423" spans="4:5">
      <c r="D1423" s="519"/>
      <c r="E1423" s="519"/>
    </row>
    <row r="1424" spans="4:5">
      <c r="D1424" s="519"/>
      <c r="E1424" s="519"/>
    </row>
    <row r="1425" spans="4:5">
      <c r="D1425" s="519"/>
      <c r="E1425" s="519"/>
    </row>
    <row r="1426" spans="4:5">
      <c r="D1426" s="519"/>
      <c r="E1426" s="519"/>
    </row>
    <row r="1427" spans="4:5">
      <c r="D1427" s="519"/>
      <c r="E1427" s="519"/>
    </row>
    <row r="1428" spans="4:5">
      <c r="D1428" s="519"/>
      <c r="E1428" s="519"/>
    </row>
    <row r="1429" spans="4:5">
      <c r="D1429" s="519"/>
      <c r="E1429" s="519"/>
    </row>
    <row r="1430" spans="4:5">
      <c r="D1430" s="519"/>
      <c r="E1430" s="519"/>
    </row>
    <row r="1431" spans="4:5">
      <c r="D1431" s="519"/>
      <c r="E1431" s="519"/>
    </row>
    <row r="1432" spans="4:5">
      <c r="D1432" s="519"/>
      <c r="E1432" s="519"/>
    </row>
    <row r="1433" spans="4:5">
      <c r="D1433" s="519"/>
      <c r="E1433" s="519"/>
    </row>
    <row r="1434" spans="4:5">
      <c r="D1434" s="519"/>
      <c r="E1434" s="519"/>
    </row>
    <row r="1435" spans="4:5">
      <c r="D1435" s="519"/>
      <c r="E1435" s="519"/>
    </row>
    <row r="1436" spans="4:5">
      <c r="D1436" s="519"/>
      <c r="E1436" s="519"/>
    </row>
    <row r="1437" spans="4:5">
      <c r="D1437" s="519"/>
      <c r="E1437" s="519"/>
    </row>
    <row r="1438" spans="4:5">
      <c r="D1438" s="519"/>
      <c r="E1438" s="519"/>
    </row>
    <row r="1439" spans="4:5">
      <c r="D1439" s="519"/>
      <c r="E1439" s="519"/>
    </row>
    <row r="1440" spans="4:5">
      <c r="D1440" s="519"/>
      <c r="E1440" s="519"/>
    </row>
    <row r="1441" spans="4:5">
      <c r="D1441" s="519"/>
      <c r="E1441" s="519"/>
    </row>
    <row r="1442" spans="4:5">
      <c r="D1442" s="519"/>
      <c r="E1442" s="519"/>
    </row>
    <row r="1443" spans="4:5">
      <c r="D1443" s="519"/>
      <c r="E1443" s="519"/>
    </row>
    <row r="1444" spans="4:5">
      <c r="D1444" s="519"/>
      <c r="E1444" s="519"/>
    </row>
    <row r="1445" spans="4:5">
      <c r="D1445" s="519"/>
      <c r="E1445" s="519"/>
    </row>
    <row r="1446" spans="4:5">
      <c r="D1446" s="519"/>
      <c r="E1446" s="519"/>
    </row>
    <row r="1447" spans="4:5">
      <c r="D1447" s="519"/>
      <c r="E1447" s="519"/>
    </row>
    <row r="1448" spans="4:5">
      <c r="D1448" s="519"/>
      <c r="E1448" s="519"/>
    </row>
    <row r="1449" spans="4:5">
      <c r="D1449" s="519"/>
      <c r="E1449" s="519"/>
    </row>
    <row r="1450" spans="4:5">
      <c r="D1450" s="519"/>
      <c r="E1450" s="519"/>
    </row>
    <row r="1451" spans="4:5">
      <c r="D1451" s="519"/>
      <c r="E1451" s="519"/>
    </row>
    <row r="1452" spans="4:5">
      <c r="D1452" s="519"/>
      <c r="E1452" s="519"/>
    </row>
    <row r="1453" spans="4:5">
      <c r="D1453" s="519"/>
      <c r="E1453" s="519"/>
    </row>
    <row r="1454" spans="4:5">
      <c r="D1454" s="519"/>
      <c r="E1454" s="519"/>
    </row>
    <row r="1455" spans="4:5">
      <c r="D1455" s="519"/>
      <c r="E1455" s="519"/>
    </row>
    <row r="1456" spans="4:5">
      <c r="D1456" s="519"/>
      <c r="E1456" s="519"/>
    </row>
    <row r="1457" spans="4:5">
      <c r="D1457" s="519"/>
      <c r="E1457" s="519"/>
    </row>
    <row r="1458" spans="4:5">
      <c r="D1458" s="519"/>
      <c r="E1458" s="519"/>
    </row>
    <row r="1459" spans="4:5">
      <c r="D1459" s="519"/>
      <c r="E1459" s="519"/>
    </row>
    <row r="1460" spans="4:5">
      <c r="D1460" s="519"/>
      <c r="E1460" s="519"/>
    </row>
    <row r="1461" spans="4:5">
      <c r="D1461" s="519"/>
      <c r="E1461" s="519"/>
    </row>
    <row r="1462" spans="4:5">
      <c r="D1462" s="519"/>
      <c r="E1462" s="519"/>
    </row>
    <row r="1463" spans="4:5">
      <c r="D1463" s="519"/>
      <c r="E1463" s="519"/>
    </row>
    <row r="1464" spans="4:5">
      <c r="D1464" s="519"/>
      <c r="E1464" s="519"/>
    </row>
    <row r="1465" spans="4:5">
      <c r="D1465" s="519"/>
      <c r="E1465" s="519"/>
    </row>
    <row r="1466" spans="4:5">
      <c r="D1466" s="519"/>
      <c r="E1466" s="519"/>
    </row>
    <row r="1467" spans="4:5">
      <c r="D1467" s="519"/>
      <c r="E1467" s="519"/>
    </row>
    <row r="1468" spans="4:5">
      <c r="D1468" s="519"/>
      <c r="E1468" s="519"/>
    </row>
    <row r="1469" spans="4:5">
      <c r="D1469" s="519"/>
      <c r="E1469" s="519"/>
    </row>
    <row r="1470" spans="4:5">
      <c r="D1470" s="519"/>
      <c r="E1470" s="519"/>
    </row>
    <row r="1471" spans="4:5">
      <c r="D1471" s="519"/>
      <c r="E1471" s="519"/>
    </row>
    <row r="1472" spans="4:5">
      <c r="D1472" s="519"/>
      <c r="E1472" s="519"/>
    </row>
    <row r="1473" spans="4:5">
      <c r="D1473" s="519"/>
      <c r="E1473" s="519"/>
    </row>
    <row r="1474" spans="4:5">
      <c r="D1474" s="519"/>
      <c r="E1474" s="519"/>
    </row>
    <row r="1475" spans="4:5">
      <c r="D1475" s="519"/>
      <c r="E1475" s="519"/>
    </row>
    <row r="1476" spans="4:5">
      <c r="D1476" s="519"/>
      <c r="E1476" s="519"/>
    </row>
    <row r="1477" spans="4:5">
      <c r="D1477" s="519"/>
      <c r="E1477" s="519"/>
    </row>
    <row r="1478" spans="4:5">
      <c r="D1478" s="519"/>
      <c r="E1478" s="519"/>
    </row>
    <row r="1479" spans="4:5">
      <c r="D1479" s="519"/>
      <c r="E1479" s="519"/>
    </row>
    <row r="1480" spans="4:5">
      <c r="D1480" s="519"/>
      <c r="E1480" s="519"/>
    </row>
    <row r="1481" spans="4:5">
      <c r="D1481" s="519"/>
      <c r="E1481" s="519"/>
    </row>
    <row r="1482" spans="4:5">
      <c r="D1482" s="519"/>
      <c r="E1482" s="519"/>
    </row>
    <row r="1483" spans="4:5">
      <c r="D1483" s="519"/>
      <c r="E1483" s="519"/>
    </row>
    <row r="1484" spans="4:5">
      <c r="D1484" s="519"/>
      <c r="E1484" s="519"/>
    </row>
    <row r="1485" spans="4:5">
      <c r="D1485" s="519"/>
      <c r="E1485" s="519"/>
    </row>
    <row r="1486" spans="4:5">
      <c r="D1486" s="519"/>
      <c r="E1486" s="519"/>
    </row>
    <row r="1487" spans="4:5">
      <c r="D1487" s="519"/>
      <c r="E1487" s="519"/>
    </row>
    <row r="1488" spans="4:5">
      <c r="D1488" s="519"/>
      <c r="E1488" s="519"/>
    </row>
    <row r="1489" spans="4:5">
      <c r="D1489" s="519"/>
      <c r="E1489" s="519"/>
    </row>
    <row r="1490" spans="4:5">
      <c r="D1490" s="519"/>
      <c r="E1490" s="519"/>
    </row>
    <row r="1491" spans="4:5">
      <c r="D1491" s="519"/>
      <c r="E1491" s="519"/>
    </row>
    <row r="1492" spans="4:5">
      <c r="D1492" s="519"/>
      <c r="E1492" s="519"/>
    </row>
    <row r="1493" spans="4:5">
      <c r="D1493" s="519"/>
      <c r="E1493" s="519"/>
    </row>
    <row r="1494" spans="4:5">
      <c r="D1494" s="519"/>
      <c r="E1494" s="519"/>
    </row>
    <row r="1495" spans="4:5">
      <c r="D1495" s="519"/>
      <c r="E1495" s="519"/>
    </row>
    <row r="1496" spans="4:5">
      <c r="D1496" s="519"/>
      <c r="E1496" s="519"/>
    </row>
    <row r="1497" spans="4:5">
      <c r="D1497" s="519"/>
      <c r="E1497" s="519"/>
    </row>
    <row r="1498" spans="4:5">
      <c r="D1498" s="519"/>
      <c r="E1498" s="519"/>
    </row>
    <row r="1499" spans="4:5">
      <c r="D1499" s="519"/>
      <c r="E1499" s="519"/>
    </row>
    <row r="1500" spans="4:5">
      <c r="D1500" s="519"/>
      <c r="E1500" s="519"/>
    </row>
    <row r="1501" spans="4:5">
      <c r="D1501" s="519"/>
      <c r="E1501" s="519"/>
    </row>
    <row r="1502" spans="4:5">
      <c r="D1502" s="519"/>
      <c r="E1502" s="519"/>
    </row>
    <row r="1503" spans="4:5">
      <c r="D1503" s="519"/>
      <c r="E1503" s="519"/>
    </row>
    <row r="1504" spans="4:5">
      <c r="D1504" s="519"/>
      <c r="E1504" s="519"/>
    </row>
    <row r="1505" spans="4:5">
      <c r="D1505" s="519"/>
      <c r="E1505" s="519"/>
    </row>
    <row r="1506" spans="4:5">
      <c r="D1506" s="519"/>
      <c r="E1506" s="519"/>
    </row>
    <row r="1507" spans="4:5">
      <c r="D1507" s="519"/>
      <c r="E1507" s="519"/>
    </row>
    <row r="1508" spans="4:5">
      <c r="D1508" s="519"/>
      <c r="E1508" s="519"/>
    </row>
    <row r="1509" spans="4:5">
      <c r="D1509" s="519"/>
      <c r="E1509" s="519"/>
    </row>
    <row r="1510" spans="4:5">
      <c r="D1510" s="519"/>
      <c r="E1510" s="519"/>
    </row>
    <row r="1511" spans="4:5">
      <c r="D1511" s="519"/>
      <c r="E1511" s="519"/>
    </row>
    <row r="1512" spans="4:5">
      <c r="D1512" s="519"/>
      <c r="E1512" s="519"/>
    </row>
    <row r="1513" spans="4:5">
      <c r="D1513" s="519"/>
      <c r="E1513" s="519"/>
    </row>
    <row r="1514" spans="4:5">
      <c r="D1514" s="519"/>
      <c r="E1514" s="519"/>
    </row>
    <row r="1515" spans="4:5">
      <c r="D1515" s="519"/>
      <c r="E1515" s="519"/>
    </row>
    <row r="1516" spans="4:5">
      <c r="D1516" s="519"/>
      <c r="E1516" s="519"/>
    </row>
    <row r="1517" spans="4:5">
      <c r="D1517" s="519"/>
      <c r="E1517" s="519"/>
    </row>
    <row r="1518" spans="4:5">
      <c r="D1518" s="519"/>
      <c r="E1518" s="519"/>
    </row>
    <row r="1519" spans="4:5">
      <c r="D1519" s="519"/>
      <c r="E1519" s="519"/>
    </row>
    <row r="1520" spans="4:5">
      <c r="D1520" s="519"/>
      <c r="E1520" s="519"/>
    </row>
    <row r="1521" spans="4:5">
      <c r="D1521" s="519"/>
      <c r="E1521" s="519"/>
    </row>
    <row r="1522" spans="4:5">
      <c r="D1522" s="519"/>
      <c r="E1522" s="519"/>
    </row>
    <row r="1523" spans="4:5">
      <c r="D1523" s="519"/>
      <c r="E1523" s="519"/>
    </row>
    <row r="1524" spans="4:5">
      <c r="D1524" s="519"/>
      <c r="E1524" s="519"/>
    </row>
    <row r="1525" spans="4:5">
      <c r="D1525" s="519"/>
      <c r="E1525" s="519"/>
    </row>
    <row r="1526" spans="4:5">
      <c r="D1526" s="519"/>
      <c r="E1526" s="519"/>
    </row>
    <row r="1527" spans="4:5">
      <c r="D1527" s="519"/>
      <c r="E1527" s="519"/>
    </row>
    <row r="1528" spans="4:5">
      <c r="D1528" s="519"/>
      <c r="E1528" s="519"/>
    </row>
    <row r="1529" spans="4:5">
      <c r="D1529" s="519"/>
      <c r="E1529" s="519"/>
    </row>
    <row r="1530" spans="4:5">
      <c r="D1530" s="519"/>
      <c r="E1530" s="519"/>
    </row>
    <row r="1531" spans="4:5">
      <c r="D1531" s="519"/>
      <c r="E1531" s="519"/>
    </row>
    <row r="1532" spans="4:5">
      <c r="D1532" s="519"/>
      <c r="E1532" s="519"/>
    </row>
    <row r="1533" spans="4:5">
      <c r="D1533" s="519"/>
      <c r="E1533" s="519"/>
    </row>
    <row r="1534" spans="4:5">
      <c r="D1534" s="519"/>
      <c r="E1534" s="519"/>
    </row>
    <row r="1535" spans="4:5">
      <c r="D1535" s="519"/>
      <c r="E1535" s="519"/>
    </row>
    <row r="1536" spans="4:5">
      <c r="D1536" s="519"/>
      <c r="E1536" s="519"/>
    </row>
    <row r="1537" spans="4:5">
      <c r="D1537" s="519"/>
      <c r="E1537" s="519"/>
    </row>
    <row r="1538" spans="4:5">
      <c r="D1538" s="519"/>
      <c r="E1538" s="519"/>
    </row>
    <row r="1539" spans="4:5">
      <c r="D1539" s="519"/>
      <c r="E1539" s="519"/>
    </row>
    <row r="1540" spans="4:5">
      <c r="D1540" s="519"/>
      <c r="E1540" s="519"/>
    </row>
    <row r="1541" spans="4:5">
      <c r="D1541" s="519"/>
      <c r="E1541" s="519"/>
    </row>
    <row r="1542" spans="4:5">
      <c r="D1542" s="519"/>
      <c r="E1542" s="519"/>
    </row>
    <row r="1543" spans="4:5">
      <c r="D1543" s="519"/>
      <c r="E1543" s="519"/>
    </row>
    <row r="1544" spans="4:5">
      <c r="D1544" s="519"/>
      <c r="E1544" s="519"/>
    </row>
    <row r="1545" spans="4:5">
      <c r="D1545" s="519"/>
      <c r="E1545" s="519"/>
    </row>
    <row r="1546" spans="4:5">
      <c r="D1546" s="519"/>
      <c r="E1546" s="519"/>
    </row>
    <row r="1547" spans="4:5">
      <c r="D1547" s="519"/>
      <c r="E1547" s="519"/>
    </row>
    <row r="1548" spans="4:5">
      <c r="D1548" s="519"/>
      <c r="E1548" s="519"/>
    </row>
    <row r="1549" spans="4:5">
      <c r="D1549" s="519"/>
      <c r="E1549" s="519"/>
    </row>
    <row r="1550" spans="4:5">
      <c r="D1550" s="519"/>
      <c r="E1550" s="519"/>
    </row>
    <row r="1551" spans="4:5">
      <c r="D1551" s="519"/>
      <c r="E1551" s="519"/>
    </row>
    <row r="1552" spans="4:5">
      <c r="D1552" s="519"/>
      <c r="E1552" s="519"/>
    </row>
    <row r="1553" spans="4:5">
      <c r="D1553" s="519"/>
      <c r="E1553" s="519"/>
    </row>
    <row r="1554" spans="4:5">
      <c r="D1554" s="519"/>
      <c r="E1554" s="519"/>
    </row>
    <row r="1555" spans="4:5">
      <c r="D1555" s="519"/>
      <c r="E1555" s="519"/>
    </row>
    <row r="1556" spans="4:5">
      <c r="D1556" s="519"/>
      <c r="E1556" s="519"/>
    </row>
    <row r="1557" spans="4:5">
      <c r="D1557" s="519"/>
      <c r="E1557" s="519"/>
    </row>
    <row r="1558" spans="4:5">
      <c r="D1558" s="519"/>
      <c r="E1558" s="519"/>
    </row>
    <row r="1559" spans="4:5">
      <c r="D1559" s="519"/>
      <c r="E1559" s="519"/>
    </row>
    <row r="1560" spans="4:5">
      <c r="D1560" s="519"/>
      <c r="E1560" s="519"/>
    </row>
    <row r="1561" spans="4:5">
      <c r="D1561" s="519"/>
      <c r="E1561" s="519"/>
    </row>
    <row r="1562" spans="4:5">
      <c r="D1562" s="519"/>
      <c r="E1562" s="519"/>
    </row>
    <row r="1563" spans="4:5">
      <c r="D1563" s="519"/>
      <c r="E1563" s="519"/>
    </row>
    <row r="1564" spans="4:5">
      <c r="D1564" s="519"/>
      <c r="E1564" s="519"/>
    </row>
    <row r="1565" spans="4:5">
      <c r="D1565" s="519"/>
      <c r="E1565" s="519"/>
    </row>
    <row r="1566" spans="4:5">
      <c r="D1566" s="519"/>
      <c r="E1566" s="519"/>
    </row>
    <row r="1567" spans="4:5">
      <c r="D1567" s="519"/>
      <c r="E1567" s="519"/>
    </row>
    <row r="1568" spans="4:5">
      <c r="D1568" s="519"/>
      <c r="E1568" s="519"/>
    </row>
    <row r="1569" spans="4:5">
      <c r="D1569" s="519"/>
      <c r="E1569" s="519"/>
    </row>
    <row r="1570" spans="4:5">
      <c r="D1570" s="519"/>
      <c r="E1570" s="519"/>
    </row>
    <row r="1571" spans="4:5">
      <c r="D1571" s="519"/>
      <c r="E1571" s="519"/>
    </row>
    <row r="1572" spans="4:5">
      <c r="D1572" s="519"/>
      <c r="E1572" s="519"/>
    </row>
    <row r="1573" spans="4:5">
      <c r="D1573" s="519"/>
      <c r="E1573" s="519"/>
    </row>
    <row r="1574" spans="4:5">
      <c r="D1574" s="519"/>
      <c r="E1574" s="519"/>
    </row>
    <row r="1575" spans="4:5">
      <c r="D1575" s="519"/>
      <c r="E1575" s="519"/>
    </row>
    <row r="1576" spans="4:5">
      <c r="D1576" s="519"/>
      <c r="E1576" s="519"/>
    </row>
    <row r="1577" spans="4:5">
      <c r="D1577" s="519"/>
      <c r="E1577" s="519"/>
    </row>
    <row r="1578" spans="4:5">
      <c r="D1578" s="519"/>
      <c r="E1578" s="519"/>
    </row>
    <row r="1579" spans="4:5">
      <c r="D1579" s="519"/>
      <c r="E1579" s="519"/>
    </row>
    <row r="1580" spans="4:5">
      <c r="D1580" s="519"/>
      <c r="E1580" s="519"/>
    </row>
    <row r="1581" spans="4:5">
      <c r="D1581" s="519"/>
      <c r="E1581" s="519"/>
    </row>
    <row r="1582" spans="4:5">
      <c r="D1582" s="519"/>
      <c r="E1582" s="519"/>
    </row>
    <row r="1583" spans="4:5">
      <c r="D1583" s="519"/>
      <c r="E1583" s="519"/>
    </row>
    <row r="1584" spans="4:5">
      <c r="D1584" s="519"/>
      <c r="E1584" s="519"/>
    </row>
    <row r="1585" spans="4:5">
      <c r="D1585" s="519"/>
      <c r="E1585" s="519"/>
    </row>
    <row r="1586" spans="4:5">
      <c r="D1586" s="519"/>
      <c r="E1586" s="519"/>
    </row>
    <row r="1587" spans="4:5">
      <c r="D1587" s="519"/>
      <c r="E1587" s="519"/>
    </row>
    <row r="1588" spans="4:5">
      <c r="D1588" s="519"/>
      <c r="E1588" s="519"/>
    </row>
    <row r="1589" spans="4:5">
      <c r="D1589" s="519"/>
      <c r="E1589" s="519"/>
    </row>
    <row r="1590" spans="4:5">
      <c r="D1590" s="519"/>
      <c r="E1590" s="519"/>
    </row>
    <row r="1591" spans="4:5">
      <c r="D1591" s="519"/>
      <c r="E1591" s="519"/>
    </row>
    <row r="1592" spans="4:5">
      <c r="D1592" s="519"/>
      <c r="E1592" s="519"/>
    </row>
    <row r="1593" spans="4:5">
      <c r="D1593" s="519"/>
      <c r="E1593" s="519"/>
    </row>
    <row r="1594" spans="4:5">
      <c r="D1594" s="519"/>
      <c r="E1594" s="519"/>
    </row>
    <row r="1595" spans="4:5">
      <c r="D1595" s="519"/>
      <c r="E1595" s="519"/>
    </row>
    <row r="1596" spans="4:5">
      <c r="D1596" s="519"/>
      <c r="E1596" s="519"/>
    </row>
    <row r="1597" spans="4:5">
      <c r="D1597" s="519"/>
      <c r="E1597" s="519"/>
    </row>
    <row r="1598" spans="4:5">
      <c r="D1598" s="519"/>
      <c r="E1598" s="519"/>
    </row>
    <row r="1599" spans="4:5">
      <c r="D1599" s="519"/>
      <c r="E1599" s="519"/>
    </row>
    <row r="1600" spans="4:5">
      <c r="D1600" s="519"/>
      <c r="E1600" s="519"/>
    </row>
    <row r="1601" spans="4:5">
      <c r="D1601" s="519"/>
      <c r="E1601" s="519"/>
    </row>
    <row r="1602" spans="4:5">
      <c r="D1602" s="519"/>
      <c r="E1602" s="519"/>
    </row>
    <row r="1603" spans="4:5">
      <c r="D1603" s="519"/>
      <c r="E1603" s="519"/>
    </row>
    <row r="1604" spans="4:5">
      <c r="D1604" s="519"/>
      <c r="E1604" s="519"/>
    </row>
    <row r="1605" spans="4:5">
      <c r="D1605" s="519"/>
      <c r="E1605" s="519"/>
    </row>
    <row r="1606" spans="4:5">
      <c r="D1606" s="519"/>
      <c r="E1606" s="519"/>
    </row>
    <row r="1607" spans="4:5">
      <c r="D1607" s="519"/>
      <c r="E1607" s="519"/>
    </row>
    <row r="1608" spans="4:5">
      <c r="D1608" s="519"/>
      <c r="E1608" s="519"/>
    </row>
    <row r="1609" spans="4:5">
      <c r="D1609" s="519"/>
      <c r="E1609" s="519"/>
    </row>
    <row r="1610" spans="4:5">
      <c r="D1610" s="519"/>
      <c r="E1610" s="519"/>
    </row>
    <row r="1611" spans="4:5">
      <c r="D1611" s="519"/>
      <c r="E1611" s="519"/>
    </row>
    <row r="1612" spans="4:5">
      <c r="D1612" s="519"/>
      <c r="E1612" s="519"/>
    </row>
    <row r="1613" spans="4:5">
      <c r="D1613" s="519"/>
      <c r="E1613" s="519"/>
    </row>
    <row r="1614" spans="4:5">
      <c r="D1614" s="519"/>
      <c r="E1614" s="519"/>
    </row>
    <row r="1615" spans="4:5">
      <c r="D1615" s="519"/>
      <c r="E1615" s="519"/>
    </row>
    <row r="1616" spans="4:5">
      <c r="D1616" s="519"/>
      <c r="E1616" s="519"/>
    </row>
    <row r="1617" spans="4:5">
      <c r="D1617" s="519"/>
      <c r="E1617" s="519"/>
    </row>
    <row r="1618" spans="4:5">
      <c r="D1618" s="519"/>
      <c r="E1618" s="519"/>
    </row>
    <row r="1619" spans="4:5">
      <c r="D1619" s="519"/>
      <c r="E1619" s="519"/>
    </row>
    <row r="1620" spans="4:5">
      <c r="D1620" s="519"/>
      <c r="E1620" s="519"/>
    </row>
    <row r="1621" spans="4:5">
      <c r="D1621" s="519"/>
      <c r="E1621" s="519"/>
    </row>
    <row r="1622" spans="4:5">
      <c r="D1622" s="519"/>
      <c r="E1622" s="519"/>
    </row>
    <row r="1623" spans="4:5">
      <c r="D1623" s="519"/>
      <c r="E1623" s="519"/>
    </row>
    <row r="1624" spans="4:5">
      <c r="D1624" s="519"/>
      <c r="E1624" s="519"/>
    </row>
    <row r="1625" spans="4:5">
      <c r="D1625" s="519"/>
      <c r="E1625" s="519"/>
    </row>
    <row r="1626" spans="4:5">
      <c r="D1626" s="519"/>
      <c r="E1626" s="519"/>
    </row>
    <row r="1627" spans="4:5">
      <c r="D1627" s="519"/>
      <c r="E1627" s="519"/>
    </row>
    <row r="1628" spans="4:5">
      <c r="D1628" s="519"/>
      <c r="E1628" s="519"/>
    </row>
    <row r="1629" spans="4:5">
      <c r="D1629" s="519"/>
      <c r="E1629" s="519"/>
    </row>
    <row r="1630" spans="4:5">
      <c r="D1630" s="519"/>
      <c r="E1630" s="519"/>
    </row>
    <row r="1631" spans="4:5">
      <c r="D1631" s="519"/>
      <c r="E1631" s="519"/>
    </row>
    <row r="1632" spans="4:5">
      <c r="D1632" s="519"/>
      <c r="E1632" s="519"/>
    </row>
    <row r="1633" spans="4:5">
      <c r="D1633" s="519"/>
      <c r="E1633" s="519"/>
    </row>
    <row r="1634" spans="4:5">
      <c r="D1634" s="519"/>
      <c r="E1634" s="519"/>
    </row>
    <row r="1635" spans="4:5">
      <c r="D1635" s="519"/>
      <c r="E1635" s="519"/>
    </row>
    <row r="1636" spans="4:5">
      <c r="D1636" s="519"/>
      <c r="E1636" s="519"/>
    </row>
    <row r="1637" spans="4:5">
      <c r="D1637" s="519"/>
      <c r="E1637" s="519"/>
    </row>
    <row r="1638" spans="4:5">
      <c r="D1638" s="519"/>
      <c r="E1638" s="519"/>
    </row>
    <row r="1639" spans="4:5">
      <c r="D1639" s="519"/>
      <c r="E1639" s="519"/>
    </row>
    <row r="1640" spans="4:5">
      <c r="D1640" s="519"/>
      <c r="E1640" s="519"/>
    </row>
    <row r="1641" spans="4:5">
      <c r="D1641" s="519"/>
      <c r="E1641" s="519"/>
    </row>
    <row r="1642" spans="4:5">
      <c r="D1642" s="519"/>
      <c r="E1642" s="519"/>
    </row>
    <row r="1643" spans="4:5">
      <c r="D1643" s="519"/>
      <c r="E1643" s="519"/>
    </row>
    <row r="1644" spans="4:5">
      <c r="D1644" s="519"/>
      <c r="E1644" s="519"/>
    </row>
    <row r="1645" spans="4:5">
      <c r="D1645" s="519"/>
      <c r="E1645" s="519"/>
    </row>
    <row r="1646" spans="4:5">
      <c r="D1646" s="519"/>
      <c r="E1646" s="519"/>
    </row>
    <row r="1647" spans="4:5">
      <c r="D1647" s="519"/>
      <c r="E1647" s="519"/>
    </row>
    <row r="1648" spans="4:5">
      <c r="D1648" s="519"/>
      <c r="E1648" s="519"/>
    </row>
    <row r="1649" spans="4:5">
      <c r="D1649" s="519"/>
      <c r="E1649" s="519"/>
    </row>
    <row r="1650" spans="4:5">
      <c r="D1650" s="519"/>
      <c r="E1650" s="519"/>
    </row>
    <row r="1651" spans="4:5">
      <c r="D1651" s="519"/>
      <c r="E1651" s="519"/>
    </row>
    <row r="1652" spans="4:5">
      <c r="D1652" s="519"/>
      <c r="E1652" s="519"/>
    </row>
    <row r="1653" spans="4:5">
      <c r="D1653" s="519"/>
      <c r="E1653" s="519"/>
    </row>
    <row r="1654" spans="4:5">
      <c r="D1654" s="519"/>
      <c r="E1654" s="519"/>
    </row>
    <row r="1655" spans="4:5">
      <c r="D1655" s="519"/>
      <c r="E1655" s="519"/>
    </row>
    <row r="1656" spans="4:5">
      <c r="D1656" s="519"/>
      <c r="E1656" s="519"/>
    </row>
    <row r="1657" spans="4:5">
      <c r="D1657" s="519"/>
      <c r="E1657" s="519"/>
    </row>
    <row r="1658" spans="4:5">
      <c r="D1658" s="519"/>
      <c r="E1658" s="519"/>
    </row>
    <row r="1659" spans="4:5">
      <c r="D1659" s="519"/>
      <c r="E1659" s="519"/>
    </row>
    <row r="1660" spans="4:5">
      <c r="D1660" s="519"/>
      <c r="E1660" s="519"/>
    </row>
    <row r="1661" spans="4:5">
      <c r="D1661" s="519"/>
      <c r="E1661" s="519"/>
    </row>
    <row r="1662" spans="4:5">
      <c r="D1662" s="519"/>
      <c r="E1662" s="519"/>
    </row>
    <row r="1663" spans="4:5">
      <c r="D1663" s="519"/>
      <c r="E1663" s="519"/>
    </row>
    <row r="1664" spans="4:5">
      <c r="D1664" s="519"/>
      <c r="E1664" s="519"/>
    </row>
    <row r="1665" spans="4:5">
      <c r="D1665" s="519"/>
      <c r="E1665" s="519"/>
    </row>
    <row r="1666" spans="4:5">
      <c r="D1666" s="519"/>
      <c r="E1666" s="519"/>
    </row>
    <row r="1667" spans="4:5">
      <c r="D1667" s="519"/>
      <c r="E1667" s="519"/>
    </row>
    <row r="1668" spans="4:5">
      <c r="D1668" s="519"/>
      <c r="E1668" s="519"/>
    </row>
    <row r="1669" spans="4:5">
      <c r="D1669" s="519"/>
      <c r="E1669" s="519"/>
    </row>
    <row r="1670" spans="4:5">
      <c r="D1670" s="519"/>
      <c r="E1670" s="519"/>
    </row>
    <row r="1671" spans="4:5">
      <c r="D1671" s="519"/>
      <c r="E1671" s="519"/>
    </row>
    <row r="1672" spans="4:5">
      <c r="D1672" s="519"/>
      <c r="E1672" s="519"/>
    </row>
    <row r="1673" spans="4:5">
      <c r="D1673" s="519"/>
      <c r="E1673" s="519"/>
    </row>
    <row r="1674" spans="4:5">
      <c r="D1674" s="519"/>
      <c r="E1674" s="519"/>
    </row>
    <row r="1675" spans="4:5">
      <c r="D1675" s="519"/>
      <c r="E1675" s="519"/>
    </row>
    <row r="1676" spans="4:5">
      <c r="D1676" s="519"/>
      <c r="E1676" s="519"/>
    </row>
    <row r="1677" spans="4:5">
      <c r="D1677" s="519"/>
      <c r="E1677" s="519"/>
    </row>
    <row r="1678" spans="4:5">
      <c r="D1678" s="519"/>
      <c r="E1678" s="519"/>
    </row>
    <row r="1679" spans="4:5">
      <c r="D1679" s="519"/>
      <c r="E1679" s="519"/>
    </row>
    <row r="1680" spans="4:5">
      <c r="D1680" s="519"/>
      <c r="E1680" s="519"/>
    </row>
    <row r="1681" spans="4:5">
      <c r="D1681" s="519"/>
      <c r="E1681" s="519"/>
    </row>
    <row r="1682" spans="4:5">
      <c r="D1682" s="519"/>
      <c r="E1682" s="519"/>
    </row>
    <row r="1683" spans="4:5">
      <c r="D1683" s="519"/>
      <c r="E1683" s="519"/>
    </row>
    <row r="1684" spans="4:5">
      <c r="D1684" s="519"/>
      <c r="E1684" s="519"/>
    </row>
    <row r="1685" spans="4:5">
      <c r="D1685" s="519"/>
      <c r="E1685" s="519"/>
    </row>
    <row r="1686" spans="4:5">
      <c r="D1686" s="519"/>
      <c r="E1686" s="519"/>
    </row>
    <row r="1687" spans="4:5">
      <c r="D1687" s="519"/>
      <c r="E1687" s="519"/>
    </row>
    <row r="1688" spans="4:5">
      <c r="D1688" s="519"/>
      <c r="E1688" s="519"/>
    </row>
    <row r="1689" spans="4:5">
      <c r="D1689" s="519"/>
      <c r="E1689" s="519"/>
    </row>
    <row r="1690" spans="4:5">
      <c r="D1690" s="519"/>
      <c r="E1690" s="519"/>
    </row>
    <row r="1691" spans="4:5">
      <c r="D1691" s="519"/>
      <c r="E1691" s="519"/>
    </row>
    <row r="1692" spans="4:5">
      <c r="D1692" s="519"/>
      <c r="E1692" s="519"/>
    </row>
    <row r="1693" spans="4:5">
      <c r="D1693" s="519"/>
      <c r="E1693" s="519"/>
    </row>
    <row r="1694" spans="4:5">
      <c r="D1694" s="519"/>
      <c r="E1694" s="519"/>
    </row>
    <row r="1695" spans="4:5">
      <c r="D1695" s="519"/>
      <c r="E1695" s="519"/>
    </row>
    <row r="1696" spans="4:5">
      <c r="D1696" s="519"/>
      <c r="E1696" s="519"/>
    </row>
    <row r="1697" spans="4:5">
      <c r="D1697" s="519"/>
      <c r="E1697" s="519"/>
    </row>
    <row r="1698" spans="4:5">
      <c r="D1698" s="519"/>
      <c r="E1698" s="519"/>
    </row>
    <row r="1699" spans="4:5">
      <c r="D1699" s="519"/>
      <c r="E1699" s="519"/>
    </row>
    <row r="1700" spans="4:5">
      <c r="D1700" s="519"/>
      <c r="E1700" s="519"/>
    </row>
    <row r="1701" spans="4:5">
      <c r="D1701" s="519"/>
      <c r="E1701" s="519"/>
    </row>
    <row r="1702" spans="4:5">
      <c r="D1702" s="519"/>
      <c r="E1702" s="519"/>
    </row>
    <row r="1703" spans="4:5">
      <c r="D1703" s="519"/>
      <c r="E1703" s="519"/>
    </row>
    <row r="1704" spans="4:5">
      <c r="D1704" s="519"/>
      <c r="E1704" s="519"/>
    </row>
    <row r="1705" spans="4:5">
      <c r="D1705" s="519"/>
      <c r="E1705" s="519"/>
    </row>
    <row r="1706" spans="4:5">
      <c r="D1706" s="519"/>
      <c r="E1706" s="519"/>
    </row>
    <row r="1707" spans="4:5">
      <c r="D1707" s="519"/>
      <c r="E1707" s="519"/>
    </row>
    <row r="1708" spans="4:5">
      <c r="D1708" s="519"/>
      <c r="E1708" s="519"/>
    </row>
    <row r="1709" spans="4:5">
      <c r="D1709" s="519"/>
      <c r="E1709" s="519"/>
    </row>
    <row r="1710" spans="4:5">
      <c r="D1710" s="519"/>
      <c r="E1710" s="519"/>
    </row>
    <row r="1711" spans="4:5">
      <c r="D1711" s="519"/>
      <c r="E1711" s="519"/>
    </row>
    <row r="1712" spans="4:5">
      <c r="D1712" s="519"/>
      <c r="E1712" s="519"/>
    </row>
    <row r="1713" spans="4:5">
      <c r="D1713" s="519"/>
      <c r="E1713" s="519"/>
    </row>
    <row r="1714" spans="4:5">
      <c r="D1714" s="519"/>
      <c r="E1714" s="519"/>
    </row>
    <row r="1715" spans="4:5">
      <c r="D1715" s="519"/>
      <c r="E1715" s="519"/>
    </row>
    <row r="1716" spans="4:5">
      <c r="D1716" s="519"/>
      <c r="E1716" s="519"/>
    </row>
    <row r="1717" spans="4:5">
      <c r="D1717" s="519"/>
      <c r="E1717" s="519"/>
    </row>
    <row r="1718" spans="4:5">
      <c r="D1718" s="519"/>
      <c r="E1718" s="519"/>
    </row>
    <row r="1719" spans="4:5">
      <c r="D1719" s="519"/>
      <c r="E1719" s="519"/>
    </row>
    <row r="1720" spans="4:5">
      <c r="D1720" s="519"/>
      <c r="E1720" s="519"/>
    </row>
    <row r="1721" spans="4:5">
      <c r="D1721" s="519"/>
      <c r="E1721" s="519"/>
    </row>
    <row r="1722" spans="4:5">
      <c r="D1722" s="519"/>
      <c r="E1722" s="519"/>
    </row>
    <row r="1723" spans="4:5">
      <c r="D1723" s="519"/>
      <c r="E1723" s="519"/>
    </row>
    <row r="1724" spans="4:5">
      <c r="D1724" s="519"/>
      <c r="E1724" s="519"/>
    </row>
    <row r="1725" spans="4:5">
      <c r="D1725" s="519"/>
      <c r="E1725" s="519"/>
    </row>
    <row r="1726" spans="4:5">
      <c r="D1726" s="519"/>
      <c r="E1726" s="519"/>
    </row>
    <row r="1727" spans="4:5">
      <c r="D1727" s="519"/>
      <c r="E1727" s="519"/>
    </row>
    <row r="1728" spans="4:5">
      <c r="D1728" s="519"/>
      <c r="E1728" s="519"/>
    </row>
    <row r="1729" spans="4:5">
      <c r="D1729" s="519"/>
      <c r="E1729" s="519"/>
    </row>
    <row r="1730" spans="4:5">
      <c r="D1730" s="519"/>
      <c r="E1730" s="519"/>
    </row>
    <row r="1731" spans="4:5">
      <c r="D1731" s="519"/>
      <c r="E1731" s="519"/>
    </row>
    <row r="1732" spans="4:5">
      <c r="D1732" s="519"/>
      <c r="E1732" s="519"/>
    </row>
    <row r="1733" spans="4:5">
      <c r="D1733" s="519"/>
      <c r="E1733" s="519"/>
    </row>
    <row r="1734" spans="4:5">
      <c r="D1734" s="519"/>
      <c r="E1734" s="519"/>
    </row>
    <row r="1735" spans="4:5">
      <c r="D1735" s="519"/>
      <c r="E1735" s="519"/>
    </row>
    <row r="1736" spans="4:5">
      <c r="D1736" s="519"/>
      <c r="E1736" s="519"/>
    </row>
    <row r="1737" spans="4:5">
      <c r="D1737" s="519"/>
      <c r="E1737" s="519"/>
    </row>
    <row r="1738" spans="4:5">
      <c r="D1738" s="519"/>
      <c r="E1738" s="519"/>
    </row>
    <row r="1739" spans="4:5">
      <c r="D1739" s="519"/>
      <c r="E1739" s="519"/>
    </row>
    <row r="1740" spans="4:5">
      <c r="D1740" s="519"/>
      <c r="E1740" s="519"/>
    </row>
    <row r="1741" spans="4:5">
      <c r="D1741" s="519"/>
      <c r="E1741" s="519"/>
    </row>
    <row r="1742" spans="4:5">
      <c r="D1742" s="519"/>
      <c r="E1742" s="519"/>
    </row>
    <row r="1743" spans="4:5">
      <c r="D1743" s="519"/>
      <c r="E1743" s="519"/>
    </row>
    <row r="1744" spans="4:5">
      <c r="D1744" s="519"/>
      <c r="E1744" s="519"/>
    </row>
    <row r="1745" spans="4:5">
      <c r="D1745" s="519"/>
      <c r="E1745" s="519"/>
    </row>
    <row r="1746" spans="4:5">
      <c r="D1746" s="519"/>
      <c r="E1746" s="519"/>
    </row>
    <row r="1747" spans="4:5">
      <c r="D1747" s="519"/>
      <c r="E1747" s="519"/>
    </row>
    <row r="1748" spans="4:5">
      <c r="D1748" s="519"/>
      <c r="E1748" s="519"/>
    </row>
    <row r="1749" spans="4:5">
      <c r="D1749" s="519"/>
      <c r="E1749" s="519"/>
    </row>
    <row r="1750" spans="4:5">
      <c r="D1750" s="519"/>
      <c r="E1750" s="519"/>
    </row>
    <row r="1751" spans="4:5">
      <c r="D1751" s="519"/>
      <c r="E1751" s="519"/>
    </row>
    <row r="1752" spans="4:5">
      <c r="D1752" s="519"/>
      <c r="E1752" s="519"/>
    </row>
    <row r="1753" spans="4:5">
      <c r="D1753" s="519"/>
      <c r="E1753" s="519"/>
    </row>
    <row r="1754" spans="4:5">
      <c r="D1754" s="519"/>
      <c r="E1754" s="519"/>
    </row>
    <row r="1755" spans="4:5">
      <c r="D1755" s="519"/>
      <c r="E1755" s="519"/>
    </row>
    <row r="1756" spans="4:5">
      <c r="D1756" s="519"/>
      <c r="E1756" s="519"/>
    </row>
    <row r="1757" spans="4:5">
      <c r="D1757" s="519"/>
      <c r="E1757" s="519"/>
    </row>
    <row r="1758" spans="4:5">
      <c r="D1758" s="519"/>
      <c r="E1758" s="519"/>
    </row>
    <row r="1759" spans="4:5">
      <c r="D1759" s="519"/>
      <c r="E1759" s="519"/>
    </row>
    <row r="1760" spans="4:5">
      <c r="D1760" s="519"/>
      <c r="E1760" s="519"/>
    </row>
    <row r="1761" spans="4:5">
      <c r="D1761" s="519"/>
      <c r="E1761" s="519"/>
    </row>
    <row r="1762" spans="4:5">
      <c r="D1762" s="519"/>
      <c r="E1762" s="519"/>
    </row>
    <row r="1763" spans="4:5">
      <c r="D1763" s="519"/>
      <c r="E1763" s="519"/>
    </row>
    <row r="1764" spans="4:5">
      <c r="D1764" s="519"/>
      <c r="E1764" s="519"/>
    </row>
    <row r="1765" spans="4:5">
      <c r="D1765" s="519"/>
      <c r="E1765" s="519"/>
    </row>
    <row r="1766" spans="4:5">
      <c r="D1766" s="519"/>
      <c r="E1766" s="519"/>
    </row>
    <row r="1767" spans="4:5">
      <c r="D1767" s="519"/>
      <c r="E1767" s="519"/>
    </row>
    <row r="1768" spans="4:5">
      <c r="D1768" s="519"/>
      <c r="E1768" s="519"/>
    </row>
    <row r="1769" spans="4:5">
      <c r="D1769" s="519"/>
      <c r="E1769" s="519"/>
    </row>
    <row r="1770" spans="4:5">
      <c r="D1770" s="519"/>
      <c r="E1770" s="519"/>
    </row>
    <row r="1771" spans="4:5">
      <c r="D1771" s="519"/>
      <c r="E1771" s="519"/>
    </row>
    <row r="1772" spans="4:5">
      <c r="D1772" s="519"/>
      <c r="E1772" s="519"/>
    </row>
    <row r="1773" spans="4:5">
      <c r="D1773" s="519"/>
      <c r="E1773" s="519"/>
    </row>
    <row r="1774" spans="4:5">
      <c r="D1774" s="519"/>
      <c r="E1774" s="519"/>
    </row>
    <row r="1775" spans="4:5">
      <c r="D1775" s="519"/>
      <c r="E1775" s="519"/>
    </row>
    <row r="1776" spans="4:5">
      <c r="D1776" s="519"/>
      <c r="E1776" s="519"/>
    </row>
    <row r="1777" spans="4:5">
      <c r="D1777" s="519"/>
      <c r="E1777" s="519"/>
    </row>
    <row r="1778" spans="4:5">
      <c r="D1778" s="519"/>
      <c r="E1778" s="519"/>
    </row>
    <row r="1779" spans="4:5">
      <c r="D1779" s="519"/>
      <c r="E1779" s="519"/>
    </row>
    <row r="1780" spans="4:5">
      <c r="D1780" s="519"/>
      <c r="E1780" s="519"/>
    </row>
    <row r="1781" spans="4:5">
      <c r="D1781" s="519"/>
      <c r="E1781" s="519"/>
    </row>
    <row r="1782" spans="4:5">
      <c r="D1782" s="519"/>
      <c r="E1782" s="519"/>
    </row>
    <row r="1783" spans="4:5">
      <c r="D1783" s="519"/>
      <c r="E1783" s="519"/>
    </row>
    <row r="1784" spans="4:5">
      <c r="D1784" s="519"/>
      <c r="E1784" s="519"/>
    </row>
    <row r="1785" spans="4:5">
      <c r="D1785" s="519"/>
      <c r="E1785" s="519"/>
    </row>
    <row r="1786" spans="4:5">
      <c r="D1786" s="519"/>
      <c r="E1786" s="519"/>
    </row>
    <row r="1787" spans="4:5">
      <c r="D1787" s="519"/>
      <c r="E1787" s="519"/>
    </row>
    <row r="1788" spans="4:5">
      <c r="D1788" s="519"/>
      <c r="E1788" s="519"/>
    </row>
    <row r="1789" spans="4:5">
      <c r="D1789" s="519"/>
      <c r="E1789" s="519"/>
    </row>
    <row r="1790" spans="4:5">
      <c r="D1790" s="519"/>
      <c r="E1790" s="519"/>
    </row>
    <row r="1791" spans="4:5">
      <c r="D1791" s="519"/>
      <c r="E1791" s="519"/>
    </row>
    <row r="1792" spans="4:5">
      <c r="D1792" s="519"/>
      <c r="E1792" s="519"/>
    </row>
    <row r="1793" spans="4:5">
      <c r="D1793" s="519"/>
      <c r="E1793" s="519"/>
    </row>
    <row r="1794" spans="4:5">
      <c r="D1794" s="519"/>
      <c r="E1794" s="519"/>
    </row>
    <row r="1795" spans="4:5">
      <c r="D1795" s="519"/>
      <c r="E1795" s="519"/>
    </row>
    <row r="1796" spans="4:5">
      <c r="D1796" s="519"/>
      <c r="E1796" s="519"/>
    </row>
    <row r="1797" spans="4:5">
      <c r="D1797" s="519"/>
      <c r="E1797" s="519"/>
    </row>
    <row r="1798" spans="4:5">
      <c r="D1798" s="519"/>
      <c r="E1798" s="519"/>
    </row>
    <row r="1799" spans="4:5">
      <c r="D1799" s="519"/>
      <c r="E1799" s="519"/>
    </row>
    <row r="1800" spans="4:5">
      <c r="D1800" s="519"/>
      <c r="E1800" s="519"/>
    </row>
    <row r="1801" spans="4:5">
      <c r="D1801" s="519"/>
      <c r="E1801" s="519"/>
    </row>
    <row r="1802" spans="4:5">
      <c r="D1802" s="519"/>
      <c r="E1802" s="519"/>
    </row>
    <row r="1803" spans="4:5">
      <c r="D1803" s="519"/>
      <c r="E1803" s="519"/>
    </row>
    <row r="1804" spans="4:5">
      <c r="D1804" s="519"/>
      <c r="E1804" s="519"/>
    </row>
    <row r="1805" spans="4:5">
      <c r="D1805" s="519"/>
      <c r="E1805" s="519"/>
    </row>
    <row r="1806" spans="4:5">
      <c r="D1806" s="519"/>
      <c r="E1806" s="519"/>
    </row>
    <row r="1807" spans="4:5">
      <c r="D1807" s="519"/>
      <c r="E1807" s="519"/>
    </row>
    <row r="1808" spans="4:5">
      <c r="D1808" s="519"/>
      <c r="E1808" s="519"/>
    </row>
    <row r="1809" spans="4:5">
      <c r="D1809" s="519"/>
      <c r="E1809" s="519"/>
    </row>
    <row r="1810" spans="4:5">
      <c r="D1810" s="519"/>
      <c r="E1810" s="519"/>
    </row>
    <row r="1811" spans="4:5">
      <c r="D1811" s="519"/>
      <c r="E1811" s="519"/>
    </row>
    <row r="1812" spans="4:5">
      <c r="D1812" s="519"/>
      <c r="E1812" s="519"/>
    </row>
    <row r="1813" spans="4:5">
      <c r="D1813" s="519"/>
      <c r="E1813" s="519"/>
    </row>
    <row r="1814" spans="4:5">
      <c r="D1814" s="519"/>
      <c r="E1814" s="519"/>
    </row>
    <row r="1815" spans="4:5">
      <c r="D1815" s="519"/>
      <c r="E1815" s="519"/>
    </row>
    <row r="1816" spans="4:5">
      <c r="D1816" s="519"/>
      <c r="E1816" s="519"/>
    </row>
    <row r="1817" spans="4:5">
      <c r="D1817" s="519"/>
      <c r="E1817" s="519"/>
    </row>
    <row r="1818" spans="4:5">
      <c r="D1818" s="519"/>
      <c r="E1818" s="519"/>
    </row>
    <row r="1819" spans="4:5">
      <c r="D1819" s="519"/>
      <c r="E1819" s="519"/>
    </row>
    <row r="1820" spans="4:5">
      <c r="D1820" s="519"/>
      <c r="E1820" s="519"/>
    </row>
    <row r="1821" spans="4:5">
      <c r="D1821" s="519"/>
      <c r="E1821" s="519"/>
    </row>
    <row r="1822" spans="4:5">
      <c r="D1822" s="519"/>
      <c r="E1822" s="519"/>
    </row>
    <row r="1823" spans="4:5">
      <c r="D1823" s="519"/>
      <c r="E1823" s="519"/>
    </row>
    <row r="1824" spans="4:5">
      <c r="D1824" s="519"/>
      <c r="E1824" s="519"/>
    </row>
    <row r="1825" spans="4:5">
      <c r="D1825" s="519"/>
      <c r="E1825" s="519"/>
    </row>
    <row r="1826" spans="4:5">
      <c r="D1826" s="519"/>
      <c r="E1826" s="519"/>
    </row>
    <row r="1827" spans="4:5">
      <c r="D1827" s="519"/>
      <c r="E1827" s="519"/>
    </row>
    <row r="1828" spans="4:5">
      <c r="D1828" s="519"/>
      <c r="E1828" s="519"/>
    </row>
    <row r="1829" spans="4:5">
      <c r="D1829" s="519"/>
      <c r="E1829" s="519"/>
    </row>
    <row r="1830" spans="4:5">
      <c r="D1830" s="519"/>
      <c r="E1830" s="519"/>
    </row>
    <row r="1831" spans="4:5">
      <c r="D1831" s="519"/>
      <c r="E1831" s="519"/>
    </row>
    <row r="1832" spans="4:5">
      <c r="D1832" s="519"/>
      <c r="E1832" s="519"/>
    </row>
    <row r="1833" spans="4:5">
      <c r="D1833" s="519"/>
      <c r="E1833" s="519"/>
    </row>
    <row r="1834" spans="4:5">
      <c r="D1834" s="519"/>
      <c r="E1834" s="519"/>
    </row>
    <row r="1835" spans="4:5">
      <c r="D1835" s="519"/>
      <c r="E1835" s="519"/>
    </row>
    <row r="1836" spans="4:5">
      <c r="D1836" s="519"/>
      <c r="E1836" s="519"/>
    </row>
    <row r="1837" spans="4:5">
      <c r="D1837" s="519"/>
      <c r="E1837" s="519"/>
    </row>
    <row r="1838" spans="4:5">
      <c r="D1838" s="519"/>
      <c r="E1838" s="519"/>
    </row>
    <row r="1839" spans="4:5">
      <c r="D1839" s="519"/>
      <c r="E1839" s="519"/>
    </row>
    <row r="1840" spans="4:5">
      <c r="D1840" s="519"/>
      <c r="E1840" s="519"/>
    </row>
    <row r="1841" spans="4:5">
      <c r="D1841" s="519"/>
      <c r="E1841" s="519"/>
    </row>
    <row r="1842" spans="4:5">
      <c r="D1842" s="519"/>
      <c r="E1842" s="519"/>
    </row>
    <row r="1843" spans="4:5">
      <c r="D1843" s="519"/>
      <c r="E1843" s="519"/>
    </row>
    <row r="1844" spans="4:5">
      <c r="D1844" s="519"/>
      <c r="E1844" s="519"/>
    </row>
    <row r="1845" spans="4:5">
      <c r="D1845" s="519"/>
      <c r="E1845" s="519"/>
    </row>
    <row r="1846" spans="4:5">
      <c r="D1846" s="519"/>
      <c r="E1846" s="519"/>
    </row>
    <row r="1847" spans="4:5">
      <c r="D1847" s="519"/>
      <c r="E1847" s="519"/>
    </row>
    <row r="1848" spans="4:5">
      <c r="D1848" s="519"/>
      <c r="E1848" s="519"/>
    </row>
    <row r="1849" spans="4:5">
      <c r="D1849" s="519"/>
      <c r="E1849" s="519"/>
    </row>
    <row r="1850" spans="4:5">
      <c r="D1850" s="519"/>
      <c r="E1850" s="519"/>
    </row>
    <row r="1851" spans="4:5">
      <c r="D1851" s="519"/>
      <c r="E1851" s="519"/>
    </row>
    <row r="1852" spans="4:5">
      <c r="D1852" s="519"/>
      <c r="E1852" s="519"/>
    </row>
    <row r="1853" spans="4:5">
      <c r="D1853" s="519"/>
      <c r="E1853" s="519"/>
    </row>
    <row r="1854" spans="4:5">
      <c r="D1854" s="519"/>
      <c r="E1854" s="519"/>
    </row>
    <row r="1855" spans="4:5">
      <c r="D1855" s="519"/>
      <c r="E1855" s="519"/>
    </row>
    <row r="1856" spans="4:5">
      <c r="D1856" s="519"/>
      <c r="E1856" s="519"/>
    </row>
    <row r="1857" spans="4:5">
      <c r="D1857" s="519"/>
      <c r="E1857" s="519"/>
    </row>
    <row r="1858" spans="4:5">
      <c r="D1858" s="519"/>
      <c r="E1858" s="519"/>
    </row>
    <row r="1859" spans="4:5">
      <c r="D1859" s="519"/>
      <c r="E1859" s="519"/>
    </row>
    <row r="1860" spans="4:5">
      <c r="D1860" s="519"/>
      <c r="E1860" s="519"/>
    </row>
    <row r="1861" spans="4:5">
      <c r="D1861" s="519"/>
      <c r="E1861" s="519"/>
    </row>
    <row r="1862" spans="4:5">
      <c r="D1862" s="519"/>
      <c r="E1862" s="519"/>
    </row>
    <row r="1863" spans="4:5">
      <c r="D1863" s="519"/>
      <c r="E1863" s="519"/>
    </row>
    <row r="1864" spans="4:5">
      <c r="D1864" s="519"/>
      <c r="E1864" s="519"/>
    </row>
    <row r="1865" spans="4:5">
      <c r="D1865" s="519"/>
      <c r="E1865" s="519"/>
    </row>
    <row r="1866" spans="4:5">
      <c r="D1866" s="519"/>
      <c r="E1866" s="519"/>
    </row>
    <row r="1867" spans="4:5">
      <c r="D1867" s="519"/>
      <c r="E1867" s="519"/>
    </row>
    <row r="1868" spans="4:5">
      <c r="D1868" s="519"/>
      <c r="E1868" s="519"/>
    </row>
    <row r="1869" spans="4:5">
      <c r="D1869" s="519"/>
      <c r="E1869" s="519"/>
    </row>
    <row r="1870" spans="4:5">
      <c r="D1870" s="519"/>
      <c r="E1870" s="519"/>
    </row>
    <row r="1871" spans="4:5">
      <c r="D1871" s="519"/>
      <c r="E1871" s="519"/>
    </row>
    <row r="1872" spans="4:5">
      <c r="D1872" s="519"/>
      <c r="E1872" s="519"/>
    </row>
    <row r="1873" spans="4:5">
      <c r="D1873" s="519"/>
      <c r="E1873" s="519"/>
    </row>
    <row r="1874" spans="4:5">
      <c r="D1874" s="519"/>
      <c r="E1874" s="519"/>
    </row>
    <row r="1875" spans="4:5">
      <c r="D1875" s="519"/>
      <c r="E1875" s="519"/>
    </row>
    <row r="1876" spans="4:5">
      <c r="D1876" s="519"/>
      <c r="E1876" s="519"/>
    </row>
    <row r="1877" spans="4:5">
      <c r="D1877" s="519"/>
      <c r="E1877" s="519"/>
    </row>
    <row r="1878" spans="4:5">
      <c r="D1878" s="519"/>
      <c r="E1878" s="519"/>
    </row>
    <row r="1879" spans="4:5">
      <c r="D1879" s="519"/>
      <c r="E1879" s="519"/>
    </row>
    <row r="1880" spans="4:5">
      <c r="D1880" s="519"/>
      <c r="E1880" s="519"/>
    </row>
    <row r="1881" spans="4:5">
      <c r="D1881" s="519"/>
      <c r="E1881" s="519"/>
    </row>
    <row r="1882" spans="4:5">
      <c r="D1882" s="519"/>
      <c r="E1882" s="519"/>
    </row>
    <row r="1883" spans="4:5">
      <c r="D1883" s="519"/>
      <c r="E1883" s="519"/>
    </row>
    <row r="1884" spans="4:5">
      <c r="D1884" s="519"/>
      <c r="E1884" s="519"/>
    </row>
    <row r="1885" spans="4:5">
      <c r="D1885" s="519"/>
      <c r="E1885" s="519"/>
    </row>
    <row r="1886" spans="4:5">
      <c r="D1886" s="519"/>
      <c r="E1886" s="519"/>
    </row>
    <row r="1887" spans="4:5">
      <c r="D1887" s="519"/>
      <c r="E1887" s="519"/>
    </row>
    <row r="1888" spans="4:5">
      <c r="D1888" s="519"/>
      <c r="E1888" s="519"/>
    </row>
    <row r="1889" spans="4:5">
      <c r="D1889" s="519"/>
      <c r="E1889" s="519"/>
    </row>
    <row r="1890" spans="4:5">
      <c r="D1890" s="519"/>
      <c r="E1890" s="519"/>
    </row>
    <row r="1891" spans="4:5">
      <c r="D1891" s="519"/>
      <c r="E1891" s="519"/>
    </row>
    <row r="1892" spans="4:5">
      <c r="D1892" s="519"/>
      <c r="E1892" s="519"/>
    </row>
    <row r="1893" spans="4:5">
      <c r="D1893" s="519"/>
      <c r="E1893" s="519"/>
    </row>
    <row r="1894" spans="4:5">
      <c r="D1894" s="519"/>
      <c r="E1894" s="519"/>
    </row>
    <row r="1895" spans="4:5">
      <c r="D1895" s="519"/>
      <c r="E1895" s="519"/>
    </row>
    <row r="1896" spans="4:5">
      <c r="D1896" s="519"/>
      <c r="E1896" s="519"/>
    </row>
    <row r="1897" spans="4:5">
      <c r="D1897" s="519"/>
      <c r="E1897" s="519"/>
    </row>
    <row r="1898" spans="4:5">
      <c r="D1898" s="519"/>
      <c r="E1898" s="519"/>
    </row>
    <row r="1899" spans="4:5">
      <c r="D1899" s="519"/>
      <c r="E1899" s="519"/>
    </row>
    <row r="1900" spans="4:5">
      <c r="D1900" s="519"/>
      <c r="E1900" s="519"/>
    </row>
    <row r="1901" spans="4:5">
      <c r="D1901" s="519"/>
      <c r="E1901" s="519"/>
    </row>
    <row r="1902" spans="4:5">
      <c r="D1902" s="519"/>
      <c r="E1902" s="519"/>
    </row>
    <row r="1903" spans="4:5">
      <c r="D1903" s="519"/>
      <c r="E1903" s="519"/>
    </row>
    <row r="1904" spans="4:5">
      <c r="D1904" s="519"/>
      <c r="E1904" s="519"/>
    </row>
    <row r="1905" spans="4:5">
      <c r="D1905" s="519"/>
      <c r="E1905" s="519"/>
    </row>
    <row r="1906" spans="4:5">
      <c r="D1906" s="519"/>
      <c r="E1906" s="519"/>
    </row>
    <row r="1907" spans="4:5">
      <c r="D1907" s="519"/>
      <c r="E1907" s="519"/>
    </row>
    <row r="1908" spans="4:5">
      <c r="D1908" s="519"/>
      <c r="E1908" s="519"/>
    </row>
    <row r="1909" spans="4:5">
      <c r="D1909" s="519"/>
      <c r="E1909" s="519"/>
    </row>
    <row r="1910" spans="4:5">
      <c r="D1910" s="519"/>
      <c r="E1910" s="519"/>
    </row>
    <row r="1911" spans="4:5">
      <c r="D1911" s="519"/>
      <c r="E1911" s="519"/>
    </row>
    <row r="1912" spans="4:5">
      <c r="D1912" s="519"/>
      <c r="E1912" s="519"/>
    </row>
    <row r="1913" spans="4:5">
      <c r="D1913" s="519"/>
      <c r="E1913" s="519"/>
    </row>
    <row r="1914" spans="4:5">
      <c r="D1914" s="519"/>
      <c r="E1914" s="519"/>
    </row>
    <row r="1915" spans="4:5">
      <c r="D1915" s="519"/>
      <c r="E1915" s="519"/>
    </row>
    <row r="1916" spans="4:5">
      <c r="D1916" s="519"/>
      <c r="E1916" s="519"/>
    </row>
    <row r="1917" spans="4:5">
      <c r="D1917" s="519"/>
      <c r="E1917" s="519"/>
    </row>
    <row r="1918" spans="4:5">
      <c r="D1918" s="519"/>
      <c r="E1918" s="519"/>
    </row>
    <row r="1919" spans="4:5">
      <c r="D1919" s="519"/>
      <c r="E1919" s="519"/>
    </row>
    <row r="1920" spans="4:5">
      <c r="D1920" s="519"/>
      <c r="E1920" s="519"/>
    </row>
    <row r="1921" spans="4:5">
      <c r="D1921" s="519"/>
      <c r="E1921" s="519"/>
    </row>
    <row r="1922" spans="4:5">
      <c r="D1922" s="519"/>
      <c r="E1922" s="519"/>
    </row>
    <row r="1923" spans="4:5">
      <c r="D1923" s="519"/>
      <c r="E1923" s="519"/>
    </row>
    <row r="1924" spans="4:5">
      <c r="D1924" s="519"/>
      <c r="E1924" s="519"/>
    </row>
    <row r="1925" spans="4:5">
      <c r="D1925" s="519"/>
      <c r="E1925" s="519"/>
    </row>
    <row r="1926" spans="4:5">
      <c r="D1926" s="519"/>
      <c r="E1926" s="519"/>
    </row>
    <row r="1927" spans="4:5">
      <c r="D1927" s="519"/>
      <c r="E1927" s="519"/>
    </row>
    <row r="1928" spans="4:5">
      <c r="D1928" s="519"/>
      <c r="E1928" s="519"/>
    </row>
    <row r="1929" spans="4:5">
      <c r="D1929" s="519"/>
      <c r="E1929" s="519"/>
    </row>
    <row r="1930" spans="4:5">
      <c r="D1930" s="519"/>
      <c r="E1930" s="519"/>
    </row>
    <row r="1931" spans="4:5">
      <c r="D1931" s="519"/>
      <c r="E1931" s="519"/>
    </row>
    <row r="1932" spans="4:5">
      <c r="D1932" s="519"/>
      <c r="E1932" s="519"/>
    </row>
    <row r="1933" spans="4:5">
      <c r="D1933" s="519"/>
      <c r="E1933" s="519"/>
    </row>
    <row r="1934" spans="4:5">
      <c r="D1934" s="519"/>
      <c r="E1934" s="519"/>
    </row>
    <row r="1935" spans="4:5">
      <c r="D1935" s="519"/>
      <c r="E1935" s="519"/>
    </row>
    <row r="1936" spans="4:5">
      <c r="D1936" s="519"/>
      <c r="E1936" s="519"/>
    </row>
    <row r="1937" spans="4:5">
      <c r="D1937" s="519"/>
      <c r="E1937" s="519"/>
    </row>
    <row r="1938" spans="4:5">
      <c r="D1938" s="519"/>
      <c r="E1938" s="519"/>
    </row>
    <row r="1939" spans="4:5">
      <c r="D1939" s="519"/>
      <c r="E1939" s="519"/>
    </row>
    <row r="1940" spans="4:5">
      <c r="D1940" s="519"/>
      <c r="E1940" s="519"/>
    </row>
    <row r="1941" spans="4:5">
      <c r="D1941" s="519"/>
      <c r="E1941" s="519"/>
    </row>
    <row r="1942" spans="4:5">
      <c r="D1942" s="519"/>
      <c r="E1942" s="519"/>
    </row>
    <row r="1943" spans="4:5">
      <c r="D1943" s="519"/>
      <c r="E1943" s="519"/>
    </row>
    <row r="1944" spans="4:5">
      <c r="D1944" s="519"/>
      <c r="E1944" s="519"/>
    </row>
    <row r="1945" spans="4:5">
      <c r="D1945" s="519"/>
      <c r="E1945" s="519"/>
    </row>
    <row r="1946" spans="4:5">
      <c r="D1946" s="519"/>
      <c r="E1946" s="519"/>
    </row>
    <row r="1947" spans="4:5">
      <c r="D1947" s="519"/>
      <c r="E1947" s="519"/>
    </row>
    <row r="1948" spans="4:5">
      <c r="D1948" s="519"/>
      <c r="E1948" s="519"/>
    </row>
    <row r="1949" spans="4:5">
      <c r="D1949" s="519"/>
      <c r="E1949" s="519"/>
    </row>
    <row r="1950" spans="4:5">
      <c r="D1950" s="519"/>
      <c r="E1950" s="519"/>
    </row>
    <row r="1951" spans="4:5">
      <c r="D1951" s="519"/>
      <c r="E1951" s="519"/>
    </row>
    <row r="1952" spans="4:5">
      <c r="D1952" s="519"/>
      <c r="E1952" s="519"/>
    </row>
    <row r="1953" spans="4:5">
      <c r="D1953" s="519"/>
      <c r="E1953" s="519"/>
    </row>
    <row r="1954" spans="4:5">
      <c r="D1954" s="519"/>
      <c r="E1954" s="519"/>
    </row>
    <row r="1955" spans="4:5">
      <c r="D1955" s="519"/>
      <c r="E1955" s="519"/>
    </row>
    <row r="1956" spans="4:5">
      <c r="D1956" s="519"/>
      <c r="E1956" s="519"/>
    </row>
    <row r="1957" spans="4:5">
      <c r="D1957" s="519"/>
      <c r="E1957" s="519"/>
    </row>
    <row r="1958" spans="4:5">
      <c r="D1958" s="519"/>
      <c r="E1958" s="519"/>
    </row>
    <row r="1959" spans="4:5">
      <c r="D1959" s="519"/>
      <c r="E1959" s="519"/>
    </row>
    <row r="1960" spans="4:5">
      <c r="D1960" s="519"/>
      <c r="E1960" s="519"/>
    </row>
    <row r="1961" spans="4:5">
      <c r="D1961" s="519"/>
      <c r="E1961" s="519"/>
    </row>
    <row r="1962" spans="4:5">
      <c r="D1962" s="519"/>
      <c r="E1962" s="519"/>
    </row>
    <row r="1963" spans="4:5">
      <c r="D1963" s="519"/>
      <c r="E1963" s="519"/>
    </row>
    <row r="1964" spans="4:5">
      <c r="D1964" s="519"/>
      <c r="E1964" s="519"/>
    </row>
    <row r="1965" spans="4:5">
      <c r="D1965" s="519"/>
      <c r="E1965" s="519"/>
    </row>
    <row r="1966" spans="4:5">
      <c r="D1966" s="519"/>
      <c r="E1966" s="519"/>
    </row>
    <row r="1967" spans="4:5">
      <c r="D1967" s="519"/>
      <c r="E1967" s="519"/>
    </row>
    <row r="1968" spans="4:5">
      <c r="D1968" s="519"/>
      <c r="E1968" s="519"/>
    </row>
    <row r="1969" spans="4:5">
      <c r="D1969" s="519"/>
      <c r="E1969" s="519"/>
    </row>
    <row r="1970" spans="4:5">
      <c r="D1970" s="519"/>
      <c r="E1970" s="519"/>
    </row>
    <row r="1971" spans="4:5">
      <c r="D1971" s="519"/>
      <c r="E1971" s="519"/>
    </row>
    <row r="1972" spans="4:5">
      <c r="D1972" s="519"/>
      <c r="E1972" s="519"/>
    </row>
    <row r="1973" spans="4:5">
      <c r="D1973" s="519"/>
      <c r="E1973" s="519"/>
    </row>
    <row r="1974" spans="4:5">
      <c r="D1974" s="519"/>
      <c r="E1974" s="519"/>
    </row>
    <row r="1975" spans="4:5">
      <c r="D1975" s="519"/>
      <c r="E1975" s="519"/>
    </row>
    <row r="1976" spans="4:5">
      <c r="D1976" s="519"/>
      <c r="E1976" s="519"/>
    </row>
    <row r="1977" spans="4:5">
      <c r="D1977" s="519"/>
      <c r="E1977" s="519"/>
    </row>
    <row r="1978" spans="4:5">
      <c r="D1978" s="519"/>
      <c r="E1978" s="519"/>
    </row>
    <row r="1979" spans="4:5">
      <c r="D1979" s="519"/>
      <c r="E1979" s="519"/>
    </row>
    <row r="1980" spans="4:5">
      <c r="D1980" s="519"/>
      <c r="E1980" s="519"/>
    </row>
    <row r="1981" spans="4:5">
      <c r="D1981" s="519"/>
      <c r="E1981" s="519"/>
    </row>
    <row r="1982" spans="4:5">
      <c r="D1982" s="519"/>
      <c r="E1982" s="519"/>
    </row>
    <row r="1983" spans="4:5">
      <c r="D1983" s="519"/>
      <c r="E1983" s="519"/>
    </row>
    <row r="1984" spans="4:5">
      <c r="D1984" s="519"/>
      <c r="E1984" s="519"/>
    </row>
    <row r="1985" spans="4:5">
      <c r="D1985" s="519"/>
      <c r="E1985" s="519"/>
    </row>
    <row r="1986" spans="4:5">
      <c r="D1986" s="519"/>
      <c r="E1986" s="519"/>
    </row>
    <row r="1987" spans="4:5">
      <c r="D1987" s="519"/>
      <c r="E1987" s="519"/>
    </row>
    <row r="1988" spans="4:5">
      <c r="D1988" s="519"/>
      <c r="E1988" s="519"/>
    </row>
    <row r="1989" spans="4:5">
      <c r="D1989" s="519"/>
      <c r="E1989" s="519"/>
    </row>
    <row r="1990" spans="4:5">
      <c r="D1990" s="519"/>
      <c r="E1990" s="519"/>
    </row>
    <row r="1991" spans="4:5">
      <c r="D1991" s="519"/>
      <c r="E1991" s="519"/>
    </row>
    <row r="1992" spans="4:5">
      <c r="D1992" s="519"/>
      <c r="E1992" s="519"/>
    </row>
    <row r="1993" spans="4:5">
      <c r="D1993" s="519"/>
      <c r="E1993" s="519"/>
    </row>
    <row r="1994" spans="4:5">
      <c r="D1994" s="519"/>
      <c r="E1994" s="519"/>
    </row>
    <row r="1995" spans="4:5">
      <c r="D1995" s="519"/>
      <c r="E1995" s="519"/>
    </row>
    <row r="1996" spans="4:5">
      <c r="D1996" s="519"/>
      <c r="E1996" s="519"/>
    </row>
    <row r="1997" spans="4:5">
      <c r="D1997" s="519"/>
      <c r="E1997" s="519"/>
    </row>
    <row r="1998" spans="4:5">
      <c r="D1998" s="519"/>
      <c r="E1998" s="519"/>
    </row>
    <row r="1999" spans="4:5">
      <c r="D1999" s="519"/>
      <c r="E1999" s="519"/>
    </row>
    <row r="2000" spans="4:5">
      <c r="D2000" s="519"/>
      <c r="E2000" s="519"/>
    </row>
    <row r="2001" spans="4:5">
      <c r="D2001" s="519"/>
      <c r="E2001" s="519"/>
    </row>
    <row r="2002" spans="4:5">
      <c r="D2002" s="519"/>
      <c r="E2002" s="519"/>
    </row>
    <row r="2003" spans="4:5">
      <c r="D2003" s="519"/>
      <c r="E2003" s="519"/>
    </row>
    <row r="2004" spans="4:5">
      <c r="D2004" s="519"/>
      <c r="E2004" s="519"/>
    </row>
    <row r="2005" spans="4:5">
      <c r="D2005" s="519"/>
      <c r="E2005" s="519"/>
    </row>
    <row r="2006" spans="4:5">
      <c r="D2006" s="519"/>
      <c r="E2006" s="519"/>
    </row>
    <row r="2007" spans="4:5">
      <c r="D2007" s="519"/>
      <c r="E2007" s="519"/>
    </row>
    <row r="2008" spans="4:5">
      <c r="D2008" s="519"/>
      <c r="E2008" s="519"/>
    </row>
    <row r="2009" spans="4:5">
      <c r="D2009" s="519"/>
      <c r="E2009" s="519"/>
    </row>
    <row r="2010" spans="4:5">
      <c r="D2010" s="519"/>
      <c r="E2010" s="519"/>
    </row>
    <row r="2011" spans="4:5">
      <c r="D2011" s="519"/>
      <c r="E2011" s="519"/>
    </row>
    <row r="2012" spans="4:5">
      <c r="D2012" s="519"/>
      <c r="E2012" s="519"/>
    </row>
    <row r="2013" spans="4:5">
      <c r="D2013" s="519"/>
      <c r="E2013" s="519"/>
    </row>
    <row r="2014" spans="4:5">
      <c r="D2014" s="519"/>
      <c r="E2014" s="519"/>
    </row>
    <row r="2015" spans="4:5">
      <c r="D2015" s="519"/>
      <c r="E2015" s="519"/>
    </row>
    <row r="2016" spans="4:5">
      <c r="D2016" s="519"/>
      <c r="E2016" s="519"/>
    </row>
    <row r="2017" spans="4:5">
      <c r="D2017" s="519"/>
      <c r="E2017" s="519"/>
    </row>
    <row r="2018" spans="4:5">
      <c r="D2018" s="519"/>
      <c r="E2018" s="519"/>
    </row>
    <row r="2019" spans="4:5">
      <c r="D2019" s="519"/>
      <c r="E2019" s="519"/>
    </row>
    <row r="2020" spans="4:5">
      <c r="D2020" s="519"/>
      <c r="E2020" s="519"/>
    </row>
    <row r="2021" spans="4:5">
      <c r="D2021" s="519"/>
      <c r="E2021" s="519"/>
    </row>
    <row r="2022" spans="4:5">
      <c r="D2022" s="519"/>
      <c r="E2022" s="519"/>
    </row>
    <row r="2023" spans="4:5">
      <c r="D2023" s="519"/>
      <c r="E2023" s="519"/>
    </row>
    <row r="2024" spans="4:5">
      <c r="D2024" s="519"/>
      <c r="E2024" s="519"/>
    </row>
    <row r="2025" spans="4:5">
      <c r="D2025" s="519"/>
      <c r="E2025" s="519"/>
    </row>
    <row r="2026" spans="4:5">
      <c r="D2026" s="519"/>
      <c r="E2026" s="519"/>
    </row>
    <row r="2027" spans="4:5">
      <c r="D2027" s="519"/>
      <c r="E2027" s="519"/>
    </row>
    <row r="2028" spans="4:5">
      <c r="D2028" s="519"/>
      <c r="E2028" s="519"/>
    </row>
    <row r="2029" spans="4:5">
      <c r="D2029" s="519"/>
      <c r="E2029" s="519"/>
    </row>
    <row r="2030" spans="4:5">
      <c r="D2030" s="519"/>
      <c r="E2030" s="519"/>
    </row>
    <row r="2031" spans="4:5">
      <c r="D2031" s="519"/>
      <c r="E2031" s="519"/>
    </row>
    <row r="2032" spans="4:5">
      <c r="D2032" s="519"/>
      <c r="E2032" s="519"/>
    </row>
    <row r="2033" spans="4:5">
      <c r="D2033" s="519"/>
      <c r="E2033" s="519"/>
    </row>
    <row r="2034" spans="4:5">
      <c r="D2034" s="519"/>
      <c r="E2034" s="519"/>
    </row>
    <row r="2035" spans="4:5">
      <c r="D2035" s="519"/>
      <c r="E2035" s="519"/>
    </row>
    <row r="2036" spans="4:5">
      <c r="D2036" s="519"/>
      <c r="E2036" s="519"/>
    </row>
    <row r="2037" spans="4:5">
      <c r="D2037" s="519"/>
      <c r="E2037" s="519"/>
    </row>
    <row r="2038" spans="4:5">
      <c r="D2038" s="519"/>
      <c r="E2038" s="519"/>
    </row>
    <row r="2039" spans="4:5">
      <c r="D2039" s="519"/>
      <c r="E2039" s="519"/>
    </row>
    <row r="2040" spans="4:5">
      <c r="D2040" s="519"/>
      <c r="E2040" s="519"/>
    </row>
    <row r="2041" spans="4:5">
      <c r="D2041" s="519"/>
      <c r="E2041" s="519"/>
    </row>
    <row r="2042" spans="4:5">
      <c r="D2042" s="519"/>
      <c r="E2042" s="519"/>
    </row>
    <row r="2043" spans="4:5">
      <c r="D2043" s="519"/>
      <c r="E2043" s="519"/>
    </row>
    <row r="2044" spans="4:5">
      <c r="D2044" s="519"/>
      <c r="E2044" s="519"/>
    </row>
    <row r="2045" spans="4:5">
      <c r="D2045" s="519"/>
      <c r="E2045" s="519"/>
    </row>
    <row r="2046" spans="4:5">
      <c r="D2046" s="519"/>
      <c r="E2046" s="519"/>
    </row>
    <row r="2047" spans="4:5">
      <c r="D2047" s="519"/>
      <c r="E2047" s="519"/>
    </row>
    <row r="2048" spans="4:5">
      <c r="D2048" s="519"/>
      <c r="E2048" s="519"/>
    </row>
    <row r="2049" spans="4:5">
      <c r="D2049" s="519"/>
      <c r="E2049" s="519"/>
    </row>
    <row r="2050" spans="4:5">
      <c r="D2050" s="519"/>
      <c r="E2050" s="519"/>
    </row>
    <row r="2051" spans="4:5">
      <c r="D2051" s="519"/>
      <c r="E2051" s="519"/>
    </row>
    <row r="2052" spans="4:5">
      <c r="D2052" s="519"/>
      <c r="E2052" s="519"/>
    </row>
    <row r="2053" spans="4:5">
      <c r="D2053" s="519"/>
      <c r="E2053" s="519"/>
    </row>
    <row r="2054" spans="4:5">
      <c r="D2054" s="519"/>
      <c r="E2054" s="519"/>
    </row>
    <row r="2055" spans="4:5">
      <c r="D2055" s="519"/>
      <c r="E2055" s="519"/>
    </row>
    <row r="2056" spans="4:5">
      <c r="D2056" s="519"/>
      <c r="E2056" s="519"/>
    </row>
    <row r="2057" spans="4:5">
      <c r="D2057" s="519"/>
      <c r="E2057" s="519"/>
    </row>
    <row r="2058" spans="4:5">
      <c r="D2058" s="519"/>
      <c r="E2058" s="519"/>
    </row>
    <row r="2059" spans="4:5">
      <c r="D2059" s="519"/>
      <c r="E2059" s="519"/>
    </row>
    <row r="2060" spans="4:5">
      <c r="D2060" s="519"/>
      <c r="E2060" s="519"/>
    </row>
    <row r="2061" spans="4:5">
      <c r="D2061" s="519"/>
      <c r="E2061" s="519"/>
    </row>
    <row r="2062" spans="4:5">
      <c r="D2062" s="519"/>
      <c r="E2062" s="519"/>
    </row>
    <row r="2063" spans="4:5">
      <c r="D2063" s="519"/>
      <c r="E2063" s="519"/>
    </row>
    <row r="2064" spans="4:5">
      <c r="D2064" s="519"/>
      <c r="E2064" s="519"/>
    </row>
    <row r="2065" spans="4:5">
      <c r="D2065" s="519"/>
      <c r="E2065" s="519"/>
    </row>
    <row r="2066" spans="4:5">
      <c r="D2066" s="519"/>
      <c r="E2066" s="519"/>
    </row>
    <row r="2067" spans="4:5">
      <c r="D2067" s="519"/>
      <c r="E2067" s="519"/>
    </row>
    <row r="2068" spans="4:5">
      <c r="D2068" s="519"/>
      <c r="E2068" s="519"/>
    </row>
    <row r="2069" spans="4:5">
      <c r="D2069" s="519"/>
      <c r="E2069" s="519"/>
    </row>
    <row r="2070" spans="4:5">
      <c r="D2070" s="519"/>
      <c r="E2070" s="519"/>
    </row>
    <row r="2071" spans="4:5">
      <c r="D2071" s="519"/>
      <c r="E2071" s="519"/>
    </row>
    <row r="2072" spans="4:5">
      <c r="D2072" s="519"/>
      <c r="E2072" s="519"/>
    </row>
    <row r="2073" spans="4:5">
      <c r="D2073" s="519"/>
      <c r="E2073" s="519"/>
    </row>
    <row r="2074" spans="4:5">
      <c r="D2074" s="519"/>
      <c r="E2074" s="519"/>
    </row>
    <row r="2075" spans="4:5">
      <c r="D2075" s="519"/>
      <c r="E2075" s="519"/>
    </row>
    <row r="2076" spans="4:5">
      <c r="D2076" s="519"/>
      <c r="E2076" s="519"/>
    </row>
    <row r="2077" spans="4:5">
      <c r="D2077" s="519"/>
      <c r="E2077" s="519"/>
    </row>
    <row r="2078" spans="4:5">
      <c r="D2078" s="519"/>
      <c r="E2078" s="519"/>
    </row>
    <row r="2079" spans="4:5">
      <c r="D2079" s="519"/>
      <c r="E2079" s="519"/>
    </row>
    <row r="2080" spans="4:5">
      <c r="D2080" s="519"/>
      <c r="E2080" s="519"/>
    </row>
    <row r="2081" spans="4:5">
      <c r="D2081" s="519"/>
      <c r="E2081" s="519"/>
    </row>
    <row r="2082" spans="4:5">
      <c r="D2082" s="519"/>
      <c r="E2082" s="519"/>
    </row>
    <row r="2083" spans="4:5">
      <c r="D2083" s="519"/>
      <c r="E2083" s="519"/>
    </row>
    <row r="2084" spans="4:5">
      <c r="D2084" s="519"/>
      <c r="E2084" s="519"/>
    </row>
    <row r="2085" spans="4:5">
      <c r="D2085" s="519"/>
      <c r="E2085" s="519"/>
    </row>
    <row r="2086" spans="4:5">
      <c r="D2086" s="519"/>
      <c r="E2086" s="519"/>
    </row>
    <row r="2087" spans="4:5">
      <c r="D2087" s="519"/>
      <c r="E2087" s="519"/>
    </row>
    <row r="2088" spans="4:5">
      <c r="D2088" s="519"/>
      <c r="E2088" s="519"/>
    </row>
    <row r="2089" spans="4:5">
      <c r="D2089" s="519"/>
      <c r="E2089" s="519"/>
    </row>
    <row r="2090" spans="4:5">
      <c r="D2090" s="519"/>
      <c r="E2090" s="519"/>
    </row>
    <row r="2091" spans="4:5">
      <c r="D2091" s="519"/>
      <c r="E2091" s="519"/>
    </row>
    <row r="2092" spans="4:5">
      <c r="D2092" s="519"/>
      <c r="E2092" s="519"/>
    </row>
    <row r="2093" spans="4:5">
      <c r="D2093" s="519"/>
      <c r="E2093" s="519"/>
    </row>
    <row r="2094" spans="4:5">
      <c r="D2094" s="519"/>
      <c r="E2094" s="519"/>
    </row>
    <row r="2095" spans="4:5">
      <c r="D2095" s="519"/>
      <c r="E2095" s="519"/>
    </row>
    <row r="2096" spans="4:5">
      <c r="D2096" s="519"/>
      <c r="E2096" s="519"/>
    </row>
    <row r="2097" spans="4:5">
      <c r="D2097" s="519"/>
      <c r="E2097" s="519"/>
    </row>
    <row r="2098" spans="4:5">
      <c r="D2098" s="519"/>
      <c r="E2098" s="519"/>
    </row>
    <row r="2099" spans="4:5">
      <c r="D2099" s="519"/>
      <c r="E2099" s="519"/>
    </row>
    <row r="2100" spans="4:5">
      <c r="D2100" s="519"/>
      <c r="E2100" s="519"/>
    </row>
    <row r="2101" spans="4:5">
      <c r="D2101" s="519"/>
      <c r="E2101" s="519"/>
    </row>
    <row r="2102" spans="4:5">
      <c r="D2102" s="519"/>
      <c r="E2102" s="519"/>
    </row>
    <row r="2103" spans="4:5">
      <c r="D2103" s="519"/>
      <c r="E2103" s="519"/>
    </row>
    <row r="2104" spans="4:5">
      <c r="D2104" s="519"/>
      <c r="E2104" s="519"/>
    </row>
    <row r="2105" spans="4:5">
      <c r="D2105" s="519"/>
      <c r="E2105" s="519"/>
    </row>
    <row r="2106" spans="4:5">
      <c r="D2106" s="519"/>
      <c r="E2106" s="519"/>
    </row>
    <row r="2107" spans="4:5">
      <c r="D2107" s="519"/>
      <c r="E2107" s="519"/>
    </row>
    <row r="2108" spans="4:5">
      <c r="D2108" s="519"/>
      <c r="E2108" s="519"/>
    </row>
    <row r="2109" spans="4:5">
      <c r="D2109" s="519"/>
      <c r="E2109" s="519"/>
    </row>
    <row r="2110" spans="4:5">
      <c r="D2110" s="519"/>
      <c r="E2110" s="519"/>
    </row>
    <row r="2111" spans="4:5">
      <c r="D2111" s="519"/>
      <c r="E2111" s="519"/>
    </row>
    <row r="2112" spans="4:5">
      <c r="D2112" s="519"/>
      <c r="E2112" s="519"/>
    </row>
    <row r="2113" spans="4:5">
      <c r="D2113" s="519"/>
      <c r="E2113" s="519"/>
    </row>
    <row r="2114" spans="4:5">
      <c r="D2114" s="519"/>
      <c r="E2114" s="519"/>
    </row>
    <row r="2115" spans="4:5">
      <c r="D2115" s="519"/>
      <c r="E2115" s="519"/>
    </row>
    <row r="2116" spans="4:5">
      <c r="D2116" s="519"/>
      <c r="E2116" s="519"/>
    </row>
    <row r="2117" spans="4:5">
      <c r="D2117" s="519"/>
      <c r="E2117" s="519"/>
    </row>
    <row r="2118" spans="4:5">
      <c r="D2118" s="519"/>
      <c r="E2118" s="519"/>
    </row>
    <row r="2119" spans="4:5">
      <c r="D2119" s="519"/>
      <c r="E2119" s="519"/>
    </row>
    <row r="2120" spans="4:5">
      <c r="D2120" s="519"/>
      <c r="E2120" s="519"/>
    </row>
    <row r="2121" spans="4:5">
      <c r="D2121" s="519"/>
      <c r="E2121" s="519"/>
    </row>
    <row r="2122" spans="4:5">
      <c r="D2122" s="519"/>
      <c r="E2122" s="519"/>
    </row>
    <row r="2123" spans="4:5">
      <c r="D2123" s="519"/>
      <c r="E2123" s="519"/>
    </row>
    <row r="2124" spans="4:5">
      <c r="D2124" s="519"/>
      <c r="E2124" s="519"/>
    </row>
    <row r="2125" spans="4:5">
      <c r="D2125" s="519"/>
      <c r="E2125" s="519"/>
    </row>
    <row r="2126" spans="4:5">
      <c r="D2126" s="519"/>
      <c r="E2126" s="519"/>
    </row>
    <row r="2127" spans="4:5">
      <c r="D2127" s="519"/>
      <c r="E2127" s="519"/>
    </row>
    <row r="2128" spans="4:5">
      <c r="D2128" s="519"/>
      <c r="E2128" s="519"/>
    </row>
    <row r="2129" spans="4:5">
      <c r="D2129" s="519"/>
      <c r="E2129" s="519"/>
    </row>
    <row r="2130" spans="4:5">
      <c r="D2130" s="519"/>
      <c r="E2130" s="519"/>
    </row>
    <row r="2131" spans="4:5">
      <c r="D2131" s="519"/>
      <c r="E2131" s="519"/>
    </row>
    <row r="2132" spans="4:5">
      <c r="D2132" s="519"/>
      <c r="E2132" s="519"/>
    </row>
    <row r="2133" spans="4:5">
      <c r="D2133" s="519"/>
      <c r="E2133" s="519"/>
    </row>
    <row r="2134" spans="4:5">
      <c r="D2134" s="519"/>
      <c r="E2134" s="519"/>
    </row>
    <row r="2135" spans="4:5">
      <c r="D2135" s="519"/>
      <c r="E2135" s="519"/>
    </row>
    <row r="2136" spans="4:5">
      <c r="D2136" s="519"/>
      <c r="E2136" s="519"/>
    </row>
    <row r="2137" spans="4:5">
      <c r="D2137" s="519"/>
      <c r="E2137" s="519"/>
    </row>
    <row r="2138" spans="4:5">
      <c r="D2138" s="519"/>
      <c r="E2138" s="519"/>
    </row>
    <row r="2139" spans="4:5">
      <c r="D2139" s="519"/>
      <c r="E2139" s="519"/>
    </row>
    <row r="2140" spans="4:5">
      <c r="D2140" s="519"/>
      <c r="E2140" s="519"/>
    </row>
    <row r="2141" spans="4:5">
      <c r="D2141" s="519"/>
      <c r="E2141" s="519"/>
    </row>
    <row r="2142" spans="4:5">
      <c r="D2142" s="519"/>
      <c r="E2142" s="519"/>
    </row>
    <row r="2143" spans="4:5">
      <c r="D2143" s="519"/>
      <c r="E2143" s="519"/>
    </row>
    <row r="2144" spans="4:5">
      <c r="D2144" s="519"/>
      <c r="E2144" s="519"/>
    </row>
    <row r="2145" spans="4:5">
      <c r="D2145" s="519"/>
      <c r="E2145" s="519"/>
    </row>
    <row r="2146" spans="4:5">
      <c r="D2146" s="519"/>
      <c r="E2146" s="519"/>
    </row>
    <row r="2147" spans="4:5">
      <c r="D2147" s="519"/>
      <c r="E2147" s="519"/>
    </row>
    <row r="2148" spans="4:5">
      <c r="D2148" s="519"/>
      <c r="E2148" s="519"/>
    </row>
    <row r="2149" spans="4:5">
      <c r="D2149" s="519"/>
      <c r="E2149" s="519"/>
    </row>
    <row r="2150" spans="4:5">
      <c r="D2150" s="519"/>
      <c r="E2150" s="519"/>
    </row>
    <row r="2151" spans="4:5">
      <c r="D2151" s="519"/>
      <c r="E2151" s="519"/>
    </row>
    <row r="2152" spans="4:5">
      <c r="D2152" s="519"/>
      <c r="E2152" s="519"/>
    </row>
    <row r="2153" spans="4:5">
      <c r="D2153" s="519"/>
      <c r="E2153" s="519"/>
    </row>
    <row r="2154" spans="4:5">
      <c r="D2154" s="519"/>
      <c r="E2154" s="519"/>
    </row>
    <row r="2155" spans="4:5">
      <c r="D2155" s="519"/>
      <c r="E2155" s="519"/>
    </row>
    <row r="2156" spans="4:5">
      <c r="D2156" s="519"/>
      <c r="E2156" s="519"/>
    </row>
    <row r="2157" spans="4:5">
      <c r="D2157" s="519"/>
      <c r="E2157" s="519"/>
    </row>
    <row r="2158" spans="4:5">
      <c r="D2158" s="519"/>
      <c r="E2158" s="519"/>
    </row>
    <row r="2159" spans="4:5">
      <c r="D2159" s="519"/>
      <c r="E2159" s="519"/>
    </row>
    <row r="2160" spans="4:5">
      <c r="D2160" s="519"/>
      <c r="E2160" s="519"/>
    </row>
    <row r="2161" spans="4:5">
      <c r="D2161" s="519"/>
      <c r="E2161" s="519"/>
    </row>
    <row r="2162" spans="4:5">
      <c r="D2162" s="519"/>
      <c r="E2162" s="519"/>
    </row>
    <row r="2163" spans="4:5">
      <c r="D2163" s="519"/>
      <c r="E2163" s="519"/>
    </row>
    <row r="2164" spans="4:5">
      <c r="D2164" s="519"/>
      <c r="E2164" s="519"/>
    </row>
    <row r="2165" spans="4:5">
      <c r="D2165" s="519"/>
      <c r="E2165" s="519"/>
    </row>
    <row r="2166" spans="4:5">
      <c r="D2166" s="519"/>
      <c r="E2166" s="519"/>
    </row>
    <row r="2167" spans="4:5">
      <c r="D2167" s="519"/>
      <c r="E2167" s="519"/>
    </row>
    <row r="2168" spans="4:5">
      <c r="D2168" s="519"/>
      <c r="E2168" s="519"/>
    </row>
    <row r="2169" spans="4:5">
      <c r="D2169" s="519"/>
      <c r="E2169" s="519"/>
    </row>
    <row r="2170" spans="4:5">
      <c r="D2170" s="519"/>
      <c r="E2170" s="519"/>
    </row>
    <row r="2171" spans="4:5">
      <c r="D2171" s="519"/>
      <c r="E2171" s="519"/>
    </row>
    <row r="2172" spans="4:5">
      <c r="D2172" s="519"/>
      <c r="E2172" s="519"/>
    </row>
    <row r="2173" spans="4:5">
      <c r="D2173" s="519"/>
      <c r="E2173" s="519"/>
    </row>
    <row r="2174" spans="4:5">
      <c r="D2174" s="519"/>
      <c r="E2174" s="519"/>
    </row>
    <row r="2175" spans="4:5">
      <c r="D2175" s="519"/>
      <c r="E2175" s="519"/>
    </row>
    <row r="2176" spans="4:5">
      <c r="D2176" s="519"/>
      <c r="E2176" s="519"/>
    </row>
    <row r="2177" spans="4:5">
      <c r="D2177" s="519"/>
      <c r="E2177" s="519"/>
    </row>
    <row r="2178" spans="4:5">
      <c r="D2178" s="519"/>
      <c r="E2178" s="519"/>
    </row>
    <row r="2179" spans="4:5">
      <c r="D2179" s="519"/>
      <c r="E2179" s="519"/>
    </row>
    <row r="2180" spans="4:5">
      <c r="D2180" s="519"/>
      <c r="E2180" s="519"/>
    </row>
    <row r="2181" spans="4:5">
      <c r="D2181" s="519"/>
      <c r="E2181" s="519"/>
    </row>
    <row r="2182" spans="4:5">
      <c r="D2182" s="519"/>
      <c r="E2182" s="519"/>
    </row>
    <row r="2183" spans="4:5">
      <c r="D2183" s="519"/>
      <c r="E2183" s="519"/>
    </row>
    <row r="2184" spans="4:5">
      <c r="D2184" s="519"/>
      <c r="E2184" s="519"/>
    </row>
    <row r="2185" spans="4:5">
      <c r="D2185" s="519"/>
      <c r="E2185" s="519"/>
    </row>
    <row r="2186" spans="4:5">
      <c r="D2186" s="519"/>
      <c r="E2186" s="519"/>
    </row>
    <row r="2187" spans="4:5">
      <c r="D2187" s="519"/>
      <c r="E2187" s="519"/>
    </row>
    <row r="2188" spans="4:5">
      <c r="D2188" s="519"/>
      <c r="E2188" s="519"/>
    </row>
    <row r="2189" spans="4:5">
      <c r="D2189" s="519"/>
      <c r="E2189" s="519"/>
    </row>
    <row r="2190" spans="4:5">
      <c r="D2190" s="519"/>
      <c r="E2190" s="519"/>
    </row>
    <row r="2191" spans="4:5">
      <c r="D2191" s="519"/>
      <c r="E2191" s="519"/>
    </row>
    <row r="2192" spans="4:5">
      <c r="D2192" s="519"/>
      <c r="E2192" s="519"/>
    </row>
    <row r="2193" spans="4:5">
      <c r="D2193" s="519"/>
      <c r="E2193" s="519"/>
    </row>
    <row r="2194" spans="4:5">
      <c r="D2194" s="519"/>
      <c r="E2194" s="519"/>
    </row>
    <row r="2195" spans="4:5">
      <c r="D2195" s="519"/>
      <c r="E2195" s="519"/>
    </row>
    <row r="2196" spans="4:5">
      <c r="D2196" s="519"/>
      <c r="E2196" s="519"/>
    </row>
    <row r="2197" spans="4:5">
      <c r="D2197" s="519"/>
      <c r="E2197" s="519"/>
    </row>
    <row r="2198" spans="4:5">
      <c r="D2198" s="519"/>
      <c r="E2198" s="519"/>
    </row>
    <row r="2199" spans="4:5">
      <c r="D2199" s="519"/>
      <c r="E2199" s="519"/>
    </row>
    <row r="2200" spans="4:5">
      <c r="D2200" s="519"/>
      <c r="E2200" s="519"/>
    </row>
    <row r="2201" spans="4:5">
      <c r="D2201" s="519"/>
      <c r="E2201" s="519"/>
    </row>
    <row r="2202" spans="4:5">
      <c r="D2202" s="519"/>
      <c r="E2202" s="519"/>
    </row>
    <row r="2203" spans="4:5">
      <c r="D2203" s="519"/>
      <c r="E2203" s="519"/>
    </row>
    <row r="2204" spans="4:5">
      <c r="D2204" s="519"/>
      <c r="E2204" s="519"/>
    </row>
    <row r="2205" spans="4:5">
      <c r="D2205" s="519"/>
      <c r="E2205" s="519"/>
    </row>
    <row r="2206" spans="4:5">
      <c r="D2206" s="519"/>
      <c r="E2206" s="519"/>
    </row>
    <row r="2207" spans="4:5">
      <c r="D2207" s="519"/>
      <c r="E2207" s="519"/>
    </row>
    <row r="2208" spans="4:5">
      <c r="D2208" s="519"/>
      <c r="E2208" s="519"/>
    </row>
    <row r="2209" spans="4:5">
      <c r="D2209" s="519"/>
      <c r="E2209" s="519"/>
    </row>
    <row r="2210" spans="4:5">
      <c r="D2210" s="519"/>
      <c r="E2210" s="519"/>
    </row>
    <row r="2211" spans="4:5">
      <c r="D2211" s="519"/>
      <c r="E2211" s="519"/>
    </row>
    <row r="2212" spans="4:5">
      <c r="D2212" s="519"/>
      <c r="E2212" s="519"/>
    </row>
    <row r="2213" spans="4:5">
      <c r="D2213" s="519"/>
      <c r="E2213" s="519"/>
    </row>
    <row r="2214" spans="4:5">
      <c r="D2214" s="519"/>
      <c r="E2214" s="519"/>
    </row>
    <row r="2215" spans="4:5">
      <c r="D2215" s="519"/>
      <c r="E2215" s="519"/>
    </row>
    <row r="2216" spans="4:5">
      <c r="D2216" s="519"/>
      <c r="E2216" s="519"/>
    </row>
    <row r="2217" spans="4:5">
      <c r="D2217" s="519"/>
      <c r="E2217" s="519"/>
    </row>
    <row r="2218" spans="4:5">
      <c r="D2218" s="519"/>
      <c r="E2218" s="519"/>
    </row>
    <row r="2219" spans="4:5">
      <c r="D2219" s="519"/>
      <c r="E2219" s="519"/>
    </row>
    <row r="2220" spans="4:5">
      <c r="D2220" s="519"/>
      <c r="E2220" s="519"/>
    </row>
    <row r="2221" spans="4:5">
      <c r="D2221" s="519"/>
      <c r="E2221" s="519"/>
    </row>
    <row r="2222" spans="4:5">
      <c r="D2222" s="519"/>
      <c r="E2222" s="519"/>
    </row>
    <row r="2223" spans="4:5">
      <c r="D2223" s="519"/>
      <c r="E2223" s="519"/>
    </row>
    <row r="2224" spans="4:5">
      <c r="D2224" s="519"/>
      <c r="E2224" s="519"/>
    </row>
    <row r="2225" spans="4:5">
      <c r="D2225" s="519"/>
      <c r="E2225" s="519"/>
    </row>
    <row r="2226" spans="4:5">
      <c r="D2226" s="519"/>
      <c r="E2226" s="519"/>
    </row>
    <row r="2227" spans="4:5">
      <c r="D2227" s="519"/>
      <c r="E2227" s="519"/>
    </row>
    <row r="2228" spans="4:5">
      <c r="D2228" s="519"/>
      <c r="E2228" s="519"/>
    </row>
    <row r="2229" spans="4:5">
      <c r="D2229" s="519"/>
      <c r="E2229" s="519"/>
    </row>
    <row r="2230" spans="4:5">
      <c r="D2230" s="519"/>
      <c r="E2230" s="519"/>
    </row>
    <row r="2231" spans="4:5">
      <c r="D2231" s="519"/>
      <c r="E2231" s="519"/>
    </row>
    <row r="2232" spans="4:5">
      <c r="D2232" s="519"/>
      <c r="E2232" s="519"/>
    </row>
    <row r="2233" spans="4:5">
      <c r="D2233" s="519"/>
      <c r="E2233" s="519"/>
    </row>
    <row r="2234" spans="4:5">
      <c r="D2234" s="519"/>
      <c r="E2234" s="519"/>
    </row>
    <row r="2235" spans="4:5">
      <c r="D2235" s="519"/>
      <c r="E2235" s="519"/>
    </row>
    <row r="2236" spans="4:5">
      <c r="D2236" s="519"/>
      <c r="E2236" s="519"/>
    </row>
    <row r="2237" spans="4:5">
      <c r="D2237" s="519"/>
      <c r="E2237" s="519"/>
    </row>
    <row r="2238" spans="4:5">
      <c r="D2238" s="519"/>
      <c r="E2238" s="519"/>
    </row>
    <row r="2239" spans="4:5">
      <c r="D2239" s="519"/>
      <c r="E2239" s="519"/>
    </row>
    <row r="2240" spans="4:5">
      <c r="D2240" s="519"/>
      <c r="E2240" s="519"/>
    </row>
    <row r="2241" spans="4:5">
      <c r="D2241" s="519"/>
      <c r="E2241" s="519"/>
    </row>
    <row r="2242" spans="4:5">
      <c r="D2242" s="519"/>
      <c r="E2242" s="519"/>
    </row>
    <row r="2243" spans="4:5">
      <c r="D2243" s="519"/>
      <c r="E2243" s="519"/>
    </row>
    <row r="2244" spans="4:5">
      <c r="D2244" s="519"/>
      <c r="E2244" s="519"/>
    </row>
    <row r="2245" spans="4:5">
      <c r="D2245" s="519"/>
      <c r="E2245" s="519"/>
    </row>
    <row r="2246" spans="4:5">
      <c r="D2246" s="519"/>
      <c r="E2246" s="519"/>
    </row>
    <row r="2247" spans="4:5">
      <c r="D2247" s="519"/>
      <c r="E2247" s="519"/>
    </row>
    <row r="2248" spans="4:5">
      <c r="D2248" s="519"/>
      <c r="E2248" s="519"/>
    </row>
    <row r="2249" spans="4:5">
      <c r="D2249" s="519"/>
      <c r="E2249" s="519"/>
    </row>
    <row r="2250" spans="4:5">
      <c r="D2250" s="519"/>
      <c r="E2250" s="519"/>
    </row>
    <row r="2251" spans="4:5">
      <c r="D2251" s="519"/>
      <c r="E2251" s="519"/>
    </row>
    <row r="2252" spans="4:5">
      <c r="D2252" s="519"/>
      <c r="E2252" s="519"/>
    </row>
    <row r="2253" spans="4:5">
      <c r="D2253" s="519"/>
      <c r="E2253" s="519"/>
    </row>
    <row r="2254" spans="4:5">
      <c r="D2254" s="519"/>
      <c r="E2254" s="519"/>
    </row>
    <row r="2255" spans="4:5">
      <c r="D2255" s="519"/>
      <c r="E2255" s="519"/>
    </row>
    <row r="2256" spans="4:5">
      <c r="D2256" s="519"/>
      <c r="E2256" s="519"/>
    </row>
    <row r="2257" spans="4:5">
      <c r="D2257" s="519"/>
      <c r="E2257" s="519"/>
    </row>
    <row r="2258" spans="4:5">
      <c r="D2258" s="519"/>
      <c r="E2258" s="519"/>
    </row>
    <row r="2259" spans="4:5">
      <c r="D2259" s="519"/>
      <c r="E2259" s="519"/>
    </row>
    <row r="2260" spans="4:5">
      <c r="D2260" s="519"/>
      <c r="E2260" s="519"/>
    </row>
    <row r="2261" spans="4:5">
      <c r="D2261" s="519"/>
      <c r="E2261" s="519"/>
    </row>
    <row r="2262" spans="4:5">
      <c r="D2262" s="519"/>
      <c r="E2262" s="519"/>
    </row>
    <row r="2263" spans="4:5">
      <c r="D2263" s="519"/>
      <c r="E2263" s="519"/>
    </row>
    <row r="2264" spans="4:5">
      <c r="D2264" s="519"/>
      <c r="E2264" s="519"/>
    </row>
    <row r="2265" spans="4:5">
      <c r="D2265" s="519"/>
      <c r="E2265" s="519"/>
    </row>
    <row r="2266" spans="4:5">
      <c r="D2266" s="519"/>
      <c r="E2266" s="519"/>
    </row>
    <row r="2267" spans="4:5">
      <c r="D2267" s="519"/>
      <c r="E2267" s="519"/>
    </row>
    <row r="2268" spans="4:5">
      <c r="D2268" s="519"/>
      <c r="E2268" s="519"/>
    </row>
    <row r="2269" spans="4:5">
      <c r="D2269" s="519"/>
      <c r="E2269" s="519"/>
    </row>
    <row r="2270" spans="4:5">
      <c r="D2270" s="519"/>
      <c r="E2270" s="519"/>
    </row>
    <row r="2271" spans="4:5">
      <c r="D2271" s="519"/>
      <c r="E2271" s="519"/>
    </row>
    <row r="2272" spans="4:5">
      <c r="D2272" s="519"/>
      <c r="E2272" s="519"/>
    </row>
    <row r="2273" spans="4:5">
      <c r="D2273" s="519"/>
      <c r="E2273" s="519"/>
    </row>
    <row r="2274" spans="4:5">
      <c r="D2274" s="519"/>
      <c r="E2274" s="519"/>
    </row>
    <row r="2275" spans="4:5">
      <c r="D2275" s="519"/>
      <c r="E2275" s="519"/>
    </row>
    <row r="2276" spans="4:5">
      <c r="D2276" s="519"/>
      <c r="E2276" s="519"/>
    </row>
    <row r="2277" spans="4:5">
      <c r="D2277" s="519"/>
      <c r="E2277" s="519"/>
    </row>
    <row r="2278" spans="4:5">
      <c r="D2278" s="519"/>
      <c r="E2278" s="519"/>
    </row>
    <row r="2279" spans="4:5">
      <c r="D2279" s="519"/>
      <c r="E2279" s="519"/>
    </row>
    <row r="2280" spans="4:5">
      <c r="D2280" s="519"/>
      <c r="E2280" s="519"/>
    </row>
    <row r="2281" spans="4:5">
      <c r="D2281" s="519"/>
      <c r="E2281" s="519"/>
    </row>
    <row r="2282" spans="4:5">
      <c r="D2282" s="519"/>
      <c r="E2282" s="519"/>
    </row>
    <row r="2283" spans="4:5">
      <c r="D2283" s="519"/>
      <c r="E2283" s="519"/>
    </row>
    <row r="2284" spans="4:5">
      <c r="D2284" s="519"/>
      <c r="E2284" s="519"/>
    </row>
    <row r="2285" spans="4:5">
      <c r="D2285" s="519"/>
      <c r="E2285" s="519"/>
    </row>
    <row r="2286" spans="4:5">
      <c r="D2286" s="519"/>
      <c r="E2286" s="519"/>
    </row>
    <row r="2287" spans="4:5">
      <c r="D2287" s="519"/>
      <c r="E2287" s="519"/>
    </row>
    <row r="2288" spans="4:5">
      <c r="D2288" s="519"/>
      <c r="E2288" s="519"/>
    </row>
    <row r="2289" spans="4:5">
      <c r="D2289" s="519"/>
      <c r="E2289" s="519"/>
    </row>
    <row r="2290" spans="4:5">
      <c r="D2290" s="519"/>
      <c r="E2290" s="519"/>
    </row>
    <row r="2291" spans="4:5">
      <c r="D2291" s="519"/>
      <c r="E2291" s="519"/>
    </row>
    <row r="2292" spans="4:5">
      <c r="D2292" s="519"/>
      <c r="E2292" s="519"/>
    </row>
    <row r="2293" spans="4:5">
      <c r="D2293" s="519"/>
      <c r="E2293" s="519"/>
    </row>
    <row r="2294" spans="4:5">
      <c r="D2294" s="519"/>
      <c r="E2294" s="519"/>
    </row>
    <row r="2295" spans="4:5">
      <c r="D2295" s="519"/>
      <c r="E2295" s="519"/>
    </row>
    <row r="2296" spans="4:5">
      <c r="D2296" s="519"/>
      <c r="E2296" s="519"/>
    </row>
    <row r="2297" spans="4:5">
      <c r="D2297" s="519"/>
      <c r="E2297" s="519"/>
    </row>
    <row r="2298" spans="4:5">
      <c r="D2298" s="519"/>
      <c r="E2298" s="519"/>
    </row>
    <row r="2299" spans="4:5">
      <c r="D2299" s="519"/>
      <c r="E2299" s="519"/>
    </row>
    <row r="2300" spans="4:5">
      <c r="D2300" s="519"/>
      <c r="E2300" s="519"/>
    </row>
    <row r="2301" spans="4:5">
      <c r="D2301" s="519"/>
      <c r="E2301" s="519"/>
    </row>
    <row r="2302" spans="4:5">
      <c r="D2302" s="519"/>
      <c r="E2302" s="519"/>
    </row>
    <row r="2303" spans="4:5">
      <c r="D2303" s="519"/>
      <c r="E2303" s="519"/>
    </row>
    <row r="2304" spans="4:5">
      <c r="D2304" s="519"/>
      <c r="E2304" s="519"/>
    </row>
    <row r="2305" spans="4:5">
      <c r="D2305" s="519"/>
      <c r="E2305" s="519"/>
    </row>
    <row r="2306" spans="4:5">
      <c r="D2306" s="519"/>
      <c r="E2306" s="519"/>
    </row>
    <row r="2307" spans="4:5">
      <c r="D2307" s="519"/>
      <c r="E2307" s="519"/>
    </row>
    <row r="2308" spans="4:5">
      <c r="D2308" s="519"/>
      <c r="E2308" s="519"/>
    </row>
    <row r="2309" spans="4:5">
      <c r="D2309" s="519"/>
      <c r="E2309" s="519"/>
    </row>
    <row r="2310" spans="4:5">
      <c r="D2310" s="519"/>
      <c r="E2310" s="519"/>
    </row>
    <row r="2311" spans="4:5">
      <c r="D2311" s="519"/>
      <c r="E2311" s="519"/>
    </row>
    <row r="2312" spans="4:5">
      <c r="D2312" s="519"/>
      <c r="E2312" s="519"/>
    </row>
    <row r="2313" spans="4:5">
      <c r="D2313" s="519"/>
      <c r="E2313" s="519"/>
    </row>
    <row r="2314" spans="4:5">
      <c r="D2314" s="519"/>
      <c r="E2314" s="519"/>
    </row>
    <row r="2315" spans="4:5">
      <c r="D2315" s="519"/>
      <c r="E2315" s="519"/>
    </row>
    <row r="2316" spans="4:5">
      <c r="D2316" s="519"/>
      <c r="E2316" s="519"/>
    </row>
    <row r="2317" spans="4:5">
      <c r="D2317" s="519"/>
      <c r="E2317" s="519"/>
    </row>
    <row r="2318" spans="4:5">
      <c r="D2318" s="519"/>
      <c r="E2318" s="519"/>
    </row>
    <row r="2319" spans="4:5">
      <c r="D2319" s="519"/>
      <c r="E2319" s="519"/>
    </row>
    <row r="2320" spans="4:5">
      <c r="D2320" s="519"/>
      <c r="E2320" s="519"/>
    </row>
    <row r="2321" spans="4:5">
      <c r="D2321" s="519"/>
      <c r="E2321" s="519"/>
    </row>
    <row r="2322" spans="4:5">
      <c r="D2322" s="519"/>
      <c r="E2322" s="519"/>
    </row>
    <row r="2323" spans="4:5">
      <c r="D2323" s="519"/>
      <c r="E2323" s="519"/>
    </row>
    <row r="2324" spans="4:5">
      <c r="D2324" s="519"/>
      <c r="E2324" s="519"/>
    </row>
    <row r="2325" spans="4:5">
      <c r="D2325" s="519"/>
      <c r="E2325" s="519"/>
    </row>
    <row r="2326" spans="4:5">
      <c r="D2326" s="519"/>
      <c r="E2326" s="519"/>
    </row>
    <row r="2327" spans="4:5">
      <c r="D2327" s="519"/>
      <c r="E2327" s="519"/>
    </row>
    <row r="2328" spans="4:5">
      <c r="D2328" s="519"/>
      <c r="E2328" s="519"/>
    </row>
    <row r="2329" spans="4:5">
      <c r="D2329" s="519"/>
      <c r="E2329" s="519"/>
    </row>
    <row r="2330" spans="4:5">
      <c r="D2330" s="519"/>
      <c r="E2330" s="519"/>
    </row>
    <row r="2331" spans="4:5">
      <c r="D2331" s="519"/>
      <c r="E2331" s="519"/>
    </row>
    <row r="2332" spans="4:5">
      <c r="D2332" s="519"/>
      <c r="E2332" s="519"/>
    </row>
    <row r="2333" spans="4:5">
      <c r="D2333" s="519"/>
      <c r="E2333" s="519"/>
    </row>
    <row r="2334" spans="4:5">
      <c r="D2334" s="519"/>
      <c r="E2334" s="519"/>
    </row>
    <row r="2335" spans="4:5">
      <c r="D2335" s="519"/>
      <c r="E2335" s="519"/>
    </row>
    <row r="2336" spans="4:5">
      <c r="D2336" s="519"/>
      <c r="E2336" s="519"/>
    </row>
    <row r="2337" spans="4:5">
      <c r="D2337" s="519"/>
      <c r="E2337" s="519"/>
    </row>
    <row r="2338" spans="4:5">
      <c r="D2338" s="519"/>
      <c r="E2338" s="519"/>
    </row>
    <row r="2339" spans="4:5">
      <c r="D2339" s="519"/>
      <c r="E2339" s="519"/>
    </row>
    <row r="2340" spans="4:5">
      <c r="D2340" s="519"/>
      <c r="E2340" s="519"/>
    </row>
    <row r="2341" spans="4:5">
      <c r="D2341" s="519"/>
      <c r="E2341" s="519"/>
    </row>
    <row r="2342" spans="4:5">
      <c r="D2342" s="519"/>
      <c r="E2342" s="519"/>
    </row>
    <row r="2343" spans="4:5">
      <c r="D2343" s="519"/>
      <c r="E2343" s="519"/>
    </row>
    <row r="2344" spans="4:5">
      <c r="D2344" s="519"/>
      <c r="E2344" s="519"/>
    </row>
    <row r="2345" spans="4:5">
      <c r="D2345" s="519"/>
      <c r="E2345" s="519"/>
    </row>
    <row r="2346" spans="4:5">
      <c r="D2346" s="519"/>
      <c r="E2346" s="519"/>
    </row>
    <row r="2347" spans="4:5">
      <c r="D2347" s="519"/>
      <c r="E2347" s="519"/>
    </row>
    <row r="2348" spans="4:5">
      <c r="D2348" s="519"/>
      <c r="E2348" s="519"/>
    </row>
    <row r="2349" spans="4:5">
      <c r="D2349" s="519"/>
      <c r="E2349" s="519"/>
    </row>
    <row r="2350" spans="4:5">
      <c r="D2350" s="519"/>
      <c r="E2350" s="519"/>
    </row>
    <row r="2351" spans="4:5">
      <c r="D2351" s="519"/>
      <c r="E2351" s="519"/>
    </row>
    <row r="2352" spans="4:5">
      <c r="D2352" s="519"/>
      <c r="E2352" s="519"/>
    </row>
    <row r="2353" spans="4:5">
      <c r="D2353" s="519"/>
      <c r="E2353" s="519"/>
    </row>
    <row r="2354" spans="4:5">
      <c r="D2354" s="519"/>
      <c r="E2354" s="519"/>
    </row>
    <row r="2355" spans="4:5">
      <c r="D2355" s="519"/>
      <c r="E2355" s="519"/>
    </row>
    <row r="2356" spans="4:5">
      <c r="D2356" s="519"/>
      <c r="E2356" s="519"/>
    </row>
    <row r="2357" spans="4:5">
      <c r="D2357" s="519"/>
      <c r="E2357" s="519"/>
    </row>
    <row r="2358" spans="4:5">
      <c r="D2358" s="519"/>
      <c r="E2358" s="519"/>
    </row>
    <row r="2359" spans="4:5">
      <c r="D2359" s="519"/>
      <c r="E2359" s="519"/>
    </row>
    <row r="2360" spans="4:5">
      <c r="D2360" s="519"/>
      <c r="E2360" s="519"/>
    </row>
    <row r="2361" spans="4:5">
      <c r="D2361" s="519"/>
      <c r="E2361" s="519"/>
    </row>
    <row r="2362" spans="4:5">
      <c r="D2362" s="519"/>
      <c r="E2362" s="519"/>
    </row>
    <row r="2363" spans="4:5">
      <c r="D2363" s="519"/>
      <c r="E2363" s="519"/>
    </row>
    <row r="2364" spans="4:5">
      <c r="D2364" s="519"/>
      <c r="E2364" s="519"/>
    </row>
    <row r="2365" spans="4:5">
      <c r="D2365" s="519"/>
      <c r="E2365" s="519"/>
    </row>
    <row r="2366" spans="4:5">
      <c r="D2366" s="519"/>
      <c r="E2366" s="519"/>
    </row>
    <row r="2367" spans="4:5">
      <c r="D2367" s="519"/>
      <c r="E2367" s="519"/>
    </row>
    <row r="2368" spans="4:5">
      <c r="D2368" s="519"/>
      <c r="E2368" s="519"/>
    </row>
    <row r="2369" spans="4:5">
      <c r="D2369" s="519"/>
      <c r="E2369" s="519"/>
    </row>
    <row r="2370" spans="4:5">
      <c r="D2370" s="519"/>
      <c r="E2370" s="519"/>
    </row>
    <row r="2371" spans="4:5">
      <c r="D2371" s="519"/>
      <c r="E2371" s="519"/>
    </row>
    <row r="2372" spans="4:5">
      <c r="D2372" s="519"/>
      <c r="E2372" s="519"/>
    </row>
    <row r="2373" spans="4:5">
      <c r="D2373" s="519"/>
      <c r="E2373" s="519"/>
    </row>
    <row r="2374" spans="4:5">
      <c r="D2374" s="519"/>
      <c r="E2374" s="519"/>
    </row>
    <row r="2375" spans="4:5">
      <c r="D2375" s="519"/>
      <c r="E2375" s="519"/>
    </row>
    <row r="2376" spans="4:5">
      <c r="D2376" s="519"/>
      <c r="E2376" s="519"/>
    </row>
    <row r="2377" spans="4:5">
      <c r="D2377" s="519"/>
      <c r="E2377" s="519"/>
    </row>
    <row r="2378" spans="4:5">
      <c r="D2378" s="519"/>
      <c r="E2378" s="519"/>
    </row>
    <row r="2379" spans="4:5">
      <c r="D2379" s="519"/>
      <c r="E2379" s="519"/>
    </row>
    <row r="2380" spans="4:5">
      <c r="D2380" s="519"/>
      <c r="E2380" s="519"/>
    </row>
    <row r="2381" spans="4:5">
      <c r="D2381" s="519"/>
      <c r="E2381" s="519"/>
    </row>
    <row r="2382" spans="4:5">
      <c r="D2382" s="519"/>
      <c r="E2382" s="519"/>
    </row>
    <row r="2383" spans="4:5">
      <c r="D2383" s="519"/>
      <c r="E2383" s="519"/>
    </row>
    <row r="2384" spans="4:5">
      <c r="D2384" s="519"/>
      <c r="E2384" s="519"/>
    </row>
    <row r="2385" spans="4:5">
      <c r="D2385" s="519"/>
      <c r="E2385" s="519"/>
    </row>
    <row r="2386" spans="4:5">
      <c r="D2386" s="519"/>
      <c r="E2386" s="519"/>
    </row>
    <row r="2387" spans="4:5">
      <c r="D2387" s="519"/>
      <c r="E2387" s="519"/>
    </row>
    <row r="2388" spans="4:5">
      <c r="D2388" s="519"/>
      <c r="E2388" s="519"/>
    </row>
    <row r="2389" spans="4:5">
      <c r="D2389" s="519"/>
      <c r="E2389" s="519"/>
    </row>
    <row r="2390" spans="4:5">
      <c r="D2390" s="519"/>
      <c r="E2390" s="519"/>
    </row>
    <row r="2391" spans="4:5">
      <c r="D2391" s="519"/>
      <c r="E2391" s="519"/>
    </row>
    <row r="2392" spans="4:5">
      <c r="D2392" s="519"/>
      <c r="E2392" s="519"/>
    </row>
    <row r="2393" spans="4:5">
      <c r="D2393" s="519"/>
      <c r="E2393" s="519"/>
    </row>
    <row r="2394" spans="4:5">
      <c r="D2394" s="519"/>
      <c r="E2394" s="519"/>
    </row>
    <row r="2395" spans="4:5">
      <c r="D2395" s="519"/>
      <c r="E2395" s="519"/>
    </row>
    <row r="2396" spans="4:5">
      <c r="D2396" s="519"/>
      <c r="E2396" s="519"/>
    </row>
    <row r="2397" spans="4:5">
      <c r="D2397" s="519"/>
      <c r="E2397" s="519"/>
    </row>
    <row r="2398" spans="4:5">
      <c r="D2398" s="519"/>
      <c r="E2398" s="519"/>
    </row>
    <row r="2399" spans="4:5">
      <c r="D2399" s="519"/>
      <c r="E2399" s="519"/>
    </row>
    <row r="2400" spans="4:5">
      <c r="D2400" s="519"/>
      <c r="E2400" s="519"/>
    </row>
    <row r="2401" spans="4:5">
      <c r="D2401" s="519"/>
      <c r="E2401" s="519"/>
    </row>
    <row r="2402" spans="4:5">
      <c r="D2402" s="519"/>
      <c r="E2402" s="519"/>
    </row>
    <row r="2403" spans="4:5">
      <c r="D2403" s="519"/>
      <c r="E2403" s="519"/>
    </row>
    <row r="2404" spans="4:5">
      <c r="D2404" s="519"/>
      <c r="E2404" s="519"/>
    </row>
    <row r="2405" spans="4:5">
      <c r="D2405" s="519"/>
      <c r="E2405" s="519"/>
    </row>
    <row r="2406" spans="4:5">
      <c r="D2406" s="519"/>
      <c r="E2406" s="519"/>
    </row>
    <row r="2407" spans="4:5">
      <c r="D2407" s="519"/>
      <c r="E2407" s="519"/>
    </row>
    <row r="2408" spans="4:5">
      <c r="D2408" s="519"/>
      <c r="E2408" s="519"/>
    </row>
    <row r="2409" spans="4:5">
      <c r="D2409" s="519"/>
      <c r="E2409" s="519"/>
    </row>
    <row r="2410" spans="4:5">
      <c r="D2410" s="519"/>
      <c r="E2410" s="519"/>
    </row>
    <row r="2411" spans="4:5">
      <c r="D2411" s="519"/>
      <c r="E2411" s="519"/>
    </row>
    <row r="2412" spans="4:5">
      <c r="D2412" s="519"/>
      <c r="E2412" s="519"/>
    </row>
    <row r="2413" spans="4:5">
      <c r="D2413" s="519"/>
      <c r="E2413" s="519"/>
    </row>
    <row r="2414" spans="4:5">
      <c r="D2414" s="519"/>
      <c r="E2414" s="519"/>
    </row>
    <row r="2415" spans="4:5">
      <c r="D2415" s="519"/>
      <c r="E2415" s="519"/>
    </row>
    <row r="2416" spans="4:5">
      <c r="D2416" s="519"/>
      <c r="E2416" s="519"/>
    </row>
    <row r="2417" spans="4:5">
      <c r="D2417" s="519"/>
      <c r="E2417" s="519"/>
    </row>
    <row r="2418" spans="4:5">
      <c r="D2418" s="519"/>
      <c r="E2418" s="519"/>
    </row>
    <row r="2419" spans="4:5">
      <c r="D2419" s="519"/>
      <c r="E2419" s="519"/>
    </row>
    <row r="2420" spans="4:5">
      <c r="D2420" s="519"/>
      <c r="E2420" s="519"/>
    </row>
    <row r="2421" spans="4:5">
      <c r="D2421" s="519"/>
      <c r="E2421" s="519"/>
    </row>
    <row r="2422" spans="4:5">
      <c r="D2422" s="519"/>
      <c r="E2422" s="519"/>
    </row>
    <row r="2423" spans="4:5">
      <c r="D2423" s="519"/>
      <c r="E2423" s="519"/>
    </row>
    <row r="2424" spans="4:5">
      <c r="D2424" s="519"/>
      <c r="E2424" s="519"/>
    </row>
    <row r="2425" spans="4:5">
      <c r="D2425" s="519"/>
      <c r="E2425" s="519"/>
    </row>
    <row r="2426" spans="4:5">
      <c r="D2426" s="519"/>
      <c r="E2426" s="519"/>
    </row>
    <row r="2427" spans="4:5">
      <c r="D2427" s="519"/>
      <c r="E2427" s="519"/>
    </row>
    <row r="2428" spans="4:5">
      <c r="D2428" s="519"/>
      <c r="E2428" s="519"/>
    </row>
    <row r="2429" spans="4:5">
      <c r="D2429" s="519"/>
      <c r="E2429" s="519"/>
    </row>
    <row r="2430" spans="4:5">
      <c r="D2430" s="519"/>
      <c r="E2430" s="519"/>
    </row>
    <row r="2431" spans="4:5">
      <c r="D2431" s="519"/>
      <c r="E2431" s="519"/>
    </row>
    <row r="2432" spans="4:5">
      <c r="D2432" s="519"/>
      <c r="E2432" s="519"/>
    </row>
    <row r="2433" spans="4:5">
      <c r="D2433" s="519"/>
      <c r="E2433" s="519"/>
    </row>
    <row r="2434" spans="4:5">
      <c r="D2434" s="519"/>
      <c r="E2434" s="519"/>
    </row>
    <row r="2435" spans="4:5">
      <c r="D2435" s="519"/>
      <c r="E2435" s="519"/>
    </row>
    <row r="2436" spans="4:5">
      <c r="D2436" s="519"/>
      <c r="E2436" s="519"/>
    </row>
    <row r="2437" spans="4:5">
      <c r="D2437" s="519"/>
      <c r="E2437" s="519"/>
    </row>
    <row r="2438" spans="4:5">
      <c r="D2438" s="519"/>
      <c r="E2438" s="519"/>
    </row>
    <row r="2439" spans="4:5">
      <c r="D2439" s="519"/>
      <c r="E2439" s="519"/>
    </row>
    <row r="2440" spans="4:5">
      <c r="D2440" s="519"/>
      <c r="E2440" s="519"/>
    </row>
    <row r="2441" spans="4:5">
      <c r="D2441" s="519"/>
      <c r="E2441" s="519"/>
    </row>
    <row r="2442" spans="4:5">
      <c r="D2442" s="519"/>
      <c r="E2442" s="519"/>
    </row>
    <row r="2443" spans="4:5">
      <c r="D2443" s="519"/>
      <c r="E2443" s="519"/>
    </row>
    <row r="2444" spans="4:5">
      <c r="D2444" s="519"/>
      <c r="E2444" s="519"/>
    </row>
    <row r="2445" spans="4:5">
      <c r="D2445" s="519"/>
      <c r="E2445" s="519"/>
    </row>
    <row r="2446" spans="4:5">
      <c r="D2446" s="519"/>
      <c r="E2446" s="519"/>
    </row>
    <row r="2447" spans="4:5">
      <c r="D2447" s="519"/>
      <c r="E2447" s="519"/>
    </row>
    <row r="2448" spans="4:5">
      <c r="D2448" s="519"/>
      <c r="E2448" s="519"/>
    </row>
    <row r="2449" spans="4:5">
      <c r="D2449" s="519"/>
      <c r="E2449" s="519"/>
    </row>
    <row r="2450" spans="4:5">
      <c r="D2450" s="519"/>
      <c r="E2450" s="519"/>
    </row>
    <row r="2451" spans="4:5">
      <c r="D2451" s="519"/>
      <c r="E2451" s="519"/>
    </row>
    <row r="2452" spans="4:5">
      <c r="D2452" s="519"/>
      <c r="E2452" s="519"/>
    </row>
    <row r="2453" spans="4:5">
      <c r="D2453" s="519"/>
      <c r="E2453" s="519"/>
    </row>
    <row r="2454" spans="4:5">
      <c r="D2454" s="519"/>
      <c r="E2454" s="519"/>
    </row>
    <row r="2455" spans="4:5">
      <c r="D2455" s="519"/>
      <c r="E2455" s="519"/>
    </row>
    <row r="2456" spans="4:5">
      <c r="D2456" s="519"/>
      <c r="E2456" s="519"/>
    </row>
    <row r="2457" spans="4:5">
      <c r="D2457" s="519"/>
      <c r="E2457" s="519"/>
    </row>
    <row r="2458" spans="4:5">
      <c r="D2458" s="519"/>
      <c r="E2458" s="519"/>
    </row>
    <row r="2459" spans="4:5">
      <c r="D2459" s="519"/>
      <c r="E2459" s="519"/>
    </row>
    <row r="2460" spans="4:5">
      <c r="D2460" s="519"/>
      <c r="E2460" s="519"/>
    </row>
    <row r="2461" spans="4:5">
      <c r="D2461" s="519"/>
      <c r="E2461" s="519"/>
    </row>
    <row r="2462" spans="4:5">
      <c r="D2462" s="519"/>
      <c r="E2462" s="519"/>
    </row>
    <row r="2463" spans="4:5">
      <c r="D2463" s="519"/>
      <c r="E2463" s="519"/>
    </row>
    <row r="2464" spans="4:5">
      <c r="D2464" s="519"/>
      <c r="E2464" s="519"/>
    </row>
    <row r="2465" spans="4:5">
      <c r="D2465" s="519"/>
      <c r="E2465" s="519"/>
    </row>
    <row r="2466" spans="4:5">
      <c r="D2466" s="519"/>
      <c r="E2466" s="519"/>
    </row>
    <row r="2467" spans="4:5">
      <c r="D2467" s="519"/>
      <c r="E2467" s="519"/>
    </row>
    <row r="2468" spans="4:5">
      <c r="D2468" s="519"/>
      <c r="E2468" s="519"/>
    </row>
    <row r="2469" spans="4:5">
      <c r="D2469" s="519"/>
      <c r="E2469" s="519"/>
    </row>
    <row r="2470" spans="4:5">
      <c r="D2470" s="519"/>
      <c r="E2470" s="519"/>
    </row>
    <row r="2471" spans="4:5">
      <c r="D2471" s="519"/>
      <c r="E2471" s="519"/>
    </row>
    <row r="2472" spans="4:5">
      <c r="D2472" s="519"/>
      <c r="E2472" s="519"/>
    </row>
    <row r="2473" spans="4:5">
      <c r="D2473" s="519"/>
      <c r="E2473" s="519"/>
    </row>
    <row r="2474" spans="4:5">
      <c r="D2474" s="519"/>
      <c r="E2474" s="519"/>
    </row>
    <row r="2475" spans="4:5">
      <c r="D2475" s="519"/>
      <c r="E2475" s="519"/>
    </row>
    <row r="2476" spans="4:5">
      <c r="D2476" s="519"/>
      <c r="E2476" s="519"/>
    </row>
    <row r="2477" spans="4:5">
      <c r="D2477" s="519"/>
      <c r="E2477" s="519"/>
    </row>
    <row r="2478" spans="4:5">
      <c r="D2478" s="519"/>
      <c r="E2478" s="519"/>
    </row>
    <row r="2479" spans="4:5">
      <c r="D2479" s="519"/>
      <c r="E2479" s="519"/>
    </row>
    <row r="2480" spans="4:5">
      <c r="D2480" s="519"/>
      <c r="E2480" s="519"/>
    </row>
    <row r="2481" spans="4:5">
      <c r="D2481" s="519"/>
      <c r="E2481" s="519"/>
    </row>
    <row r="2482" spans="4:5">
      <c r="D2482" s="519"/>
      <c r="E2482" s="519"/>
    </row>
    <row r="2483" spans="4:5">
      <c r="D2483" s="519"/>
      <c r="E2483" s="519"/>
    </row>
    <row r="2484" spans="4:5">
      <c r="D2484" s="519"/>
      <c r="E2484" s="519"/>
    </row>
    <row r="2485" spans="4:5">
      <c r="D2485" s="519"/>
      <c r="E2485" s="519"/>
    </row>
    <row r="2486" spans="4:5">
      <c r="D2486" s="519"/>
      <c r="E2486" s="519"/>
    </row>
    <row r="2487" spans="4:5">
      <c r="D2487" s="519"/>
      <c r="E2487" s="519"/>
    </row>
    <row r="2488" spans="4:5">
      <c r="D2488" s="519"/>
      <c r="E2488" s="519"/>
    </row>
    <row r="2489" spans="4:5">
      <c r="D2489" s="519"/>
      <c r="E2489" s="519"/>
    </row>
    <row r="2490" spans="4:5">
      <c r="D2490" s="519"/>
      <c r="E2490" s="519"/>
    </row>
    <row r="2491" spans="4:5">
      <c r="D2491" s="519"/>
      <c r="E2491" s="519"/>
    </row>
    <row r="2492" spans="4:5">
      <c r="D2492" s="519"/>
      <c r="E2492" s="519"/>
    </row>
    <row r="2493" spans="4:5">
      <c r="D2493" s="519"/>
      <c r="E2493" s="519"/>
    </row>
    <row r="2494" spans="4:5">
      <c r="D2494" s="519"/>
      <c r="E2494" s="519"/>
    </row>
    <row r="2495" spans="4:5">
      <c r="D2495" s="519"/>
      <c r="E2495" s="519"/>
    </row>
    <row r="2496" spans="4:5">
      <c r="D2496" s="519"/>
      <c r="E2496" s="519"/>
    </row>
    <row r="2497" spans="4:5">
      <c r="D2497" s="519"/>
      <c r="E2497" s="519"/>
    </row>
    <row r="2498" spans="4:5">
      <c r="D2498" s="519"/>
      <c r="E2498" s="519"/>
    </row>
    <row r="2499" spans="4:5">
      <c r="D2499" s="519"/>
      <c r="E2499" s="519"/>
    </row>
    <row r="2500" spans="4:5">
      <c r="D2500" s="519"/>
      <c r="E2500" s="519"/>
    </row>
    <row r="2501" spans="4:5">
      <c r="D2501" s="519"/>
      <c r="E2501" s="519"/>
    </row>
    <row r="2502" spans="4:5">
      <c r="D2502" s="519"/>
      <c r="E2502" s="519"/>
    </row>
    <row r="2503" spans="4:5">
      <c r="D2503" s="519"/>
      <c r="E2503" s="519"/>
    </row>
    <row r="2504" spans="4:5">
      <c r="D2504" s="519"/>
      <c r="E2504" s="519"/>
    </row>
    <row r="2505" spans="4:5">
      <c r="D2505" s="519"/>
      <c r="E2505" s="519"/>
    </row>
    <row r="2506" spans="4:5">
      <c r="D2506" s="519"/>
      <c r="E2506" s="519"/>
    </row>
    <row r="2507" spans="4:5">
      <c r="D2507" s="519"/>
      <c r="E2507" s="519"/>
    </row>
    <row r="2508" spans="4:5">
      <c r="D2508" s="519"/>
      <c r="E2508" s="519"/>
    </row>
    <row r="2509" spans="4:5">
      <c r="D2509" s="519"/>
      <c r="E2509" s="519"/>
    </row>
    <row r="2510" spans="4:5">
      <c r="D2510" s="519"/>
      <c r="E2510" s="519"/>
    </row>
    <row r="2511" spans="4:5">
      <c r="D2511" s="519"/>
      <c r="E2511" s="519"/>
    </row>
    <row r="2512" spans="4:5">
      <c r="D2512" s="519"/>
      <c r="E2512" s="519"/>
    </row>
    <row r="2513" spans="4:5">
      <c r="D2513" s="519"/>
      <c r="E2513" s="519"/>
    </row>
    <row r="2514" spans="4:5">
      <c r="D2514" s="519"/>
      <c r="E2514" s="519"/>
    </row>
    <row r="2515" spans="4:5">
      <c r="D2515" s="519"/>
      <c r="E2515" s="519"/>
    </row>
    <row r="2516" spans="4:5">
      <c r="D2516" s="519"/>
      <c r="E2516" s="519"/>
    </row>
    <row r="2517" spans="4:5">
      <c r="D2517" s="519"/>
      <c r="E2517" s="519"/>
    </row>
    <row r="2518" spans="4:5">
      <c r="D2518" s="519"/>
      <c r="E2518" s="519"/>
    </row>
    <row r="2519" spans="4:5">
      <c r="D2519" s="519"/>
      <c r="E2519" s="519"/>
    </row>
    <row r="2520" spans="4:5">
      <c r="D2520" s="519"/>
      <c r="E2520" s="519"/>
    </row>
    <row r="2521" spans="4:5">
      <c r="D2521" s="519"/>
      <c r="E2521" s="519"/>
    </row>
    <row r="2522" spans="4:5">
      <c r="D2522" s="519"/>
      <c r="E2522" s="519"/>
    </row>
    <row r="2523" spans="4:5">
      <c r="D2523" s="519"/>
      <c r="E2523" s="519"/>
    </row>
    <row r="2524" spans="4:5">
      <c r="D2524" s="519"/>
      <c r="E2524" s="519"/>
    </row>
    <row r="2525" spans="4:5">
      <c r="D2525" s="519"/>
      <c r="E2525" s="519"/>
    </row>
    <row r="2526" spans="4:5">
      <c r="D2526" s="519"/>
      <c r="E2526" s="519"/>
    </row>
    <row r="2527" spans="4:5">
      <c r="D2527" s="519"/>
      <c r="E2527" s="519"/>
    </row>
    <row r="2528" spans="4:5">
      <c r="D2528" s="519"/>
      <c r="E2528" s="519"/>
    </row>
    <row r="2529" spans="4:5">
      <c r="D2529" s="519"/>
      <c r="E2529" s="519"/>
    </row>
    <row r="2530" spans="4:5">
      <c r="D2530" s="519"/>
      <c r="E2530" s="519"/>
    </row>
    <row r="2531" spans="4:5">
      <c r="D2531" s="519"/>
      <c r="E2531" s="519"/>
    </row>
    <row r="2532" spans="4:5">
      <c r="D2532" s="519"/>
      <c r="E2532" s="519"/>
    </row>
    <row r="2533" spans="4:5">
      <c r="D2533" s="519"/>
      <c r="E2533" s="519"/>
    </row>
    <row r="2534" spans="4:5">
      <c r="D2534" s="519"/>
      <c r="E2534" s="519"/>
    </row>
    <row r="2535" spans="4:5">
      <c r="D2535" s="519"/>
      <c r="E2535" s="519"/>
    </row>
    <row r="2536" spans="4:5">
      <c r="D2536" s="519"/>
      <c r="E2536" s="519"/>
    </row>
    <row r="2537" spans="4:5">
      <c r="D2537" s="519"/>
      <c r="E2537" s="519"/>
    </row>
    <row r="2538" spans="4:5">
      <c r="D2538" s="519"/>
      <c r="E2538" s="519"/>
    </row>
    <row r="2539" spans="4:5">
      <c r="D2539" s="519"/>
      <c r="E2539" s="519"/>
    </row>
    <row r="2540" spans="4:5">
      <c r="D2540" s="519"/>
      <c r="E2540" s="519"/>
    </row>
    <row r="2541" spans="4:5">
      <c r="D2541" s="519"/>
      <c r="E2541" s="519"/>
    </row>
    <row r="2542" spans="4:5">
      <c r="D2542" s="519"/>
      <c r="E2542" s="519"/>
    </row>
    <row r="2543" spans="4:5">
      <c r="D2543" s="519"/>
      <c r="E2543" s="519"/>
    </row>
    <row r="2544" spans="4:5">
      <c r="D2544" s="519"/>
      <c r="E2544" s="519"/>
    </row>
    <row r="2545" spans="4:5">
      <c r="D2545" s="519"/>
      <c r="E2545" s="519"/>
    </row>
    <row r="2546" spans="4:5">
      <c r="D2546" s="519"/>
      <c r="E2546" s="519"/>
    </row>
    <row r="2547" spans="4:5">
      <c r="D2547" s="519"/>
      <c r="E2547" s="519"/>
    </row>
    <row r="2548" spans="4:5">
      <c r="D2548" s="519"/>
      <c r="E2548" s="519"/>
    </row>
    <row r="2549" spans="4:5">
      <c r="D2549" s="519"/>
      <c r="E2549" s="519"/>
    </row>
    <row r="2550" spans="4:5">
      <c r="D2550" s="519"/>
      <c r="E2550" s="519"/>
    </row>
    <row r="2551" spans="4:5">
      <c r="D2551" s="519"/>
      <c r="E2551" s="519"/>
    </row>
    <row r="2552" spans="4:5">
      <c r="D2552" s="519"/>
      <c r="E2552" s="519"/>
    </row>
    <row r="2553" spans="4:5">
      <c r="D2553" s="519"/>
      <c r="E2553" s="519"/>
    </row>
    <row r="2554" spans="4:5">
      <c r="D2554" s="519"/>
      <c r="E2554" s="519"/>
    </row>
    <row r="2555" spans="4:5">
      <c r="D2555" s="519"/>
      <c r="E2555" s="519"/>
    </row>
    <row r="2556" spans="4:5">
      <c r="D2556" s="519"/>
      <c r="E2556" s="519"/>
    </row>
    <row r="2557" spans="4:5">
      <c r="D2557" s="519"/>
      <c r="E2557" s="519"/>
    </row>
    <row r="2558" spans="4:5">
      <c r="D2558" s="519"/>
      <c r="E2558" s="519"/>
    </row>
    <row r="2559" spans="4:5">
      <c r="D2559" s="519"/>
      <c r="E2559" s="519"/>
    </row>
    <row r="2560" spans="4:5">
      <c r="D2560" s="519"/>
      <c r="E2560" s="519"/>
    </row>
    <row r="2561" spans="4:5">
      <c r="D2561" s="519"/>
      <c r="E2561" s="519"/>
    </row>
    <row r="2562" spans="4:5">
      <c r="D2562" s="519"/>
      <c r="E2562" s="519"/>
    </row>
    <row r="2563" spans="4:5">
      <c r="D2563" s="519"/>
      <c r="E2563" s="519"/>
    </row>
    <row r="2564" spans="4:5">
      <c r="D2564" s="519"/>
      <c r="E2564" s="519"/>
    </row>
    <row r="2565" spans="4:5">
      <c r="D2565" s="519"/>
      <c r="E2565" s="519"/>
    </row>
    <row r="2566" spans="4:5">
      <c r="D2566" s="519"/>
      <c r="E2566" s="519"/>
    </row>
    <row r="2567" spans="4:5">
      <c r="D2567" s="519"/>
      <c r="E2567" s="519"/>
    </row>
    <row r="2568" spans="4:5">
      <c r="D2568" s="519"/>
      <c r="E2568" s="519"/>
    </row>
    <row r="2569" spans="4:5">
      <c r="D2569" s="519"/>
      <c r="E2569" s="519"/>
    </row>
    <row r="2570" spans="4:5">
      <c r="D2570" s="519"/>
      <c r="E2570" s="519"/>
    </row>
    <row r="2571" spans="4:5">
      <c r="D2571" s="519"/>
      <c r="E2571" s="519"/>
    </row>
    <row r="2572" spans="4:5">
      <c r="D2572" s="519"/>
      <c r="E2572" s="519"/>
    </row>
    <row r="2573" spans="4:5">
      <c r="D2573" s="519"/>
      <c r="E2573" s="519"/>
    </row>
    <row r="2574" spans="4:5">
      <c r="D2574" s="519"/>
      <c r="E2574" s="519"/>
    </row>
    <row r="2575" spans="4:5">
      <c r="D2575" s="519"/>
      <c r="E2575" s="519"/>
    </row>
    <row r="2576" spans="4:5">
      <c r="D2576" s="519"/>
      <c r="E2576" s="519"/>
    </row>
    <row r="2577" spans="4:5">
      <c r="D2577" s="519"/>
      <c r="E2577" s="519"/>
    </row>
    <row r="2578" spans="4:5">
      <c r="D2578" s="519"/>
      <c r="E2578" s="519"/>
    </row>
    <row r="2579" spans="4:5">
      <c r="D2579" s="519"/>
      <c r="E2579" s="519"/>
    </row>
    <row r="2580" spans="4:5">
      <c r="D2580" s="519"/>
      <c r="E2580" s="519"/>
    </row>
    <row r="2581" spans="4:5">
      <c r="D2581" s="519"/>
      <c r="E2581" s="519"/>
    </row>
    <row r="2582" spans="4:5">
      <c r="D2582" s="519"/>
      <c r="E2582" s="519"/>
    </row>
    <row r="2583" spans="4:5">
      <c r="D2583" s="519"/>
      <c r="E2583" s="519"/>
    </row>
    <row r="2584" spans="4:5">
      <c r="D2584" s="519"/>
      <c r="E2584" s="519"/>
    </row>
    <row r="2585" spans="4:5">
      <c r="D2585" s="519"/>
      <c r="E2585" s="519"/>
    </row>
    <row r="2586" spans="4:5">
      <c r="D2586" s="519"/>
      <c r="E2586" s="519"/>
    </row>
    <row r="2587" spans="4:5">
      <c r="D2587" s="519"/>
      <c r="E2587" s="519"/>
    </row>
    <row r="2588" spans="4:5">
      <c r="D2588" s="519"/>
      <c r="E2588" s="519"/>
    </row>
    <row r="2589" spans="4:5">
      <c r="D2589" s="519"/>
      <c r="E2589" s="519"/>
    </row>
    <row r="2590" spans="4:5">
      <c r="D2590" s="519"/>
      <c r="E2590" s="519"/>
    </row>
    <row r="2591" spans="4:5">
      <c r="D2591" s="519"/>
      <c r="E2591" s="519"/>
    </row>
    <row r="2592" spans="4:5">
      <c r="D2592" s="519"/>
      <c r="E2592" s="519"/>
    </row>
    <row r="2593" spans="4:5">
      <c r="D2593" s="519"/>
      <c r="E2593" s="519"/>
    </row>
    <row r="2594" spans="4:5">
      <c r="D2594" s="519"/>
      <c r="E2594" s="519"/>
    </row>
    <row r="2595" spans="4:5">
      <c r="D2595" s="519"/>
      <c r="E2595" s="519"/>
    </row>
    <row r="2596" spans="4:5">
      <c r="D2596" s="519"/>
      <c r="E2596" s="519"/>
    </row>
    <row r="2597" spans="4:5">
      <c r="D2597" s="519"/>
      <c r="E2597" s="519"/>
    </row>
    <row r="2598" spans="4:5">
      <c r="D2598" s="519"/>
      <c r="E2598" s="519"/>
    </row>
    <row r="2599" spans="4:5">
      <c r="D2599" s="519"/>
      <c r="E2599" s="519"/>
    </row>
    <row r="2600" spans="4:5">
      <c r="D2600" s="519"/>
      <c r="E2600" s="519"/>
    </row>
    <row r="2601" spans="4:5">
      <c r="D2601" s="519"/>
      <c r="E2601" s="519"/>
    </row>
    <row r="2602" spans="4:5">
      <c r="D2602" s="519"/>
      <c r="E2602" s="519"/>
    </row>
    <row r="2603" spans="4:5">
      <c r="D2603" s="519"/>
      <c r="E2603" s="519"/>
    </row>
    <row r="2604" spans="4:5">
      <c r="D2604" s="519"/>
      <c r="E2604" s="519"/>
    </row>
    <row r="2605" spans="4:5">
      <c r="D2605" s="519"/>
      <c r="E2605" s="519"/>
    </row>
    <row r="2606" spans="4:5">
      <c r="D2606" s="519"/>
      <c r="E2606" s="519"/>
    </row>
    <row r="2607" spans="4:5">
      <c r="D2607" s="519"/>
      <c r="E2607" s="519"/>
    </row>
    <row r="2608" spans="4:5">
      <c r="D2608" s="519"/>
      <c r="E2608" s="519"/>
    </row>
    <row r="2609" spans="4:5">
      <c r="D2609" s="519"/>
      <c r="E2609" s="519"/>
    </row>
    <row r="2610" spans="4:5">
      <c r="D2610" s="519"/>
      <c r="E2610" s="519"/>
    </row>
    <row r="2611" spans="4:5">
      <c r="D2611" s="519"/>
      <c r="E2611" s="519"/>
    </row>
    <row r="2612" spans="4:5">
      <c r="D2612" s="519"/>
      <c r="E2612" s="519"/>
    </row>
    <row r="2613" spans="4:5">
      <c r="D2613" s="519"/>
      <c r="E2613" s="519"/>
    </row>
    <row r="2614" spans="4:5">
      <c r="D2614" s="519"/>
      <c r="E2614" s="519"/>
    </row>
    <row r="2615" spans="4:5">
      <c r="D2615" s="519"/>
      <c r="E2615" s="519"/>
    </row>
    <row r="2616" spans="4:5">
      <c r="D2616" s="519"/>
      <c r="E2616" s="519"/>
    </row>
    <row r="2617" spans="4:5">
      <c r="D2617" s="519"/>
      <c r="E2617" s="519"/>
    </row>
    <row r="2618" spans="4:5">
      <c r="D2618" s="519"/>
      <c r="E2618" s="519"/>
    </row>
    <row r="2619" spans="4:5">
      <c r="D2619" s="519"/>
      <c r="E2619" s="519"/>
    </row>
    <row r="2620" spans="4:5">
      <c r="D2620" s="519"/>
      <c r="E2620" s="519"/>
    </row>
    <row r="2621" spans="4:5">
      <c r="D2621" s="519"/>
      <c r="E2621" s="519"/>
    </row>
    <row r="2622" spans="4:5">
      <c r="D2622" s="519"/>
      <c r="E2622" s="519"/>
    </row>
    <row r="2623" spans="4:5">
      <c r="D2623" s="519"/>
      <c r="E2623" s="519"/>
    </row>
    <row r="2624" spans="4:5">
      <c r="D2624" s="519"/>
      <c r="E2624" s="519"/>
    </row>
    <row r="2625" spans="4:5">
      <c r="D2625" s="519"/>
      <c r="E2625" s="519"/>
    </row>
    <row r="2626" spans="4:5">
      <c r="D2626" s="519"/>
      <c r="E2626" s="519"/>
    </row>
    <row r="2627" spans="4:5">
      <c r="D2627" s="519"/>
      <c r="E2627" s="519"/>
    </row>
    <row r="2628" spans="4:5">
      <c r="D2628" s="519"/>
      <c r="E2628" s="519"/>
    </row>
    <row r="2629" spans="4:5">
      <c r="D2629" s="519"/>
      <c r="E2629" s="519"/>
    </row>
    <row r="2630" spans="4:5">
      <c r="D2630" s="519"/>
      <c r="E2630" s="519"/>
    </row>
    <row r="2631" spans="4:5">
      <c r="D2631" s="519"/>
      <c r="E2631" s="519"/>
    </row>
    <row r="2632" spans="4:5">
      <c r="D2632" s="519"/>
      <c r="E2632" s="519"/>
    </row>
    <row r="2633" spans="4:5">
      <c r="D2633" s="519"/>
      <c r="E2633" s="519"/>
    </row>
    <row r="2634" spans="4:5">
      <c r="D2634" s="519"/>
      <c r="E2634" s="519"/>
    </row>
    <row r="2635" spans="4:5">
      <c r="D2635" s="519"/>
      <c r="E2635" s="519"/>
    </row>
    <row r="2636" spans="4:5">
      <c r="D2636" s="519"/>
      <c r="E2636" s="519"/>
    </row>
    <row r="2637" spans="4:5">
      <c r="D2637" s="519"/>
      <c r="E2637" s="519"/>
    </row>
    <row r="2638" spans="4:5">
      <c r="D2638" s="519"/>
      <c r="E2638" s="519"/>
    </row>
    <row r="2639" spans="4:5">
      <c r="D2639" s="519"/>
      <c r="E2639" s="519"/>
    </row>
    <row r="2640" spans="4:5">
      <c r="D2640" s="519"/>
      <c r="E2640" s="519"/>
    </row>
    <row r="2641" spans="4:5">
      <c r="D2641" s="519"/>
      <c r="E2641" s="519"/>
    </row>
    <row r="2642" spans="4:5">
      <c r="D2642" s="519"/>
      <c r="E2642" s="519"/>
    </row>
    <row r="2643" spans="4:5">
      <c r="D2643" s="519"/>
      <c r="E2643" s="519"/>
    </row>
    <row r="2644" spans="4:5">
      <c r="D2644" s="519"/>
      <c r="E2644" s="519"/>
    </row>
    <row r="2645" spans="4:5">
      <c r="D2645" s="519"/>
      <c r="E2645" s="519"/>
    </row>
    <row r="2646" spans="4:5">
      <c r="D2646" s="519"/>
      <c r="E2646" s="519"/>
    </row>
    <row r="2647" spans="4:5">
      <c r="D2647" s="519"/>
      <c r="E2647" s="519"/>
    </row>
    <row r="2648" spans="4:5">
      <c r="D2648" s="519"/>
      <c r="E2648" s="519"/>
    </row>
    <row r="2649" spans="4:5">
      <c r="D2649" s="519"/>
      <c r="E2649" s="519"/>
    </row>
    <row r="2650" spans="4:5">
      <c r="D2650" s="519"/>
      <c r="E2650" s="519"/>
    </row>
    <row r="2651" spans="4:5">
      <c r="D2651" s="519"/>
      <c r="E2651" s="519"/>
    </row>
    <row r="2652" spans="4:5">
      <c r="D2652" s="519"/>
      <c r="E2652" s="519"/>
    </row>
    <row r="2653" spans="4:5">
      <c r="D2653" s="519"/>
      <c r="E2653" s="519"/>
    </row>
    <row r="2654" spans="4:5">
      <c r="D2654" s="519"/>
      <c r="E2654" s="519"/>
    </row>
    <row r="2655" spans="4:5">
      <c r="D2655" s="519"/>
      <c r="E2655" s="519"/>
    </row>
    <row r="2656" spans="4:5">
      <c r="D2656" s="519"/>
      <c r="E2656" s="519"/>
    </row>
    <row r="2657" spans="4:5">
      <c r="D2657" s="519"/>
      <c r="E2657" s="519"/>
    </row>
    <row r="2658" spans="4:5">
      <c r="D2658" s="519"/>
      <c r="E2658" s="519"/>
    </row>
    <row r="2659" spans="4:5">
      <c r="D2659" s="519"/>
      <c r="E2659" s="519"/>
    </row>
    <row r="2660" spans="4:5">
      <c r="D2660" s="519"/>
      <c r="E2660" s="519"/>
    </row>
    <row r="2661" spans="4:5">
      <c r="D2661" s="519"/>
      <c r="E2661" s="519"/>
    </row>
    <row r="2662" spans="4:5">
      <c r="D2662" s="519"/>
      <c r="E2662" s="519"/>
    </row>
    <row r="2663" spans="4:5">
      <c r="D2663" s="519"/>
      <c r="E2663" s="519"/>
    </row>
    <row r="2664" spans="4:5">
      <c r="D2664" s="519"/>
      <c r="E2664" s="519"/>
    </row>
    <row r="2665" spans="4:5">
      <c r="D2665" s="519"/>
      <c r="E2665" s="519"/>
    </row>
    <row r="2666" spans="4:5">
      <c r="D2666" s="519"/>
      <c r="E2666" s="519"/>
    </row>
    <row r="2667" spans="4:5">
      <c r="D2667" s="519"/>
      <c r="E2667" s="519"/>
    </row>
    <row r="2668" spans="4:5">
      <c r="D2668" s="519"/>
      <c r="E2668" s="519"/>
    </row>
    <row r="2669" spans="4:5">
      <c r="D2669" s="519"/>
      <c r="E2669" s="519"/>
    </row>
    <row r="2670" spans="4:5">
      <c r="D2670" s="519"/>
      <c r="E2670" s="519"/>
    </row>
    <row r="2671" spans="4:5">
      <c r="D2671" s="519"/>
      <c r="E2671" s="519"/>
    </row>
    <row r="2672" spans="4:5">
      <c r="D2672" s="519"/>
      <c r="E2672" s="519"/>
    </row>
    <row r="2673" spans="4:5">
      <c r="D2673" s="519"/>
      <c r="E2673" s="519"/>
    </row>
    <row r="2674" spans="4:5">
      <c r="D2674" s="519"/>
      <c r="E2674" s="519"/>
    </row>
    <row r="2675" spans="4:5">
      <c r="D2675" s="519"/>
      <c r="E2675" s="519"/>
    </row>
    <row r="2676" spans="4:5">
      <c r="D2676" s="519"/>
      <c r="E2676" s="519"/>
    </row>
    <row r="2677" spans="4:5">
      <c r="D2677" s="519"/>
      <c r="E2677" s="519"/>
    </row>
    <row r="2678" spans="4:5">
      <c r="D2678" s="519"/>
      <c r="E2678" s="519"/>
    </row>
    <row r="2679" spans="4:5">
      <c r="D2679" s="519"/>
      <c r="E2679" s="519"/>
    </row>
    <row r="2680" spans="4:5">
      <c r="D2680" s="519"/>
      <c r="E2680" s="519"/>
    </row>
    <row r="2681" spans="4:5">
      <c r="D2681" s="519"/>
      <c r="E2681" s="519"/>
    </row>
    <row r="2682" spans="4:5">
      <c r="D2682" s="519"/>
      <c r="E2682" s="519"/>
    </row>
    <row r="2683" spans="4:5">
      <c r="D2683" s="519"/>
      <c r="E2683" s="519"/>
    </row>
    <row r="2684" spans="4:5">
      <c r="D2684" s="519"/>
      <c r="E2684" s="519"/>
    </row>
    <row r="2685" spans="4:5">
      <c r="D2685" s="519"/>
      <c r="E2685" s="519"/>
    </row>
    <row r="2686" spans="4:5">
      <c r="D2686" s="519"/>
      <c r="E2686" s="519"/>
    </row>
    <row r="2687" spans="4:5">
      <c r="D2687" s="519"/>
      <c r="E2687" s="519"/>
    </row>
    <row r="2688" spans="4:5">
      <c r="D2688" s="519"/>
      <c r="E2688" s="519"/>
    </row>
    <row r="2689" spans="4:5">
      <c r="D2689" s="519"/>
      <c r="E2689" s="519"/>
    </row>
    <row r="2690" spans="4:5">
      <c r="D2690" s="519"/>
      <c r="E2690" s="519"/>
    </row>
    <row r="2691" spans="4:5">
      <c r="D2691" s="519"/>
      <c r="E2691" s="519"/>
    </row>
    <row r="2692" spans="4:5">
      <c r="D2692" s="519"/>
      <c r="E2692" s="519"/>
    </row>
    <row r="2693" spans="4:5">
      <c r="D2693" s="519"/>
      <c r="E2693" s="519"/>
    </row>
    <row r="2694" spans="4:5">
      <c r="D2694" s="519"/>
      <c r="E2694" s="519"/>
    </row>
    <row r="2695" spans="4:5">
      <c r="D2695" s="519"/>
      <c r="E2695" s="519"/>
    </row>
    <row r="2696" spans="4:5">
      <c r="D2696" s="519"/>
      <c r="E2696" s="519"/>
    </row>
    <row r="2697" spans="4:5">
      <c r="D2697" s="519"/>
      <c r="E2697" s="519"/>
    </row>
    <row r="2698" spans="4:5">
      <c r="D2698" s="519"/>
      <c r="E2698" s="519"/>
    </row>
    <row r="2699" spans="4:5">
      <c r="D2699" s="519"/>
      <c r="E2699" s="519"/>
    </row>
    <row r="2700" spans="4:5">
      <c r="D2700" s="519"/>
      <c r="E2700" s="519"/>
    </row>
    <row r="2701" spans="4:5">
      <c r="D2701" s="519"/>
      <c r="E2701" s="519"/>
    </row>
    <row r="2702" spans="4:5">
      <c r="D2702" s="519"/>
      <c r="E2702" s="519"/>
    </row>
    <row r="2703" spans="4:5">
      <c r="D2703" s="519"/>
      <c r="E2703" s="519"/>
    </row>
    <row r="2704" spans="4:5">
      <c r="D2704" s="519"/>
      <c r="E2704" s="519"/>
    </row>
    <row r="2705" spans="4:5">
      <c r="D2705" s="519"/>
      <c r="E2705" s="519"/>
    </row>
    <row r="2706" spans="4:5">
      <c r="D2706" s="519"/>
      <c r="E2706" s="519"/>
    </row>
    <row r="2707" spans="4:5">
      <c r="D2707" s="519"/>
      <c r="E2707" s="519"/>
    </row>
    <row r="2708" spans="4:5">
      <c r="D2708" s="519"/>
      <c r="E2708" s="519"/>
    </row>
    <row r="2709" spans="4:5">
      <c r="D2709" s="519"/>
      <c r="E2709" s="519"/>
    </row>
    <row r="2710" spans="4:5">
      <c r="D2710" s="519"/>
      <c r="E2710" s="519"/>
    </row>
    <row r="2711" spans="4:5">
      <c r="D2711" s="519"/>
      <c r="E2711" s="519"/>
    </row>
    <row r="2712" spans="4:5">
      <c r="D2712" s="519"/>
      <c r="E2712" s="519"/>
    </row>
    <row r="2713" spans="4:5">
      <c r="D2713" s="519"/>
      <c r="E2713" s="519"/>
    </row>
    <row r="2714" spans="4:5">
      <c r="D2714" s="519"/>
      <c r="E2714" s="519"/>
    </row>
    <row r="2715" spans="4:5">
      <c r="D2715" s="519"/>
      <c r="E2715" s="519"/>
    </row>
    <row r="2716" spans="4:5">
      <c r="D2716" s="519"/>
      <c r="E2716" s="519"/>
    </row>
    <row r="2717" spans="4:5">
      <c r="D2717" s="519"/>
      <c r="E2717" s="519"/>
    </row>
    <row r="2718" spans="4:5">
      <c r="D2718" s="519"/>
      <c r="E2718" s="519"/>
    </row>
    <row r="2719" spans="4:5">
      <c r="D2719" s="519"/>
      <c r="E2719" s="519"/>
    </row>
    <row r="2720" spans="4:5">
      <c r="D2720" s="519"/>
      <c r="E2720" s="519"/>
    </row>
    <row r="2721" spans="4:5">
      <c r="D2721" s="519"/>
      <c r="E2721" s="519"/>
    </row>
    <row r="2722" spans="4:5">
      <c r="D2722" s="519"/>
      <c r="E2722" s="519"/>
    </row>
    <row r="2723" spans="4:5">
      <c r="D2723" s="519"/>
      <c r="E2723" s="519"/>
    </row>
    <row r="2724" spans="4:5">
      <c r="D2724" s="519"/>
      <c r="E2724" s="519"/>
    </row>
    <row r="2725" spans="4:5">
      <c r="D2725" s="519"/>
      <c r="E2725" s="519"/>
    </row>
    <row r="2726" spans="4:5">
      <c r="D2726" s="519"/>
      <c r="E2726" s="519"/>
    </row>
    <row r="2727" spans="4:5">
      <c r="D2727" s="519"/>
      <c r="E2727" s="519"/>
    </row>
    <row r="2728" spans="4:5">
      <c r="D2728" s="519"/>
      <c r="E2728" s="519"/>
    </row>
    <row r="2729" spans="4:5">
      <c r="D2729" s="519"/>
      <c r="E2729" s="519"/>
    </row>
    <row r="2730" spans="4:5">
      <c r="D2730" s="519"/>
      <c r="E2730" s="519"/>
    </row>
    <row r="2731" spans="4:5">
      <c r="D2731" s="519"/>
      <c r="E2731" s="519"/>
    </row>
    <row r="2732" spans="4:5">
      <c r="D2732" s="519"/>
      <c r="E2732" s="519"/>
    </row>
    <row r="2733" spans="4:5">
      <c r="D2733" s="519"/>
      <c r="E2733" s="519"/>
    </row>
    <row r="2734" spans="4:5">
      <c r="D2734" s="519"/>
      <c r="E2734" s="519"/>
    </row>
    <row r="2735" spans="4:5">
      <c r="D2735" s="519"/>
      <c r="E2735" s="519"/>
    </row>
    <row r="2736" spans="4:5">
      <c r="D2736" s="519"/>
      <c r="E2736" s="519"/>
    </row>
    <row r="2737" spans="4:5">
      <c r="D2737" s="519"/>
      <c r="E2737" s="519"/>
    </row>
    <row r="2738" spans="4:5">
      <c r="D2738" s="519"/>
      <c r="E2738" s="519"/>
    </row>
    <row r="2739" spans="4:5">
      <c r="D2739" s="519"/>
      <c r="E2739" s="519"/>
    </row>
    <row r="2740" spans="4:5">
      <c r="D2740" s="519"/>
      <c r="E2740" s="519"/>
    </row>
    <row r="2741" spans="4:5">
      <c r="D2741" s="519"/>
      <c r="E2741" s="519"/>
    </row>
    <row r="2742" spans="4:5">
      <c r="D2742" s="519"/>
      <c r="E2742" s="519"/>
    </row>
    <row r="2743" spans="4:5">
      <c r="D2743" s="519"/>
      <c r="E2743" s="519"/>
    </row>
    <row r="2744" spans="4:5">
      <c r="D2744" s="519"/>
      <c r="E2744" s="519"/>
    </row>
    <row r="2745" spans="4:5">
      <c r="D2745" s="519"/>
      <c r="E2745" s="519"/>
    </row>
    <row r="2746" spans="4:5">
      <c r="D2746" s="519"/>
      <c r="E2746" s="519"/>
    </row>
    <row r="2747" spans="4:5">
      <c r="D2747" s="519"/>
      <c r="E2747" s="519"/>
    </row>
    <row r="2748" spans="4:5">
      <c r="D2748" s="519"/>
      <c r="E2748" s="519"/>
    </row>
    <row r="2749" spans="4:5">
      <c r="D2749" s="519"/>
      <c r="E2749" s="519"/>
    </row>
    <row r="2750" spans="4:5">
      <c r="D2750" s="519"/>
      <c r="E2750" s="519"/>
    </row>
    <row r="2751" spans="4:5">
      <c r="D2751" s="519"/>
      <c r="E2751" s="519"/>
    </row>
    <row r="2752" spans="4:5">
      <c r="D2752" s="519"/>
      <c r="E2752" s="519"/>
    </row>
    <row r="2753" spans="4:5">
      <c r="D2753" s="519"/>
      <c r="E2753" s="519"/>
    </row>
    <row r="2754" spans="4:5">
      <c r="D2754" s="519"/>
      <c r="E2754" s="519"/>
    </row>
    <row r="2755" spans="4:5">
      <c r="D2755" s="519"/>
      <c r="E2755" s="519"/>
    </row>
    <row r="2756" spans="4:5">
      <c r="D2756" s="519"/>
      <c r="E2756" s="519"/>
    </row>
    <row r="2757" spans="4:5">
      <c r="D2757" s="519"/>
      <c r="E2757" s="519"/>
    </row>
    <row r="2758" spans="4:5">
      <c r="D2758" s="519"/>
      <c r="E2758" s="519"/>
    </row>
    <row r="2759" spans="4:5">
      <c r="D2759" s="519"/>
      <c r="E2759" s="519"/>
    </row>
    <row r="2760" spans="4:5">
      <c r="D2760" s="519"/>
      <c r="E2760" s="519"/>
    </row>
    <row r="2761" spans="4:5">
      <c r="D2761" s="519"/>
      <c r="E2761" s="519"/>
    </row>
    <row r="2762" spans="4:5">
      <c r="D2762" s="519"/>
      <c r="E2762" s="519"/>
    </row>
    <row r="2763" spans="4:5">
      <c r="D2763" s="519"/>
      <c r="E2763" s="519"/>
    </row>
    <row r="2764" spans="4:5">
      <c r="D2764" s="519"/>
      <c r="E2764" s="519"/>
    </row>
    <row r="2765" spans="4:5">
      <c r="D2765" s="519"/>
      <c r="E2765" s="519"/>
    </row>
    <row r="2766" spans="4:5">
      <c r="D2766" s="519"/>
      <c r="E2766" s="519"/>
    </row>
    <row r="2767" spans="4:5">
      <c r="D2767" s="519"/>
      <c r="E2767" s="519"/>
    </row>
    <row r="2768" spans="4:5">
      <c r="D2768" s="519"/>
      <c r="E2768" s="519"/>
    </row>
    <row r="2769" spans="4:5">
      <c r="D2769" s="519"/>
      <c r="E2769" s="519"/>
    </row>
    <row r="2770" spans="4:5">
      <c r="D2770" s="519"/>
      <c r="E2770" s="519"/>
    </row>
    <row r="2771" spans="4:5">
      <c r="D2771" s="519"/>
      <c r="E2771" s="519"/>
    </row>
    <row r="2772" spans="4:5">
      <c r="D2772" s="519"/>
      <c r="E2772" s="519"/>
    </row>
    <row r="2773" spans="4:5">
      <c r="D2773" s="519"/>
      <c r="E2773" s="519"/>
    </row>
    <row r="2774" spans="4:5">
      <c r="D2774" s="519"/>
      <c r="E2774" s="519"/>
    </row>
    <row r="2775" spans="4:5">
      <c r="D2775" s="519"/>
      <c r="E2775" s="519"/>
    </row>
    <row r="2776" spans="4:5">
      <c r="D2776" s="519"/>
      <c r="E2776" s="519"/>
    </row>
    <row r="2777" spans="4:5">
      <c r="D2777" s="519"/>
      <c r="E2777" s="519"/>
    </row>
    <row r="2778" spans="4:5">
      <c r="D2778" s="519"/>
      <c r="E2778" s="519"/>
    </row>
    <row r="2779" spans="4:5">
      <c r="D2779" s="519"/>
      <c r="E2779" s="519"/>
    </row>
    <row r="2780" spans="4:5">
      <c r="D2780" s="519"/>
      <c r="E2780" s="519"/>
    </row>
    <row r="2781" spans="4:5">
      <c r="D2781" s="519"/>
      <c r="E2781" s="519"/>
    </row>
    <row r="2782" spans="4:5">
      <c r="D2782" s="519"/>
      <c r="E2782" s="519"/>
    </row>
    <row r="2783" spans="4:5">
      <c r="D2783" s="519"/>
      <c r="E2783" s="519"/>
    </row>
    <row r="2784" spans="4:5">
      <c r="D2784" s="519"/>
      <c r="E2784" s="519"/>
    </row>
    <row r="2785" spans="4:5">
      <c r="D2785" s="519"/>
      <c r="E2785" s="519"/>
    </row>
    <row r="2786" spans="4:5">
      <c r="D2786" s="519"/>
      <c r="E2786" s="519"/>
    </row>
    <row r="2787" spans="4:5">
      <c r="D2787" s="519"/>
      <c r="E2787" s="519"/>
    </row>
    <row r="2788" spans="4:5">
      <c r="D2788" s="519"/>
      <c r="E2788" s="519"/>
    </row>
    <row r="2789" spans="4:5">
      <c r="D2789" s="519"/>
      <c r="E2789" s="519"/>
    </row>
    <row r="2790" spans="4:5">
      <c r="D2790" s="519"/>
      <c r="E2790" s="519"/>
    </row>
    <row r="2791" spans="4:5">
      <c r="D2791" s="519"/>
      <c r="E2791" s="519"/>
    </row>
    <row r="2792" spans="4:5">
      <c r="D2792" s="519"/>
      <c r="E2792" s="519"/>
    </row>
    <row r="2793" spans="4:5">
      <c r="D2793" s="519"/>
      <c r="E2793" s="519"/>
    </row>
    <row r="2794" spans="4:5">
      <c r="D2794" s="519"/>
      <c r="E2794" s="519"/>
    </row>
    <row r="2795" spans="4:5">
      <c r="D2795" s="519"/>
      <c r="E2795" s="519"/>
    </row>
    <row r="2796" spans="4:5">
      <c r="D2796" s="519"/>
      <c r="E2796" s="519"/>
    </row>
    <row r="2797" spans="4:5">
      <c r="D2797" s="519"/>
      <c r="E2797" s="519"/>
    </row>
    <row r="2798" spans="4:5">
      <c r="D2798" s="519"/>
      <c r="E2798" s="519"/>
    </row>
    <row r="2799" spans="4:5">
      <c r="D2799" s="519"/>
      <c r="E2799" s="519"/>
    </row>
    <row r="2800" spans="4:5">
      <c r="D2800" s="519"/>
      <c r="E2800" s="519"/>
    </row>
    <row r="2801" spans="4:5">
      <c r="D2801" s="519"/>
      <c r="E2801" s="519"/>
    </row>
    <row r="2802" spans="4:5">
      <c r="D2802" s="519"/>
      <c r="E2802" s="519"/>
    </row>
    <row r="2803" spans="4:5">
      <c r="D2803" s="519"/>
      <c r="E2803" s="519"/>
    </row>
    <row r="2804" spans="4:5">
      <c r="D2804" s="519"/>
      <c r="E2804" s="519"/>
    </row>
    <row r="2805" spans="4:5">
      <c r="D2805" s="519"/>
      <c r="E2805" s="519"/>
    </row>
    <row r="2806" spans="4:5">
      <c r="D2806" s="519"/>
      <c r="E2806" s="519"/>
    </row>
    <row r="2807" spans="4:5">
      <c r="D2807" s="519"/>
      <c r="E2807" s="519"/>
    </row>
    <row r="2808" spans="4:5">
      <c r="D2808" s="519"/>
      <c r="E2808" s="519"/>
    </row>
    <row r="2809" spans="4:5">
      <c r="D2809" s="519"/>
      <c r="E2809" s="519"/>
    </row>
    <row r="2810" spans="4:5">
      <c r="D2810" s="519"/>
      <c r="E2810" s="519"/>
    </row>
    <row r="2811" spans="4:5">
      <c r="D2811" s="519"/>
      <c r="E2811" s="519"/>
    </row>
    <row r="2812" spans="4:5">
      <c r="D2812" s="519"/>
      <c r="E2812" s="519"/>
    </row>
    <row r="2813" spans="4:5">
      <c r="D2813" s="519"/>
      <c r="E2813" s="519"/>
    </row>
    <row r="2814" spans="4:5">
      <c r="D2814" s="519"/>
      <c r="E2814" s="519"/>
    </row>
    <row r="2815" spans="4:5">
      <c r="D2815" s="519"/>
      <c r="E2815" s="519"/>
    </row>
    <row r="2816" spans="4:5">
      <c r="D2816" s="519"/>
      <c r="E2816" s="519"/>
    </row>
    <row r="2817" spans="4:5">
      <c r="D2817" s="519"/>
      <c r="E2817" s="519"/>
    </row>
    <row r="2818" spans="4:5">
      <c r="D2818" s="519"/>
      <c r="E2818" s="519"/>
    </row>
    <row r="2819" spans="4:5">
      <c r="D2819" s="519"/>
      <c r="E2819" s="519"/>
    </row>
    <row r="2820" spans="4:5">
      <c r="D2820" s="519"/>
      <c r="E2820" s="519"/>
    </row>
    <row r="2821" spans="4:5">
      <c r="D2821" s="519"/>
      <c r="E2821" s="519"/>
    </row>
    <row r="2822" spans="4:5">
      <c r="D2822" s="519"/>
      <c r="E2822" s="519"/>
    </row>
    <row r="2823" spans="4:5">
      <c r="D2823" s="519"/>
      <c r="E2823" s="519"/>
    </row>
    <row r="2824" spans="4:5">
      <c r="D2824" s="519"/>
      <c r="E2824" s="519"/>
    </row>
    <row r="2825" spans="4:5">
      <c r="D2825" s="519"/>
      <c r="E2825" s="519"/>
    </row>
    <row r="2826" spans="4:5">
      <c r="D2826" s="519"/>
      <c r="E2826" s="519"/>
    </row>
    <row r="2827" spans="4:5">
      <c r="D2827" s="519"/>
      <c r="E2827" s="519"/>
    </row>
    <row r="2828" spans="4:5">
      <c r="D2828" s="519"/>
      <c r="E2828" s="519"/>
    </row>
    <row r="2829" spans="4:5">
      <c r="D2829" s="519"/>
      <c r="E2829" s="519"/>
    </row>
    <row r="2830" spans="4:5">
      <c r="D2830" s="519"/>
      <c r="E2830" s="519"/>
    </row>
    <row r="2831" spans="4:5">
      <c r="D2831" s="519"/>
      <c r="E2831" s="519"/>
    </row>
    <row r="2832" spans="4:5">
      <c r="D2832" s="519"/>
      <c r="E2832" s="519"/>
    </row>
    <row r="2833" spans="4:5">
      <c r="D2833" s="519"/>
      <c r="E2833" s="519"/>
    </row>
    <row r="2834" spans="4:5">
      <c r="D2834" s="519"/>
      <c r="E2834" s="519"/>
    </row>
    <row r="2835" spans="4:5">
      <c r="D2835" s="519"/>
      <c r="E2835" s="519"/>
    </row>
    <row r="2836" spans="4:5">
      <c r="D2836" s="519"/>
      <c r="E2836" s="519"/>
    </row>
    <row r="2837" spans="4:5">
      <c r="D2837" s="519"/>
      <c r="E2837" s="519"/>
    </row>
    <row r="2838" spans="4:5">
      <c r="D2838" s="519"/>
      <c r="E2838" s="519"/>
    </row>
    <row r="2839" spans="4:5">
      <c r="D2839" s="519"/>
      <c r="E2839" s="519"/>
    </row>
    <row r="2840" spans="4:5">
      <c r="D2840" s="519"/>
      <c r="E2840" s="519"/>
    </row>
    <row r="2841" spans="4:5">
      <c r="D2841" s="519"/>
      <c r="E2841" s="519"/>
    </row>
    <row r="2842" spans="4:5">
      <c r="D2842" s="519"/>
      <c r="E2842" s="519"/>
    </row>
    <row r="2843" spans="4:5">
      <c r="D2843" s="519"/>
      <c r="E2843" s="519"/>
    </row>
    <row r="2844" spans="4:5">
      <c r="D2844" s="519"/>
      <c r="E2844" s="519"/>
    </row>
    <row r="2845" spans="4:5">
      <c r="D2845" s="519"/>
      <c r="E2845" s="519"/>
    </row>
    <row r="2846" spans="4:5">
      <c r="D2846" s="519"/>
      <c r="E2846" s="519"/>
    </row>
    <row r="2847" spans="4:5">
      <c r="D2847" s="519"/>
      <c r="E2847" s="519"/>
    </row>
    <row r="2848" spans="4:5">
      <c r="D2848" s="519"/>
      <c r="E2848" s="519"/>
    </row>
    <row r="2849" spans="4:5">
      <c r="D2849" s="519"/>
      <c r="E2849" s="519"/>
    </row>
    <row r="2850" spans="4:5">
      <c r="D2850" s="519"/>
      <c r="E2850" s="519"/>
    </row>
    <row r="2851" spans="4:5">
      <c r="D2851" s="519"/>
      <c r="E2851" s="519"/>
    </row>
    <row r="2852" spans="4:5">
      <c r="D2852" s="519"/>
      <c r="E2852" s="519"/>
    </row>
    <row r="2853" spans="4:5">
      <c r="D2853" s="519"/>
      <c r="E2853" s="519"/>
    </row>
    <row r="2854" spans="4:5">
      <c r="D2854" s="519"/>
      <c r="E2854" s="519"/>
    </row>
    <row r="2855" spans="4:5">
      <c r="D2855" s="519"/>
      <c r="E2855" s="519"/>
    </row>
    <row r="2856" spans="4:5">
      <c r="D2856" s="519"/>
      <c r="E2856" s="519"/>
    </row>
    <row r="2857" spans="4:5">
      <c r="D2857" s="519"/>
      <c r="E2857" s="519"/>
    </row>
    <row r="2858" spans="4:5">
      <c r="D2858" s="519"/>
      <c r="E2858" s="519"/>
    </row>
    <row r="2859" spans="4:5">
      <c r="D2859" s="519"/>
      <c r="E2859" s="519"/>
    </row>
    <row r="2860" spans="4:5">
      <c r="D2860" s="519"/>
      <c r="E2860" s="519"/>
    </row>
    <row r="2861" spans="4:5">
      <c r="D2861" s="519"/>
      <c r="E2861" s="519"/>
    </row>
    <row r="2862" spans="4:5">
      <c r="D2862" s="519"/>
      <c r="E2862" s="519"/>
    </row>
    <row r="2863" spans="4:5">
      <c r="D2863" s="519"/>
      <c r="E2863" s="519"/>
    </row>
    <row r="2864" spans="4:5">
      <c r="D2864" s="519"/>
      <c r="E2864" s="519"/>
    </row>
    <row r="2865" spans="4:5">
      <c r="D2865" s="519"/>
      <c r="E2865" s="519"/>
    </row>
    <row r="2866" spans="4:5">
      <c r="D2866" s="519"/>
      <c r="E2866" s="519"/>
    </row>
    <row r="2867" spans="4:5">
      <c r="D2867" s="519"/>
      <c r="E2867" s="519"/>
    </row>
    <row r="2868" spans="4:5">
      <c r="D2868" s="519"/>
      <c r="E2868" s="519"/>
    </row>
    <row r="2869" spans="4:5">
      <c r="D2869" s="519"/>
      <c r="E2869" s="519"/>
    </row>
    <row r="2870" spans="4:5">
      <c r="D2870" s="519"/>
      <c r="E2870" s="519"/>
    </row>
    <row r="2871" spans="4:5">
      <c r="D2871" s="519"/>
      <c r="E2871" s="519"/>
    </row>
    <row r="2872" spans="4:5">
      <c r="D2872" s="519"/>
      <c r="E2872" s="519"/>
    </row>
    <row r="2873" spans="4:5">
      <c r="D2873" s="519"/>
      <c r="E2873" s="519"/>
    </row>
    <row r="2874" spans="4:5">
      <c r="D2874" s="519"/>
      <c r="E2874" s="519"/>
    </row>
    <row r="2875" spans="4:5">
      <c r="D2875" s="519"/>
      <c r="E2875" s="519"/>
    </row>
    <row r="2876" spans="4:5">
      <c r="D2876" s="519"/>
      <c r="E2876" s="519"/>
    </row>
    <row r="2877" spans="4:5">
      <c r="D2877" s="519"/>
      <c r="E2877" s="519"/>
    </row>
    <row r="2878" spans="4:5">
      <c r="D2878" s="519"/>
      <c r="E2878" s="519"/>
    </row>
    <row r="2879" spans="4:5">
      <c r="D2879" s="519"/>
      <c r="E2879" s="519"/>
    </row>
    <row r="2880" spans="4:5">
      <c r="D2880" s="519"/>
      <c r="E2880" s="519"/>
    </row>
    <row r="2881" spans="4:5">
      <c r="D2881" s="519"/>
      <c r="E2881" s="519"/>
    </row>
    <row r="2882" spans="4:5">
      <c r="D2882" s="519"/>
      <c r="E2882" s="519"/>
    </row>
    <row r="2883" spans="4:5">
      <c r="D2883" s="519"/>
      <c r="E2883" s="519"/>
    </row>
    <row r="2884" spans="4:5">
      <c r="D2884" s="519"/>
      <c r="E2884" s="519"/>
    </row>
    <row r="2885" spans="4:5">
      <c r="D2885" s="519"/>
      <c r="E2885" s="519"/>
    </row>
    <row r="2886" spans="4:5">
      <c r="D2886" s="519"/>
      <c r="E2886" s="519"/>
    </row>
    <row r="2887" spans="4:5">
      <c r="D2887" s="519"/>
      <c r="E2887" s="519"/>
    </row>
    <row r="2888" spans="4:5">
      <c r="D2888" s="519"/>
      <c r="E2888" s="519"/>
    </row>
    <row r="2889" spans="4:5">
      <c r="D2889" s="519"/>
      <c r="E2889" s="519"/>
    </row>
    <row r="2890" spans="4:5">
      <c r="D2890" s="519"/>
      <c r="E2890" s="519"/>
    </row>
    <row r="2891" spans="4:5">
      <c r="D2891" s="519"/>
      <c r="E2891" s="519"/>
    </row>
    <row r="2892" spans="4:5">
      <c r="D2892" s="519"/>
      <c r="E2892" s="519"/>
    </row>
    <row r="2893" spans="4:5">
      <c r="D2893" s="519"/>
      <c r="E2893" s="519"/>
    </row>
    <row r="2894" spans="4:5">
      <c r="D2894" s="519"/>
      <c r="E2894" s="519"/>
    </row>
    <row r="2895" spans="4:5">
      <c r="D2895" s="519"/>
      <c r="E2895" s="519"/>
    </row>
    <row r="2896" spans="4:5">
      <c r="D2896" s="519"/>
      <c r="E2896" s="519"/>
    </row>
    <row r="2897" spans="4:5">
      <c r="D2897" s="519"/>
      <c r="E2897" s="519"/>
    </row>
    <row r="2898" spans="4:5">
      <c r="D2898" s="519"/>
      <c r="E2898" s="519"/>
    </row>
    <row r="2899" spans="4:5">
      <c r="D2899" s="519"/>
      <c r="E2899" s="519"/>
    </row>
    <row r="2900" spans="4:5">
      <c r="D2900" s="519"/>
      <c r="E2900" s="519"/>
    </row>
    <row r="2901" spans="4:5">
      <c r="D2901" s="519"/>
      <c r="E2901" s="519"/>
    </row>
    <row r="2902" spans="4:5">
      <c r="D2902" s="519"/>
      <c r="E2902" s="519"/>
    </row>
    <row r="2903" spans="4:5">
      <c r="D2903" s="519"/>
      <c r="E2903" s="519"/>
    </row>
    <row r="2904" spans="4:5">
      <c r="D2904" s="519"/>
      <c r="E2904" s="519"/>
    </row>
    <row r="2905" spans="4:5">
      <c r="D2905" s="519"/>
      <c r="E2905" s="519"/>
    </row>
    <row r="2906" spans="4:5">
      <c r="D2906" s="519"/>
      <c r="E2906" s="519"/>
    </row>
    <row r="2907" spans="4:5">
      <c r="D2907" s="519"/>
      <c r="E2907" s="519"/>
    </row>
    <row r="2908" spans="4:5">
      <c r="D2908" s="519"/>
      <c r="E2908" s="519"/>
    </row>
    <row r="2909" spans="4:5">
      <c r="D2909" s="519"/>
      <c r="E2909" s="519"/>
    </row>
    <row r="2910" spans="4:5">
      <c r="D2910" s="519"/>
      <c r="E2910" s="519"/>
    </row>
    <row r="2911" spans="4:5">
      <c r="D2911" s="519"/>
      <c r="E2911" s="519"/>
    </row>
    <row r="2912" spans="4:5">
      <c r="D2912" s="519"/>
      <c r="E2912" s="519"/>
    </row>
    <row r="2913" spans="4:5">
      <c r="D2913" s="519"/>
      <c r="E2913" s="519"/>
    </row>
    <row r="2914" spans="4:5">
      <c r="D2914" s="519"/>
      <c r="E2914" s="519"/>
    </row>
    <row r="2915" spans="4:5">
      <c r="D2915" s="519"/>
      <c r="E2915" s="519"/>
    </row>
    <row r="2916" spans="4:5">
      <c r="D2916" s="519"/>
      <c r="E2916" s="519"/>
    </row>
    <row r="2917" spans="4:5">
      <c r="D2917" s="519"/>
      <c r="E2917" s="519"/>
    </row>
    <row r="2918" spans="4:5">
      <c r="D2918" s="519"/>
      <c r="E2918" s="519"/>
    </row>
    <row r="2919" spans="4:5">
      <c r="D2919" s="519"/>
      <c r="E2919" s="519"/>
    </row>
    <row r="2920" spans="4:5">
      <c r="D2920" s="519"/>
      <c r="E2920" s="519"/>
    </row>
    <row r="2921" spans="4:5">
      <c r="D2921" s="519"/>
      <c r="E2921" s="519"/>
    </row>
    <row r="2922" spans="4:5">
      <c r="D2922" s="519"/>
      <c r="E2922" s="519"/>
    </row>
    <row r="2923" spans="4:5">
      <c r="D2923" s="519"/>
      <c r="E2923" s="519"/>
    </row>
    <row r="2924" spans="4:5">
      <c r="D2924" s="519"/>
      <c r="E2924" s="519"/>
    </row>
    <row r="2925" spans="4:5">
      <c r="D2925" s="519"/>
      <c r="E2925" s="519"/>
    </row>
    <row r="2926" spans="4:5">
      <c r="D2926" s="519"/>
      <c r="E2926" s="519"/>
    </row>
    <row r="2927" spans="4:5">
      <c r="D2927" s="519"/>
      <c r="E2927" s="519"/>
    </row>
    <row r="2928" spans="4:5">
      <c r="D2928" s="519"/>
      <c r="E2928" s="519"/>
    </row>
    <row r="2929" spans="4:5">
      <c r="D2929" s="519"/>
      <c r="E2929" s="519"/>
    </row>
    <row r="2930" spans="4:5">
      <c r="D2930" s="519"/>
      <c r="E2930" s="519"/>
    </row>
    <row r="2931" spans="4:5">
      <c r="D2931" s="519"/>
      <c r="E2931" s="519"/>
    </row>
    <row r="2932" spans="4:5">
      <c r="D2932" s="519"/>
      <c r="E2932" s="519"/>
    </row>
    <row r="2933" spans="4:5">
      <c r="D2933" s="519"/>
      <c r="E2933" s="519"/>
    </row>
    <row r="2934" spans="4:5">
      <c r="D2934" s="519"/>
      <c r="E2934" s="519"/>
    </row>
    <row r="2935" spans="4:5">
      <c r="D2935" s="519"/>
      <c r="E2935" s="519"/>
    </row>
    <row r="2936" spans="4:5">
      <c r="D2936" s="519"/>
      <c r="E2936" s="519"/>
    </row>
    <row r="2937" spans="4:5">
      <c r="D2937" s="519"/>
      <c r="E2937" s="519"/>
    </row>
    <row r="2938" spans="4:5">
      <c r="D2938" s="519"/>
      <c r="E2938" s="519"/>
    </row>
    <row r="2939" spans="4:5">
      <c r="D2939" s="519"/>
      <c r="E2939" s="519"/>
    </row>
    <row r="2940" spans="4:5">
      <c r="D2940" s="519"/>
      <c r="E2940" s="519"/>
    </row>
    <row r="2941" spans="4:5">
      <c r="D2941" s="519"/>
      <c r="E2941" s="519"/>
    </row>
    <row r="2942" spans="4:5">
      <c r="D2942" s="519"/>
      <c r="E2942" s="519"/>
    </row>
    <row r="2943" spans="4:5">
      <c r="D2943" s="519"/>
      <c r="E2943" s="519"/>
    </row>
    <row r="2944" spans="4:5">
      <c r="D2944" s="519"/>
      <c r="E2944" s="519"/>
    </row>
    <row r="2945" spans="4:5">
      <c r="D2945" s="519"/>
      <c r="E2945" s="519"/>
    </row>
    <row r="2946" spans="4:5">
      <c r="D2946" s="519"/>
      <c r="E2946" s="519"/>
    </row>
    <row r="2947" spans="4:5">
      <c r="D2947" s="519"/>
      <c r="E2947" s="519"/>
    </row>
    <row r="2948" spans="4:5">
      <c r="D2948" s="519"/>
      <c r="E2948" s="519"/>
    </row>
    <row r="2949" spans="4:5">
      <c r="D2949" s="519"/>
      <c r="E2949" s="519"/>
    </row>
    <row r="2950" spans="4:5">
      <c r="D2950" s="519"/>
      <c r="E2950" s="519"/>
    </row>
    <row r="2951" spans="4:5">
      <c r="D2951" s="519"/>
      <c r="E2951" s="519"/>
    </row>
    <row r="2952" spans="4:5">
      <c r="D2952" s="519"/>
      <c r="E2952" s="519"/>
    </row>
    <row r="2953" spans="4:5">
      <c r="D2953" s="519"/>
      <c r="E2953" s="519"/>
    </row>
    <row r="2954" spans="4:5">
      <c r="D2954" s="519"/>
      <c r="E2954" s="519"/>
    </row>
    <row r="2955" spans="4:5">
      <c r="D2955" s="519"/>
      <c r="E2955" s="519"/>
    </row>
    <row r="2956" spans="4:5">
      <c r="D2956" s="519"/>
      <c r="E2956" s="519"/>
    </row>
    <row r="2957" spans="4:5">
      <c r="D2957" s="519"/>
      <c r="E2957" s="519"/>
    </row>
    <row r="2958" spans="4:5">
      <c r="D2958" s="519"/>
      <c r="E2958" s="519"/>
    </row>
    <row r="2959" spans="4:5">
      <c r="D2959" s="519"/>
      <c r="E2959" s="519"/>
    </row>
    <row r="2960" spans="4:5">
      <c r="D2960" s="519"/>
      <c r="E2960" s="519"/>
    </row>
    <row r="2961" spans="4:5">
      <c r="D2961" s="519"/>
      <c r="E2961" s="519"/>
    </row>
    <row r="2962" spans="4:5">
      <c r="D2962" s="519"/>
      <c r="E2962" s="519"/>
    </row>
    <row r="2963" spans="4:5">
      <c r="D2963" s="519"/>
      <c r="E2963" s="519"/>
    </row>
    <row r="2964" spans="4:5">
      <c r="D2964" s="519"/>
      <c r="E2964" s="519"/>
    </row>
    <row r="2965" spans="4:5">
      <c r="D2965" s="519"/>
      <c r="E2965" s="519"/>
    </row>
    <row r="2966" spans="4:5">
      <c r="D2966" s="519"/>
      <c r="E2966" s="519"/>
    </row>
    <row r="2967" spans="4:5">
      <c r="D2967" s="519"/>
      <c r="E2967" s="519"/>
    </row>
    <row r="2968" spans="4:5">
      <c r="D2968" s="519"/>
      <c r="E2968" s="519"/>
    </row>
    <row r="2969" spans="4:5">
      <c r="D2969" s="519"/>
      <c r="E2969" s="519"/>
    </row>
    <row r="2970" spans="4:5">
      <c r="D2970" s="519"/>
      <c r="E2970" s="519"/>
    </row>
    <row r="2971" spans="4:5">
      <c r="D2971" s="519"/>
      <c r="E2971" s="519"/>
    </row>
    <row r="2972" spans="4:5">
      <c r="D2972" s="519"/>
      <c r="E2972" s="519"/>
    </row>
    <row r="2973" spans="4:5">
      <c r="D2973" s="519"/>
      <c r="E2973" s="519"/>
    </row>
    <row r="2974" spans="4:5">
      <c r="D2974" s="519"/>
      <c r="E2974" s="519"/>
    </row>
    <row r="2975" spans="4:5">
      <c r="D2975" s="519"/>
      <c r="E2975" s="519"/>
    </row>
    <row r="2976" spans="4:5">
      <c r="D2976" s="519"/>
      <c r="E2976" s="519"/>
    </row>
    <row r="2977" spans="4:5">
      <c r="D2977" s="519"/>
      <c r="E2977" s="519"/>
    </row>
    <row r="2978" spans="4:5">
      <c r="D2978" s="519"/>
      <c r="E2978" s="519"/>
    </row>
    <row r="2979" spans="4:5">
      <c r="D2979" s="519"/>
      <c r="E2979" s="519"/>
    </row>
    <row r="2980" spans="4:5">
      <c r="D2980" s="519"/>
      <c r="E2980" s="519"/>
    </row>
    <row r="2981" spans="4:5">
      <c r="D2981" s="519"/>
      <c r="E2981" s="519"/>
    </row>
    <row r="2982" spans="4:5">
      <c r="D2982" s="519"/>
      <c r="E2982" s="519"/>
    </row>
    <row r="2983" spans="4:5">
      <c r="D2983" s="519"/>
      <c r="E2983" s="519"/>
    </row>
    <row r="2984" spans="4:5">
      <c r="D2984" s="519"/>
      <c r="E2984" s="519"/>
    </row>
    <row r="2985" spans="4:5">
      <c r="D2985" s="519"/>
      <c r="E2985" s="519"/>
    </row>
    <row r="2986" spans="4:5">
      <c r="D2986" s="519"/>
      <c r="E2986" s="519"/>
    </row>
    <row r="2987" spans="4:5">
      <c r="D2987" s="519"/>
      <c r="E2987" s="519"/>
    </row>
    <row r="2988" spans="4:5">
      <c r="D2988" s="519"/>
      <c r="E2988" s="519"/>
    </row>
    <row r="2989" spans="4:5">
      <c r="D2989" s="519"/>
      <c r="E2989" s="519"/>
    </row>
    <row r="2990" spans="4:5">
      <c r="D2990" s="519"/>
      <c r="E2990" s="519"/>
    </row>
    <row r="2991" spans="4:5">
      <c r="D2991" s="519"/>
      <c r="E2991" s="519"/>
    </row>
    <row r="2992" spans="4:5">
      <c r="D2992" s="519"/>
      <c r="E2992" s="519"/>
    </row>
    <row r="2993" spans="4:5">
      <c r="D2993" s="519"/>
      <c r="E2993" s="519"/>
    </row>
    <row r="2994" spans="4:5">
      <c r="D2994" s="519"/>
      <c r="E2994" s="519"/>
    </row>
    <row r="2995" spans="4:5">
      <c r="D2995" s="519"/>
      <c r="E2995" s="519"/>
    </row>
    <row r="2996" spans="4:5">
      <c r="D2996" s="519"/>
      <c r="E2996" s="519"/>
    </row>
    <row r="2997" spans="4:5">
      <c r="D2997" s="519"/>
      <c r="E2997" s="519"/>
    </row>
    <row r="2998" spans="4:5">
      <c r="D2998" s="519"/>
      <c r="E2998" s="519"/>
    </row>
    <row r="2999" spans="4:5">
      <c r="D2999" s="519"/>
      <c r="E2999" s="519"/>
    </row>
    <row r="3000" spans="4:5">
      <c r="D3000" s="519"/>
      <c r="E3000" s="519"/>
    </row>
    <row r="3001" spans="4:5">
      <c r="D3001" s="519"/>
      <c r="E3001" s="519"/>
    </row>
    <row r="3002" spans="4:5">
      <c r="D3002" s="519"/>
      <c r="E3002" s="519"/>
    </row>
    <row r="3003" spans="4:5">
      <c r="D3003" s="519"/>
      <c r="E3003" s="519"/>
    </row>
    <row r="3004" spans="4:5">
      <c r="D3004" s="519"/>
      <c r="E3004" s="519"/>
    </row>
    <row r="3005" spans="4:5">
      <c r="D3005" s="519"/>
      <c r="E3005" s="519"/>
    </row>
    <row r="3006" spans="4:5">
      <c r="D3006" s="519"/>
      <c r="E3006" s="519"/>
    </row>
    <row r="3007" spans="4:5">
      <c r="D3007" s="519"/>
      <c r="E3007" s="519"/>
    </row>
    <row r="3008" spans="4:5">
      <c r="D3008" s="519"/>
      <c r="E3008" s="519"/>
    </row>
    <row r="3009" spans="4:5">
      <c r="D3009" s="519"/>
      <c r="E3009" s="519"/>
    </row>
    <row r="3010" spans="4:5">
      <c r="D3010" s="519"/>
      <c r="E3010" s="519"/>
    </row>
    <row r="3011" spans="4:5">
      <c r="D3011" s="519"/>
      <c r="E3011" s="519"/>
    </row>
    <row r="3012" spans="4:5">
      <c r="D3012" s="519"/>
      <c r="E3012" s="519"/>
    </row>
    <row r="3013" spans="4:5">
      <c r="D3013" s="519"/>
      <c r="E3013" s="519"/>
    </row>
    <row r="3014" spans="4:5">
      <c r="D3014" s="519"/>
      <c r="E3014" s="519"/>
    </row>
    <row r="3015" spans="4:5">
      <c r="D3015" s="519"/>
      <c r="E3015" s="519"/>
    </row>
    <row r="3016" spans="4:5">
      <c r="D3016" s="519"/>
      <c r="E3016" s="519"/>
    </row>
    <row r="3017" spans="4:5">
      <c r="D3017" s="519"/>
      <c r="E3017" s="519"/>
    </row>
    <row r="3018" spans="4:5">
      <c r="D3018" s="519"/>
      <c r="E3018" s="519"/>
    </row>
    <row r="3019" spans="4:5">
      <c r="D3019" s="519"/>
      <c r="E3019" s="519"/>
    </row>
    <row r="3020" spans="4:5">
      <c r="D3020" s="519"/>
      <c r="E3020" s="519"/>
    </row>
    <row r="3021" spans="4:5">
      <c r="D3021" s="519"/>
      <c r="E3021" s="519"/>
    </row>
    <row r="3022" spans="4:5">
      <c r="D3022" s="519"/>
      <c r="E3022" s="519"/>
    </row>
    <row r="3023" spans="4:5">
      <c r="D3023" s="519"/>
      <c r="E3023" s="519"/>
    </row>
    <row r="3024" spans="4:5">
      <c r="D3024" s="519"/>
      <c r="E3024" s="519"/>
    </row>
    <row r="3025" spans="4:5">
      <c r="D3025" s="519"/>
      <c r="E3025" s="519"/>
    </row>
    <row r="3026" spans="4:5">
      <c r="D3026" s="519"/>
      <c r="E3026" s="519"/>
    </row>
    <row r="3027" spans="4:5">
      <c r="D3027" s="519"/>
      <c r="E3027" s="519"/>
    </row>
    <row r="3028" spans="4:5">
      <c r="D3028" s="519"/>
      <c r="E3028" s="519"/>
    </row>
    <row r="3029" spans="4:5">
      <c r="D3029" s="519"/>
      <c r="E3029" s="519"/>
    </row>
    <row r="3030" spans="4:5">
      <c r="D3030" s="519"/>
      <c r="E3030" s="519"/>
    </row>
    <row r="3031" spans="4:5">
      <c r="D3031" s="519"/>
      <c r="E3031" s="519"/>
    </row>
    <row r="3032" spans="4:5">
      <c r="D3032" s="519"/>
      <c r="E3032" s="519"/>
    </row>
    <row r="3033" spans="4:5">
      <c r="D3033" s="519"/>
      <c r="E3033" s="519"/>
    </row>
    <row r="3034" spans="4:5">
      <c r="D3034" s="519"/>
      <c r="E3034" s="519"/>
    </row>
    <row r="3035" spans="4:5">
      <c r="D3035" s="519"/>
      <c r="E3035" s="519"/>
    </row>
    <row r="3036" spans="4:5">
      <c r="D3036" s="519"/>
      <c r="E3036" s="519"/>
    </row>
    <row r="3037" spans="4:5">
      <c r="D3037" s="519"/>
      <c r="E3037" s="519"/>
    </row>
    <row r="3038" spans="4:5">
      <c r="D3038" s="519"/>
      <c r="E3038" s="519"/>
    </row>
    <row r="3039" spans="4:5">
      <c r="D3039" s="519"/>
      <c r="E3039" s="519"/>
    </row>
    <row r="3040" spans="4:5">
      <c r="D3040" s="519"/>
      <c r="E3040" s="519"/>
    </row>
    <row r="3041" spans="4:5">
      <c r="D3041" s="519"/>
      <c r="E3041" s="519"/>
    </row>
    <row r="3042" spans="4:5">
      <c r="D3042" s="519"/>
      <c r="E3042" s="519"/>
    </row>
    <row r="3043" spans="4:5">
      <c r="D3043" s="519"/>
      <c r="E3043" s="519"/>
    </row>
    <row r="3044" spans="4:5">
      <c r="D3044" s="519"/>
      <c r="E3044" s="519"/>
    </row>
    <row r="3045" spans="4:5">
      <c r="D3045" s="519"/>
      <c r="E3045" s="519"/>
    </row>
    <row r="3046" spans="4:5">
      <c r="D3046" s="519"/>
      <c r="E3046" s="519"/>
    </row>
    <row r="3047" spans="4:5">
      <c r="D3047" s="519"/>
      <c r="E3047" s="519"/>
    </row>
    <row r="3048" spans="4:5">
      <c r="D3048" s="519"/>
      <c r="E3048" s="519"/>
    </row>
    <row r="3049" spans="4:5">
      <c r="D3049" s="519"/>
      <c r="E3049" s="519"/>
    </row>
    <row r="3050" spans="4:5">
      <c r="D3050" s="519"/>
      <c r="E3050" s="519"/>
    </row>
    <row r="3051" spans="4:5">
      <c r="D3051" s="519"/>
      <c r="E3051" s="519"/>
    </row>
    <row r="3052" spans="4:5">
      <c r="D3052" s="519"/>
      <c r="E3052" s="519"/>
    </row>
    <row r="3053" spans="4:5">
      <c r="D3053" s="519"/>
      <c r="E3053" s="519"/>
    </row>
    <row r="3054" spans="4:5">
      <c r="D3054" s="519"/>
      <c r="E3054" s="519"/>
    </row>
    <row r="3055" spans="4:5">
      <c r="D3055" s="519"/>
      <c r="E3055" s="519"/>
    </row>
    <row r="3056" spans="4:5">
      <c r="D3056" s="519"/>
      <c r="E3056" s="519"/>
    </row>
    <row r="3057" spans="4:5">
      <c r="D3057" s="519"/>
      <c r="E3057" s="519"/>
    </row>
    <row r="3058" spans="4:5">
      <c r="D3058" s="519"/>
      <c r="E3058" s="519"/>
    </row>
    <row r="3059" spans="4:5">
      <c r="D3059" s="519"/>
      <c r="E3059" s="519"/>
    </row>
    <row r="3060" spans="4:5">
      <c r="D3060" s="519"/>
      <c r="E3060" s="519"/>
    </row>
    <row r="3061" spans="4:5">
      <c r="D3061" s="519"/>
      <c r="E3061" s="519"/>
    </row>
    <row r="3062" spans="4:5">
      <c r="D3062" s="519"/>
      <c r="E3062" s="519"/>
    </row>
    <row r="3063" spans="4:5">
      <c r="D3063" s="519"/>
      <c r="E3063" s="519"/>
    </row>
    <row r="3064" spans="4:5">
      <c r="D3064" s="519"/>
      <c r="E3064" s="519"/>
    </row>
    <row r="3065" spans="4:5">
      <c r="D3065" s="519"/>
      <c r="E3065" s="519"/>
    </row>
    <row r="3066" spans="4:5">
      <c r="D3066" s="519"/>
      <c r="E3066" s="519"/>
    </row>
    <row r="3067" spans="4:5">
      <c r="D3067" s="519"/>
      <c r="E3067" s="519"/>
    </row>
    <row r="3068" spans="4:5">
      <c r="D3068" s="519"/>
      <c r="E3068" s="519"/>
    </row>
    <row r="3069" spans="4:5">
      <c r="D3069" s="519"/>
      <c r="E3069" s="519"/>
    </row>
    <row r="3070" spans="4:5">
      <c r="D3070" s="519"/>
      <c r="E3070" s="519"/>
    </row>
    <row r="3071" spans="4:5">
      <c r="D3071" s="519"/>
      <c r="E3071" s="519"/>
    </row>
    <row r="3072" spans="4:5">
      <c r="D3072" s="519"/>
      <c r="E3072" s="519"/>
    </row>
    <row r="3073" spans="4:5">
      <c r="D3073" s="519"/>
      <c r="E3073" s="519"/>
    </row>
    <row r="3074" spans="4:5">
      <c r="D3074" s="519"/>
      <c r="E3074" s="519"/>
    </row>
    <row r="3075" spans="4:5">
      <c r="D3075" s="519"/>
      <c r="E3075" s="519"/>
    </row>
    <row r="3076" spans="4:5">
      <c r="D3076" s="519"/>
      <c r="E3076" s="519"/>
    </row>
    <row r="3077" spans="4:5">
      <c r="D3077" s="519"/>
      <c r="E3077" s="519"/>
    </row>
    <row r="3078" spans="4:5">
      <c r="D3078" s="519"/>
      <c r="E3078" s="519"/>
    </row>
    <row r="3079" spans="4:5">
      <c r="D3079" s="519"/>
      <c r="E3079" s="519"/>
    </row>
    <row r="3080" spans="4:5">
      <c r="D3080" s="519"/>
      <c r="E3080" s="519"/>
    </row>
    <row r="3081" spans="4:5">
      <c r="D3081" s="519"/>
      <c r="E3081" s="519"/>
    </row>
    <row r="3082" spans="4:5">
      <c r="D3082" s="519"/>
      <c r="E3082" s="519"/>
    </row>
    <row r="3083" spans="4:5">
      <c r="D3083" s="519"/>
      <c r="E3083" s="519"/>
    </row>
    <row r="3084" spans="4:5">
      <c r="D3084" s="519"/>
      <c r="E3084" s="519"/>
    </row>
    <row r="3085" spans="4:5">
      <c r="D3085" s="519"/>
      <c r="E3085" s="519"/>
    </row>
    <row r="3086" spans="4:5">
      <c r="D3086" s="519"/>
      <c r="E3086" s="519"/>
    </row>
    <row r="3087" spans="4:5">
      <c r="D3087" s="519"/>
      <c r="E3087" s="519"/>
    </row>
    <row r="3088" spans="4:5">
      <c r="D3088" s="519"/>
      <c r="E3088" s="519"/>
    </row>
    <row r="3089" spans="4:5">
      <c r="D3089" s="519"/>
      <c r="E3089" s="519"/>
    </row>
    <row r="3090" spans="4:5">
      <c r="D3090" s="519"/>
      <c r="E3090" s="519"/>
    </row>
    <row r="3091" spans="4:5">
      <c r="D3091" s="519"/>
      <c r="E3091" s="519"/>
    </row>
    <row r="3092" spans="4:5">
      <c r="D3092" s="519"/>
      <c r="E3092" s="519"/>
    </row>
    <row r="3093" spans="4:5">
      <c r="D3093" s="519"/>
      <c r="E3093" s="519"/>
    </row>
    <row r="3094" spans="4:5">
      <c r="D3094" s="519"/>
      <c r="E3094" s="519"/>
    </row>
    <row r="3095" spans="4:5">
      <c r="D3095" s="519"/>
      <c r="E3095" s="519"/>
    </row>
    <row r="3096" spans="4:5">
      <c r="D3096" s="519"/>
      <c r="E3096" s="519"/>
    </row>
    <row r="3097" spans="4:5">
      <c r="D3097" s="519"/>
      <c r="E3097" s="519"/>
    </row>
    <row r="3098" spans="4:5">
      <c r="D3098" s="519"/>
      <c r="E3098" s="519"/>
    </row>
    <row r="3099" spans="4:5">
      <c r="D3099" s="519"/>
      <c r="E3099" s="519"/>
    </row>
    <row r="3100" spans="4:5">
      <c r="D3100" s="519"/>
      <c r="E3100" s="519"/>
    </row>
    <row r="3101" spans="4:5">
      <c r="D3101" s="519"/>
      <c r="E3101" s="519"/>
    </row>
    <row r="3102" spans="4:5">
      <c r="D3102" s="519"/>
      <c r="E3102" s="519"/>
    </row>
    <row r="3103" spans="4:5">
      <c r="D3103" s="519"/>
      <c r="E3103" s="519"/>
    </row>
    <row r="3104" spans="4:5">
      <c r="D3104" s="519"/>
      <c r="E3104" s="519"/>
    </row>
    <row r="3105" spans="4:5">
      <c r="D3105" s="519"/>
      <c r="E3105" s="519"/>
    </row>
    <row r="3106" spans="4:5">
      <c r="D3106" s="519"/>
      <c r="E3106" s="519"/>
    </row>
    <row r="3107" spans="4:5">
      <c r="D3107" s="519"/>
      <c r="E3107" s="519"/>
    </row>
    <row r="3108" spans="4:5">
      <c r="D3108" s="519"/>
      <c r="E3108" s="519"/>
    </row>
    <row r="3109" spans="4:5">
      <c r="D3109" s="519"/>
      <c r="E3109" s="519"/>
    </row>
    <row r="3110" spans="4:5">
      <c r="D3110" s="519"/>
      <c r="E3110" s="519"/>
    </row>
    <row r="3111" spans="4:5">
      <c r="D3111" s="519"/>
      <c r="E3111" s="519"/>
    </row>
    <row r="3112" spans="4:5">
      <c r="D3112" s="519"/>
      <c r="E3112" s="519"/>
    </row>
    <row r="3113" spans="4:5">
      <c r="D3113" s="519"/>
      <c r="E3113" s="519"/>
    </row>
    <row r="3114" spans="4:5">
      <c r="D3114" s="519"/>
      <c r="E3114" s="519"/>
    </row>
    <row r="3115" spans="4:5">
      <c r="D3115" s="519"/>
      <c r="E3115" s="519"/>
    </row>
    <row r="3116" spans="4:5">
      <c r="D3116" s="519"/>
      <c r="E3116" s="519"/>
    </row>
    <row r="3117" spans="4:5">
      <c r="D3117" s="519"/>
      <c r="E3117" s="519"/>
    </row>
    <row r="3118" spans="4:5">
      <c r="D3118" s="519"/>
      <c r="E3118" s="519"/>
    </row>
    <row r="3119" spans="4:5">
      <c r="D3119" s="519"/>
      <c r="E3119" s="519"/>
    </row>
    <row r="3120" spans="4:5">
      <c r="D3120" s="519"/>
      <c r="E3120" s="519"/>
    </row>
    <row r="3121" spans="4:5">
      <c r="D3121" s="519"/>
      <c r="E3121" s="519"/>
    </row>
    <row r="3122" spans="4:5">
      <c r="D3122" s="519"/>
      <c r="E3122" s="519"/>
    </row>
    <row r="3123" spans="4:5">
      <c r="D3123" s="519"/>
      <c r="E3123" s="519"/>
    </row>
    <row r="3124" spans="4:5">
      <c r="D3124" s="519"/>
      <c r="E3124" s="519"/>
    </row>
    <row r="3125" spans="4:5">
      <c r="D3125" s="519"/>
      <c r="E3125" s="519"/>
    </row>
    <row r="3126" spans="4:5">
      <c r="D3126" s="519"/>
      <c r="E3126" s="519"/>
    </row>
    <row r="3127" spans="4:5">
      <c r="D3127" s="519"/>
      <c r="E3127" s="519"/>
    </row>
    <row r="3128" spans="4:5">
      <c r="D3128" s="519"/>
      <c r="E3128" s="519"/>
    </row>
    <row r="3129" spans="4:5">
      <c r="D3129" s="519"/>
      <c r="E3129" s="519"/>
    </row>
    <row r="3130" spans="4:5">
      <c r="D3130" s="519"/>
      <c r="E3130" s="519"/>
    </row>
    <row r="3131" spans="4:5">
      <c r="D3131" s="519"/>
      <c r="E3131" s="519"/>
    </row>
    <row r="3132" spans="4:5">
      <c r="D3132" s="519"/>
      <c r="E3132" s="519"/>
    </row>
    <row r="3133" spans="4:5">
      <c r="D3133" s="519"/>
      <c r="E3133" s="519"/>
    </row>
    <row r="3134" spans="4:5">
      <c r="D3134" s="519"/>
      <c r="E3134" s="519"/>
    </row>
    <row r="3135" spans="4:5">
      <c r="D3135" s="519"/>
      <c r="E3135" s="519"/>
    </row>
    <row r="3136" spans="4:5">
      <c r="D3136" s="519"/>
      <c r="E3136" s="519"/>
    </row>
    <row r="3137" spans="4:5">
      <c r="D3137" s="519"/>
      <c r="E3137" s="519"/>
    </row>
    <row r="3138" spans="4:5">
      <c r="D3138" s="519"/>
      <c r="E3138" s="519"/>
    </row>
    <row r="3139" spans="4:5">
      <c r="D3139" s="519"/>
      <c r="E3139" s="519"/>
    </row>
    <row r="3140" spans="4:5">
      <c r="D3140" s="519"/>
      <c r="E3140" s="519"/>
    </row>
    <row r="3141" spans="4:5">
      <c r="D3141" s="519"/>
      <c r="E3141" s="519"/>
    </row>
    <row r="3142" spans="4:5">
      <c r="D3142" s="519"/>
      <c r="E3142" s="519"/>
    </row>
    <row r="3143" spans="4:5">
      <c r="D3143" s="519"/>
      <c r="E3143" s="519"/>
    </row>
    <row r="3144" spans="4:5">
      <c r="D3144" s="519"/>
      <c r="E3144" s="519"/>
    </row>
    <row r="3145" spans="4:5">
      <c r="D3145" s="519"/>
      <c r="E3145" s="519"/>
    </row>
    <row r="3146" spans="4:5">
      <c r="D3146" s="519"/>
      <c r="E3146" s="519"/>
    </row>
    <row r="3147" spans="4:5">
      <c r="D3147" s="519"/>
      <c r="E3147" s="519"/>
    </row>
    <row r="3148" spans="4:5">
      <c r="D3148" s="519"/>
      <c r="E3148" s="519"/>
    </row>
    <row r="3149" spans="4:5">
      <c r="D3149" s="519"/>
      <c r="E3149" s="519"/>
    </row>
    <row r="3150" spans="4:5">
      <c r="D3150" s="519"/>
      <c r="E3150" s="519"/>
    </row>
    <row r="3151" spans="4:5">
      <c r="D3151" s="519"/>
      <c r="E3151" s="519"/>
    </row>
    <row r="3152" spans="4:5">
      <c r="D3152" s="519"/>
      <c r="E3152" s="519"/>
    </row>
    <row r="3153" spans="4:5">
      <c r="D3153" s="519"/>
      <c r="E3153" s="519"/>
    </row>
    <row r="3154" spans="4:5">
      <c r="D3154" s="519"/>
      <c r="E3154" s="519"/>
    </row>
    <row r="3155" spans="4:5">
      <c r="D3155" s="519"/>
      <c r="E3155" s="519"/>
    </row>
    <row r="3156" spans="4:5">
      <c r="D3156" s="519"/>
      <c r="E3156" s="519"/>
    </row>
    <row r="3157" spans="4:5">
      <c r="D3157" s="519"/>
      <c r="E3157" s="519"/>
    </row>
    <row r="3158" spans="4:5">
      <c r="D3158" s="519"/>
      <c r="E3158" s="519"/>
    </row>
    <row r="3159" spans="4:5">
      <c r="D3159" s="519"/>
      <c r="E3159" s="519"/>
    </row>
    <row r="3160" spans="4:5">
      <c r="D3160" s="519"/>
      <c r="E3160" s="519"/>
    </row>
    <row r="3161" spans="4:5">
      <c r="D3161" s="519"/>
      <c r="E3161" s="519"/>
    </row>
    <row r="3162" spans="4:5">
      <c r="D3162" s="519"/>
      <c r="E3162" s="519"/>
    </row>
    <row r="3163" spans="4:5">
      <c r="D3163" s="519"/>
      <c r="E3163" s="519"/>
    </row>
    <row r="3164" spans="4:5">
      <c r="D3164" s="519"/>
      <c r="E3164" s="519"/>
    </row>
    <row r="3165" spans="4:5">
      <c r="D3165" s="519"/>
      <c r="E3165" s="519"/>
    </row>
    <row r="3166" spans="4:5">
      <c r="D3166" s="519"/>
      <c r="E3166" s="519"/>
    </row>
    <row r="3167" spans="4:5">
      <c r="D3167" s="519"/>
      <c r="E3167" s="519"/>
    </row>
    <row r="3168" spans="4:5">
      <c r="D3168" s="519"/>
      <c r="E3168" s="519"/>
    </row>
    <row r="3169" spans="4:5">
      <c r="D3169" s="519"/>
      <c r="E3169" s="519"/>
    </row>
    <row r="3170" spans="4:5">
      <c r="D3170" s="519"/>
      <c r="E3170" s="519"/>
    </row>
    <row r="3171" spans="4:5">
      <c r="D3171" s="519"/>
      <c r="E3171" s="519"/>
    </row>
    <row r="3172" spans="4:5">
      <c r="D3172" s="519"/>
      <c r="E3172" s="519"/>
    </row>
    <row r="3173" spans="4:5">
      <c r="D3173" s="519"/>
      <c r="E3173" s="519"/>
    </row>
    <row r="3174" spans="4:5">
      <c r="D3174" s="519"/>
      <c r="E3174" s="519"/>
    </row>
    <row r="3175" spans="4:5">
      <c r="D3175" s="519"/>
      <c r="E3175" s="519"/>
    </row>
    <row r="3176" spans="4:5">
      <c r="D3176" s="519"/>
      <c r="E3176" s="519"/>
    </row>
    <row r="3177" spans="4:5">
      <c r="D3177" s="519"/>
      <c r="E3177" s="519"/>
    </row>
    <row r="3178" spans="4:5">
      <c r="D3178" s="519"/>
      <c r="E3178" s="519"/>
    </row>
    <row r="3179" spans="4:5">
      <c r="D3179" s="519"/>
      <c r="E3179" s="519"/>
    </row>
    <row r="3180" spans="4:5">
      <c r="D3180" s="519"/>
      <c r="E3180" s="519"/>
    </row>
    <row r="3181" spans="4:5">
      <c r="D3181" s="519"/>
      <c r="E3181" s="519"/>
    </row>
    <row r="3182" spans="4:5">
      <c r="D3182" s="519"/>
      <c r="E3182" s="519"/>
    </row>
    <row r="3183" spans="4:5">
      <c r="D3183" s="519"/>
      <c r="E3183" s="519"/>
    </row>
    <row r="3184" spans="4:5">
      <c r="D3184" s="519"/>
      <c r="E3184" s="519"/>
    </row>
    <row r="3185" spans="4:5">
      <c r="D3185" s="519"/>
      <c r="E3185" s="519"/>
    </row>
    <row r="3186" spans="4:5">
      <c r="D3186" s="519"/>
      <c r="E3186" s="519"/>
    </row>
    <row r="3187" spans="4:5">
      <c r="D3187" s="519"/>
      <c r="E3187" s="519"/>
    </row>
    <row r="3188" spans="4:5">
      <c r="D3188" s="519"/>
      <c r="E3188" s="519"/>
    </row>
    <row r="3189" spans="4:5">
      <c r="D3189" s="519"/>
      <c r="E3189" s="519"/>
    </row>
    <row r="3190" spans="4:5">
      <c r="D3190" s="519"/>
      <c r="E3190" s="519"/>
    </row>
    <row r="3191" spans="4:5">
      <c r="D3191" s="519"/>
      <c r="E3191" s="519"/>
    </row>
    <row r="3192" spans="4:5">
      <c r="D3192" s="519"/>
      <c r="E3192" s="519"/>
    </row>
    <row r="3193" spans="4:5">
      <c r="D3193" s="519"/>
      <c r="E3193" s="519"/>
    </row>
    <row r="3194" spans="4:5">
      <c r="D3194" s="519"/>
      <c r="E3194" s="519"/>
    </row>
    <row r="3195" spans="4:5">
      <c r="D3195" s="519"/>
      <c r="E3195" s="519"/>
    </row>
    <row r="3196" spans="4:5">
      <c r="D3196" s="519"/>
      <c r="E3196" s="519"/>
    </row>
    <row r="3197" spans="4:5">
      <c r="D3197" s="519"/>
      <c r="E3197" s="519"/>
    </row>
    <row r="3198" spans="4:5">
      <c r="D3198" s="519"/>
      <c r="E3198" s="519"/>
    </row>
    <row r="3199" spans="4:5">
      <c r="D3199" s="519"/>
      <c r="E3199" s="519"/>
    </row>
    <row r="3200" spans="4:5">
      <c r="D3200" s="519"/>
      <c r="E3200" s="519"/>
    </row>
    <row r="3201" spans="4:5">
      <c r="D3201" s="519"/>
      <c r="E3201" s="519"/>
    </row>
    <row r="3202" spans="4:5">
      <c r="D3202" s="519"/>
      <c r="E3202" s="519"/>
    </row>
    <row r="3203" spans="4:5">
      <c r="D3203" s="519"/>
      <c r="E3203" s="519"/>
    </row>
    <row r="3204" spans="4:5">
      <c r="D3204" s="519"/>
      <c r="E3204" s="519"/>
    </row>
    <row r="3205" spans="4:5">
      <c r="D3205" s="519"/>
      <c r="E3205" s="519"/>
    </row>
    <row r="3206" spans="4:5">
      <c r="D3206" s="519"/>
      <c r="E3206" s="519"/>
    </row>
    <row r="3207" spans="4:5">
      <c r="D3207" s="519"/>
      <c r="E3207" s="519"/>
    </row>
    <row r="3208" spans="4:5">
      <c r="D3208" s="519"/>
      <c r="E3208" s="519"/>
    </row>
    <row r="3209" spans="4:5">
      <c r="D3209" s="519"/>
      <c r="E3209" s="519"/>
    </row>
    <row r="3210" spans="4:5">
      <c r="D3210" s="519"/>
      <c r="E3210" s="519"/>
    </row>
    <row r="3211" spans="4:5">
      <c r="D3211" s="519"/>
      <c r="E3211" s="519"/>
    </row>
    <row r="3212" spans="4:5">
      <c r="D3212" s="519"/>
      <c r="E3212" s="519"/>
    </row>
    <row r="3213" spans="4:5">
      <c r="D3213" s="519"/>
      <c r="E3213" s="519"/>
    </row>
    <row r="3214" spans="4:5">
      <c r="D3214" s="519"/>
      <c r="E3214" s="519"/>
    </row>
    <row r="3215" spans="4:5">
      <c r="D3215" s="519"/>
      <c r="E3215" s="519"/>
    </row>
    <row r="3216" spans="4:5">
      <c r="D3216" s="519"/>
      <c r="E3216" s="519"/>
    </row>
    <row r="3217" spans="4:5">
      <c r="D3217" s="519"/>
      <c r="E3217" s="519"/>
    </row>
    <row r="3218" spans="4:5">
      <c r="D3218" s="519"/>
      <c r="E3218" s="519"/>
    </row>
    <row r="3219" spans="4:5">
      <c r="D3219" s="519"/>
      <c r="E3219" s="519"/>
    </row>
    <row r="3220" spans="4:5">
      <c r="D3220" s="519"/>
      <c r="E3220" s="519"/>
    </row>
    <row r="3221" spans="4:5">
      <c r="D3221" s="519"/>
      <c r="E3221" s="519"/>
    </row>
    <row r="3222" spans="4:5">
      <c r="D3222" s="519"/>
      <c r="E3222" s="519"/>
    </row>
    <row r="3223" spans="4:5">
      <c r="D3223" s="519"/>
      <c r="E3223" s="519"/>
    </row>
    <row r="3224" spans="4:5">
      <c r="D3224" s="519"/>
      <c r="E3224" s="519"/>
    </row>
    <row r="3225" spans="4:5">
      <c r="D3225" s="519"/>
      <c r="E3225" s="519"/>
    </row>
    <row r="3226" spans="4:5">
      <c r="D3226" s="519"/>
      <c r="E3226" s="519"/>
    </row>
    <row r="3227" spans="4:5">
      <c r="D3227" s="519"/>
      <c r="E3227" s="519"/>
    </row>
    <row r="3228" spans="4:5">
      <c r="D3228" s="519"/>
      <c r="E3228" s="519"/>
    </row>
    <row r="3229" spans="4:5">
      <c r="D3229" s="519"/>
      <c r="E3229" s="519"/>
    </row>
    <row r="3230" spans="4:5">
      <c r="D3230" s="519"/>
      <c r="E3230" s="519"/>
    </row>
    <row r="3231" spans="4:5">
      <c r="D3231" s="519"/>
      <c r="E3231" s="519"/>
    </row>
    <row r="3232" spans="4:5">
      <c r="D3232" s="519"/>
      <c r="E3232" s="519"/>
    </row>
    <row r="3233" spans="4:5">
      <c r="D3233" s="519"/>
      <c r="E3233" s="519"/>
    </row>
    <row r="3234" spans="4:5">
      <c r="D3234" s="519"/>
      <c r="E3234" s="519"/>
    </row>
    <row r="3235" spans="4:5">
      <c r="D3235" s="519"/>
      <c r="E3235" s="519"/>
    </row>
    <row r="3236" spans="4:5">
      <c r="D3236" s="519"/>
      <c r="E3236" s="519"/>
    </row>
    <row r="3237" spans="4:5">
      <c r="D3237" s="519"/>
      <c r="E3237" s="519"/>
    </row>
    <row r="3238" spans="4:5">
      <c r="D3238" s="519"/>
      <c r="E3238" s="519"/>
    </row>
    <row r="3239" spans="4:5">
      <c r="D3239" s="519"/>
      <c r="E3239" s="519"/>
    </row>
    <row r="3240" spans="4:5">
      <c r="D3240" s="519"/>
      <c r="E3240" s="519"/>
    </row>
    <row r="3241" spans="4:5">
      <c r="D3241" s="519"/>
      <c r="E3241" s="519"/>
    </row>
    <row r="3242" spans="4:5">
      <c r="D3242" s="519"/>
      <c r="E3242" s="519"/>
    </row>
    <row r="3243" spans="4:5">
      <c r="D3243" s="519"/>
      <c r="E3243" s="519"/>
    </row>
    <row r="3244" spans="4:5">
      <c r="D3244" s="519"/>
      <c r="E3244" s="519"/>
    </row>
    <row r="3245" spans="4:5">
      <c r="D3245" s="519"/>
      <c r="E3245" s="519"/>
    </row>
    <row r="3246" spans="4:5">
      <c r="D3246" s="519"/>
      <c r="E3246" s="519"/>
    </row>
    <row r="3247" spans="4:5">
      <c r="D3247" s="519"/>
      <c r="E3247" s="519"/>
    </row>
    <row r="3248" spans="4:5">
      <c r="D3248" s="519"/>
      <c r="E3248" s="519"/>
    </row>
    <row r="3249" spans="4:5">
      <c r="D3249" s="519"/>
      <c r="E3249" s="519"/>
    </row>
    <row r="3250" spans="4:5">
      <c r="D3250" s="519"/>
      <c r="E3250" s="519"/>
    </row>
    <row r="3251" spans="4:5">
      <c r="D3251" s="519"/>
      <c r="E3251" s="519"/>
    </row>
    <row r="3252" spans="4:5">
      <c r="D3252" s="519"/>
      <c r="E3252" s="519"/>
    </row>
    <row r="3253" spans="4:5">
      <c r="D3253" s="519"/>
      <c r="E3253" s="519"/>
    </row>
    <row r="3254" spans="4:5">
      <c r="D3254" s="519"/>
      <c r="E3254" s="519"/>
    </row>
    <row r="3255" spans="4:5">
      <c r="D3255" s="519"/>
      <c r="E3255" s="519"/>
    </row>
    <row r="3256" spans="4:5">
      <c r="D3256" s="519"/>
      <c r="E3256" s="519"/>
    </row>
    <row r="3257" spans="4:5">
      <c r="D3257" s="519"/>
      <c r="E3257" s="519"/>
    </row>
    <row r="3258" spans="4:5">
      <c r="D3258" s="519"/>
      <c r="E3258" s="519"/>
    </row>
    <row r="3259" spans="4:5">
      <c r="D3259" s="519"/>
      <c r="E3259" s="519"/>
    </row>
    <row r="3260" spans="4:5">
      <c r="D3260" s="519"/>
      <c r="E3260" s="519"/>
    </row>
    <row r="3261" spans="4:5">
      <c r="D3261" s="519"/>
      <c r="E3261" s="519"/>
    </row>
    <row r="3262" spans="4:5">
      <c r="D3262" s="519"/>
      <c r="E3262" s="519"/>
    </row>
    <row r="3263" spans="4:5">
      <c r="D3263" s="519"/>
      <c r="E3263" s="519"/>
    </row>
    <row r="3264" spans="4:5">
      <c r="D3264" s="519"/>
      <c r="E3264" s="519"/>
    </row>
    <row r="3265" spans="4:5">
      <c r="D3265" s="519"/>
      <c r="E3265" s="519"/>
    </row>
    <row r="3266" spans="4:5">
      <c r="D3266" s="519"/>
      <c r="E3266" s="519"/>
    </row>
    <row r="3267" spans="4:5">
      <c r="D3267" s="519"/>
      <c r="E3267" s="519"/>
    </row>
    <row r="3268" spans="4:5">
      <c r="D3268" s="519"/>
      <c r="E3268" s="519"/>
    </row>
    <row r="3269" spans="4:5">
      <c r="D3269" s="519"/>
      <c r="E3269" s="519"/>
    </row>
    <row r="3270" spans="4:5">
      <c r="D3270" s="519"/>
      <c r="E3270" s="519"/>
    </row>
    <row r="3271" spans="4:5">
      <c r="D3271" s="519"/>
      <c r="E3271" s="519"/>
    </row>
    <row r="3272" spans="4:5">
      <c r="D3272" s="519"/>
      <c r="E3272" s="519"/>
    </row>
    <row r="3273" spans="4:5">
      <c r="D3273" s="519"/>
      <c r="E3273" s="519"/>
    </row>
    <row r="3274" spans="4:5">
      <c r="D3274" s="519"/>
      <c r="E3274" s="519"/>
    </row>
    <row r="3275" spans="4:5">
      <c r="D3275" s="519"/>
      <c r="E3275" s="519"/>
    </row>
    <row r="3276" spans="4:5">
      <c r="D3276" s="519"/>
      <c r="E3276" s="519"/>
    </row>
    <row r="3277" spans="4:5">
      <c r="D3277" s="519"/>
      <c r="E3277" s="519"/>
    </row>
    <row r="3278" spans="4:5">
      <c r="D3278" s="519"/>
      <c r="E3278" s="519"/>
    </row>
    <row r="3279" spans="4:5">
      <c r="D3279" s="519"/>
      <c r="E3279" s="519"/>
    </row>
    <row r="3280" spans="4:5">
      <c r="D3280" s="519"/>
      <c r="E3280" s="519"/>
    </row>
    <row r="3281" spans="4:5">
      <c r="D3281" s="519"/>
      <c r="E3281" s="519"/>
    </row>
    <row r="3282" spans="4:5">
      <c r="D3282" s="519"/>
      <c r="E3282" s="519"/>
    </row>
    <row r="3283" spans="4:5">
      <c r="D3283" s="519"/>
      <c r="E3283" s="519"/>
    </row>
    <row r="3284" spans="4:5">
      <c r="D3284" s="519"/>
      <c r="E3284" s="519"/>
    </row>
    <row r="3285" spans="4:5">
      <c r="D3285" s="519"/>
      <c r="E3285" s="519"/>
    </row>
    <row r="3286" spans="4:5">
      <c r="D3286" s="519"/>
      <c r="E3286" s="519"/>
    </row>
    <row r="3287" spans="4:5">
      <c r="D3287" s="519"/>
      <c r="E3287" s="519"/>
    </row>
    <row r="3288" spans="4:5">
      <c r="D3288" s="519"/>
      <c r="E3288" s="519"/>
    </row>
    <row r="3289" spans="4:5">
      <c r="D3289" s="519"/>
      <c r="E3289" s="519"/>
    </row>
    <row r="3290" spans="4:5">
      <c r="D3290" s="519"/>
      <c r="E3290" s="519"/>
    </row>
    <row r="3291" spans="4:5">
      <c r="D3291" s="519"/>
      <c r="E3291" s="519"/>
    </row>
    <row r="3292" spans="4:5">
      <c r="D3292" s="519"/>
      <c r="E3292" s="519"/>
    </row>
    <row r="3293" spans="4:5">
      <c r="D3293" s="519"/>
      <c r="E3293" s="519"/>
    </row>
    <row r="3294" spans="4:5">
      <c r="D3294" s="519"/>
      <c r="E3294" s="519"/>
    </row>
    <row r="3295" spans="4:5">
      <c r="D3295" s="519"/>
      <c r="E3295" s="519"/>
    </row>
    <row r="3296" spans="4:5">
      <c r="D3296" s="519"/>
      <c r="E3296" s="519"/>
    </row>
    <row r="3297" spans="4:5">
      <c r="D3297" s="519"/>
      <c r="E3297" s="519"/>
    </row>
    <row r="3298" spans="4:5">
      <c r="D3298" s="519"/>
      <c r="E3298" s="519"/>
    </row>
    <row r="3299" spans="4:5">
      <c r="D3299" s="519"/>
      <c r="E3299" s="519"/>
    </row>
    <row r="3300" spans="4:5">
      <c r="D3300" s="519"/>
      <c r="E3300" s="519"/>
    </row>
    <row r="3301" spans="4:5">
      <c r="D3301" s="519"/>
      <c r="E3301" s="519"/>
    </row>
    <row r="3302" spans="4:5">
      <c r="D3302" s="519"/>
      <c r="E3302" s="519"/>
    </row>
    <row r="3303" spans="4:5">
      <c r="D3303" s="519"/>
      <c r="E3303" s="519"/>
    </row>
    <row r="3304" spans="4:5">
      <c r="D3304" s="519"/>
      <c r="E3304" s="519"/>
    </row>
    <row r="3305" spans="4:5">
      <c r="D3305" s="519"/>
      <c r="E3305" s="519"/>
    </row>
    <row r="3306" spans="4:5">
      <c r="D3306" s="519"/>
      <c r="E3306" s="519"/>
    </row>
    <row r="3307" spans="4:5">
      <c r="D3307" s="519"/>
      <c r="E3307" s="519"/>
    </row>
    <row r="3308" spans="4:5">
      <c r="D3308" s="519"/>
      <c r="E3308" s="519"/>
    </row>
    <row r="3309" spans="4:5">
      <c r="D3309" s="519"/>
      <c r="E3309" s="519"/>
    </row>
    <row r="3310" spans="4:5">
      <c r="D3310" s="519"/>
      <c r="E3310" s="519"/>
    </row>
    <row r="3311" spans="4:5">
      <c r="D3311" s="519"/>
      <c r="E3311" s="519"/>
    </row>
    <row r="3312" spans="4:5">
      <c r="D3312" s="519"/>
      <c r="E3312" s="519"/>
    </row>
    <row r="3313" spans="4:5">
      <c r="D3313" s="519"/>
      <c r="E3313" s="519"/>
    </row>
    <row r="3314" spans="4:5">
      <c r="D3314" s="519"/>
      <c r="E3314" s="519"/>
    </row>
    <row r="3315" spans="4:5">
      <c r="D3315" s="519"/>
      <c r="E3315" s="519"/>
    </row>
    <row r="3316" spans="4:5">
      <c r="D3316" s="519"/>
      <c r="E3316" s="519"/>
    </row>
    <row r="3317" spans="4:5">
      <c r="D3317" s="519"/>
      <c r="E3317" s="519"/>
    </row>
    <row r="3318" spans="4:5">
      <c r="D3318" s="519"/>
      <c r="E3318" s="519"/>
    </row>
    <row r="3319" spans="4:5">
      <c r="D3319" s="519"/>
      <c r="E3319" s="519"/>
    </row>
    <row r="3320" spans="4:5">
      <c r="D3320" s="519"/>
      <c r="E3320" s="519"/>
    </row>
    <row r="3321" spans="4:5">
      <c r="D3321" s="519"/>
      <c r="E3321" s="519"/>
    </row>
    <row r="3322" spans="4:5">
      <c r="D3322" s="519"/>
      <c r="E3322" s="519"/>
    </row>
    <row r="3323" spans="4:5">
      <c r="D3323" s="519"/>
      <c r="E3323" s="519"/>
    </row>
    <row r="3324" spans="4:5">
      <c r="D3324" s="519"/>
      <c r="E3324" s="519"/>
    </row>
    <row r="3325" spans="4:5">
      <c r="D3325" s="519"/>
      <c r="E3325" s="519"/>
    </row>
    <row r="3326" spans="4:5">
      <c r="D3326" s="519"/>
      <c r="E3326" s="519"/>
    </row>
    <row r="3327" spans="4:5">
      <c r="D3327" s="519"/>
      <c r="E3327" s="519"/>
    </row>
    <row r="3328" spans="4:5">
      <c r="D3328" s="519"/>
      <c r="E3328" s="519"/>
    </row>
    <row r="3329" spans="4:5">
      <c r="D3329" s="519"/>
      <c r="E3329" s="519"/>
    </row>
    <row r="3330" spans="4:5">
      <c r="D3330" s="519"/>
      <c r="E3330" s="519"/>
    </row>
    <row r="3331" spans="4:5">
      <c r="D3331" s="519"/>
      <c r="E3331" s="519"/>
    </row>
    <row r="3332" spans="4:5">
      <c r="D3332" s="519"/>
      <c r="E3332" s="519"/>
    </row>
    <row r="3333" spans="4:5">
      <c r="D3333" s="519"/>
      <c r="E3333" s="519"/>
    </row>
    <row r="3334" spans="4:5">
      <c r="D3334" s="519"/>
      <c r="E3334" s="519"/>
    </row>
    <row r="3335" spans="4:5">
      <c r="D3335" s="519"/>
      <c r="E3335" s="519"/>
    </row>
    <row r="3336" spans="4:5">
      <c r="D3336" s="519"/>
      <c r="E3336" s="519"/>
    </row>
    <row r="3337" spans="4:5">
      <c r="D3337" s="519"/>
      <c r="E3337" s="519"/>
    </row>
    <row r="3338" spans="4:5">
      <c r="D3338" s="519"/>
      <c r="E3338" s="519"/>
    </row>
    <row r="3339" spans="4:5">
      <c r="D3339" s="519"/>
      <c r="E3339" s="519"/>
    </row>
    <row r="3340" spans="4:5">
      <c r="D3340" s="519"/>
      <c r="E3340" s="519"/>
    </row>
    <row r="3341" spans="4:5">
      <c r="D3341" s="519"/>
      <c r="E3341" s="519"/>
    </row>
    <row r="3342" spans="4:5">
      <c r="D3342" s="519"/>
      <c r="E3342" s="519"/>
    </row>
    <row r="3343" spans="4:5">
      <c r="D3343" s="519"/>
      <c r="E3343" s="519"/>
    </row>
    <row r="3344" spans="4:5">
      <c r="D3344" s="519"/>
      <c r="E3344" s="519"/>
    </row>
    <row r="3345" spans="4:5">
      <c r="D3345" s="519"/>
      <c r="E3345" s="519"/>
    </row>
    <row r="3346" spans="4:5">
      <c r="D3346" s="519"/>
      <c r="E3346" s="519"/>
    </row>
    <row r="3347" spans="4:5">
      <c r="D3347" s="519"/>
      <c r="E3347" s="519"/>
    </row>
    <row r="3348" spans="4:5">
      <c r="D3348" s="519"/>
      <c r="E3348" s="519"/>
    </row>
    <row r="3349" spans="4:5">
      <c r="D3349" s="519"/>
      <c r="E3349" s="519"/>
    </row>
    <row r="3350" spans="4:5">
      <c r="D3350" s="519"/>
      <c r="E3350" s="519"/>
    </row>
    <row r="3351" spans="4:5">
      <c r="D3351" s="519"/>
      <c r="E3351" s="519"/>
    </row>
    <row r="3352" spans="4:5">
      <c r="D3352" s="519"/>
      <c r="E3352" s="519"/>
    </row>
    <row r="3353" spans="4:5">
      <c r="D3353" s="519"/>
      <c r="E3353" s="519"/>
    </row>
    <row r="3354" spans="4:5">
      <c r="D3354" s="519"/>
      <c r="E3354" s="519"/>
    </row>
    <row r="3355" spans="4:5">
      <c r="D3355" s="519"/>
      <c r="E3355" s="519"/>
    </row>
    <row r="3356" spans="4:5">
      <c r="D3356" s="519"/>
      <c r="E3356" s="519"/>
    </row>
    <row r="3357" spans="4:5">
      <c r="D3357" s="519"/>
      <c r="E3357" s="519"/>
    </row>
    <row r="3358" spans="4:5">
      <c r="D3358" s="519"/>
      <c r="E3358" s="519"/>
    </row>
    <row r="3359" spans="4:5">
      <c r="D3359" s="519"/>
      <c r="E3359" s="519"/>
    </row>
    <row r="3360" spans="4:5">
      <c r="D3360" s="519"/>
      <c r="E3360" s="519"/>
    </row>
    <row r="3361" spans="4:5">
      <c r="D3361" s="519"/>
      <c r="E3361" s="519"/>
    </row>
    <row r="3362" spans="4:5">
      <c r="D3362" s="519"/>
      <c r="E3362" s="519"/>
    </row>
    <row r="3363" spans="4:5">
      <c r="D3363" s="519"/>
      <c r="E3363" s="519"/>
    </row>
    <row r="3364" spans="4:5">
      <c r="D3364" s="519"/>
      <c r="E3364" s="519"/>
    </row>
    <row r="3365" spans="4:5">
      <c r="D3365" s="519"/>
      <c r="E3365" s="519"/>
    </row>
    <row r="3366" spans="4:5">
      <c r="D3366" s="519"/>
      <c r="E3366" s="519"/>
    </row>
    <row r="3367" spans="4:5">
      <c r="D3367" s="519"/>
      <c r="E3367" s="519"/>
    </row>
    <row r="3368" spans="4:5">
      <c r="D3368" s="519"/>
      <c r="E3368" s="519"/>
    </row>
    <row r="3369" spans="4:5">
      <c r="D3369" s="519"/>
      <c r="E3369" s="519"/>
    </row>
    <row r="3370" spans="4:5">
      <c r="D3370" s="519"/>
      <c r="E3370" s="519"/>
    </row>
    <row r="3371" spans="4:5">
      <c r="D3371" s="519"/>
      <c r="E3371" s="519"/>
    </row>
    <row r="3372" spans="4:5">
      <c r="D3372" s="519"/>
      <c r="E3372" s="519"/>
    </row>
    <row r="3373" spans="4:5">
      <c r="D3373" s="519"/>
      <c r="E3373" s="519"/>
    </row>
    <row r="3374" spans="4:5">
      <c r="D3374" s="519"/>
      <c r="E3374" s="519"/>
    </row>
    <row r="3375" spans="4:5">
      <c r="D3375" s="519"/>
      <c r="E3375" s="519"/>
    </row>
    <row r="3376" spans="4:5">
      <c r="D3376" s="519"/>
      <c r="E3376" s="519"/>
    </row>
    <row r="3377" spans="4:5">
      <c r="D3377" s="519"/>
      <c r="E3377" s="519"/>
    </row>
    <row r="3378" spans="4:5">
      <c r="D3378" s="519"/>
      <c r="E3378" s="519"/>
    </row>
    <row r="3379" spans="4:5">
      <c r="D3379" s="519"/>
      <c r="E3379" s="519"/>
    </row>
    <row r="3380" spans="4:5">
      <c r="D3380" s="519"/>
      <c r="E3380" s="519"/>
    </row>
    <row r="3381" spans="4:5">
      <c r="D3381" s="519"/>
      <c r="E3381" s="519"/>
    </row>
    <row r="3382" spans="4:5">
      <c r="D3382" s="519"/>
      <c r="E3382" s="519"/>
    </row>
    <row r="3383" spans="4:5">
      <c r="D3383" s="519"/>
      <c r="E3383" s="519"/>
    </row>
    <row r="3384" spans="4:5">
      <c r="D3384" s="519"/>
      <c r="E3384" s="519"/>
    </row>
    <row r="3385" spans="4:5">
      <c r="D3385" s="519"/>
      <c r="E3385" s="519"/>
    </row>
    <row r="3386" spans="4:5">
      <c r="D3386" s="519"/>
      <c r="E3386" s="519"/>
    </row>
    <row r="3387" spans="4:5">
      <c r="D3387" s="519"/>
      <c r="E3387" s="519"/>
    </row>
    <row r="3388" spans="4:5">
      <c r="D3388" s="519"/>
      <c r="E3388" s="519"/>
    </row>
    <row r="3389" spans="4:5">
      <c r="D3389" s="519"/>
      <c r="E3389" s="519"/>
    </row>
    <row r="3390" spans="4:5">
      <c r="D3390" s="519"/>
      <c r="E3390" s="519"/>
    </row>
    <row r="3391" spans="4:5">
      <c r="D3391" s="519"/>
      <c r="E3391" s="519"/>
    </row>
    <row r="3392" spans="4:5">
      <c r="D3392" s="519"/>
      <c r="E3392" s="519"/>
    </row>
    <row r="3393" spans="4:5">
      <c r="D3393" s="519"/>
      <c r="E3393" s="519"/>
    </row>
    <row r="3394" spans="4:5">
      <c r="D3394" s="519"/>
      <c r="E3394" s="519"/>
    </row>
    <row r="3395" spans="4:5">
      <c r="D3395" s="519"/>
      <c r="E3395" s="519"/>
    </row>
    <row r="3396" spans="4:5">
      <c r="D3396" s="519"/>
      <c r="E3396" s="519"/>
    </row>
    <row r="3397" spans="4:5">
      <c r="D3397" s="519"/>
      <c r="E3397" s="519"/>
    </row>
    <row r="3398" spans="4:5">
      <c r="D3398" s="519"/>
      <c r="E3398" s="519"/>
    </row>
    <row r="3399" spans="4:5">
      <c r="D3399" s="519"/>
      <c r="E3399" s="519"/>
    </row>
    <row r="3400" spans="4:5">
      <c r="D3400" s="519"/>
      <c r="E3400" s="519"/>
    </row>
    <row r="3401" spans="4:5">
      <c r="D3401" s="519"/>
      <c r="E3401" s="519"/>
    </row>
    <row r="3402" spans="4:5">
      <c r="D3402" s="519"/>
      <c r="E3402" s="519"/>
    </row>
    <row r="3403" spans="4:5">
      <c r="D3403" s="519"/>
      <c r="E3403" s="519"/>
    </row>
    <row r="3404" spans="4:5">
      <c r="D3404" s="519"/>
      <c r="E3404" s="519"/>
    </row>
    <row r="3405" spans="4:5">
      <c r="D3405" s="519"/>
      <c r="E3405" s="519"/>
    </row>
    <row r="3406" spans="4:5">
      <c r="D3406" s="519"/>
      <c r="E3406" s="519"/>
    </row>
    <row r="3407" spans="4:5">
      <c r="D3407" s="519"/>
      <c r="E3407" s="519"/>
    </row>
    <row r="3408" spans="4:5">
      <c r="D3408" s="519"/>
      <c r="E3408" s="519"/>
    </row>
    <row r="3409" spans="4:5">
      <c r="D3409" s="519"/>
      <c r="E3409" s="519"/>
    </row>
    <row r="3410" spans="4:5">
      <c r="D3410" s="519"/>
      <c r="E3410" s="519"/>
    </row>
    <row r="3411" spans="4:5">
      <c r="D3411" s="519"/>
      <c r="E3411" s="519"/>
    </row>
    <row r="3412" spans="4:5">
      <c r="D3412" s="519"/>
      <c r="E3412" s="519"/>
    </row>
    <row r="3413" spans="4:5">
      <c r="D3413" s="519"/>
      <c r="E3413" s="519"/>
    </row>
    <row r="3414" spans="4:5">
      <c r="D3414" s="519"/>
      <c r="E3414" s="519"/>
    </row>
    <row r="3415" spans="4:5">
      <c r="D3415" s="519"/>
      <c r="E3415" s="519"/>
    </row>
    <row r="3416" spans="4:5">
      <c r="D3416" s="519"/>
      <c r="E3416" s="519"/>
    </row>
    <row r="3417" spans="4:5">
      <c r="D3417" s="519"/>
      <c r="E3417" s="519"/>
    </row>
    <row r="3418" spans="4:5">
      <c r="D3418" s="519"/>
      <c r="E3418" s="519"/>
    </row>
    <row r="3419" spans="4:5">
      <c r="D3419" s="519"/>
      <c r="E3419" s="519"/>
    </row>
    <row r="3420" spans="4:5">
      <c r="D3420" s="519"/>
      <c r="E3420" s="519"/>
    </row>
    <row r="3421" spans="4:5">
      <c r="D3421" s="519"/>
      <c r="E3421" s="519"/>
    </row>
    <row r="3422" spans="4:5">
      <c r="D3422" s="519"/>
      <c r="E3422" s="519"/>
    </row>
    <row r="3423" spans="4:5">
      <c r="D3423" s="519"/>
      <c r="E3423" s="519"/>
    </row>
    <row r="3424" spans="4:5">
      <c r="D3424" s="519"/>
      <c r="E3424" s="519"/>
    </row>
    <row r="3425" spans="4:5">
      <c r="D3425" s="519"/>
      <c r="E3425" s="519"/>
    </row>
    <row r="3426" spans="4:5">
      <c r="D3426" s="519"/>
      <c r="E3426" s="519"/>
    </row>
    <row r="3427" spans="4:5">
      <c r="D3427" s="519"/>
      <c r="E3427" s="519"/>
    </row>
    <row r="3428" spans="4:5">
      <c r="D3428" s="519"/>
      <c r="E3428" s="519"/>
    </row>
    <row r="3429" spans="4:5">
      <c r="D3429" s="519"/>
      <c r="E3429" s="519"/>
    </row>
    <row r="3430" spans="4:5">
      <c r="D3430" s="519"/>
      <c r="E3430" s="519"/>
    </row>
    <row r="3431" spans="4:5">
      <c r="D3431" s="519"/>
      <c r="E3431" s="519"/>
    </row>
    <row r="3432" spans="4:5">
      <c r="D3432" s="519"/>
      <c r="E3432" s="519"/>
    </row>
    <row r="3433" spans="4:5">
      <c r="D3433" s="519"/>
      <c r="E3433" s="519"/>
    </row>
    <row r="3434" spans="4:5">
      <c r="D3434" s="519"/>
      <c r="E3434" s="519"/>
    </row>
    <row r="3435" spans="4:5">
      <c r="D3435" s="519"/>
      <c r="E3435" s="519"/>
    </row>
    <row r="3436" spans="4:5">
      <c r="D3436" s="519"/>
      <c r="E3436" s="519"/>
    </row>
    <row r="3437" spans="4:5">
      <c r="D3437" s="519"/>
      <c r="E3437" s="519"/>
    </row>
    <row r="3438" spans="4:5">
      <c r="D3438" s="519"/>
      <c r="E3438" s="519"/>
    </row>
    <row r="3439" spans="4:5">
      <c r="D3439" s="519"/>
      <c r="E3439" s="519"/>
    </row>
    <row r="3440" spans="4:5">
      <c r="D3440" s="519"/>
      <c r="E3440" s="519"/>
    </row>
    <row r="3441" spans="4:5">
      <c r="D3441" s="519"/>
      <c r="E3441" s="519"/>
    </row>
    <row r="3442" spans="4:5">
      <c r="D3442" s="519"/>
      <c r="E3442" s="519"/>
    </row>
    <row r="3443" spans="4:5">
      <c r="D3443" s="519"/>
      <c r="E3443" s="519"/>
    </row>
    <row r="3444" spans="4:5">
      <c r="D3444" s="519"/>
      <c r="E3444" s="519"/>
    </row>
    <row r="3445" spans="4:5">
      <c r="D3445" s="519"/>
      <c r="E3445" s="519"/>
    </row>
    <row r="3446" spans="4:5">
      <c r="D3446" s="519"/>
      <c r="E3446" s="519"/>
    </row>
    <row r="3447" spans="4:5">
      <c r="D3447" s="519"/>
      <c r="E3447" s="519"/>
    </row>
    <row r="3448" spans="4:5">
      <c r="D3448" s="519"/>
      <c r="E3448" s="519"/>
    </row>
    <row r="3449" spans="4:5">
      <c r="D3449" s="519"/>
      <c r="E3449" s="519"/>
    </row>
    <row r="3450" spans="4:5">
      <c r="D3450" s="519"/>
      <c r="E3450" s="519"/>
    </row>
    <row r="3451" spans="4:5">
      <c r="D3451" s="519"/>
      <c r="E3451" s="519"/>
    </row>
    <row r="3452" spans="4:5">
      <c r="D3452" s="519"/>
      <c r="E3452" s="519"/>
    </row>
    <row r="3453" spans="4:5">
      <c r="D3453" s="519"/>
      <c r="E3453" s="519"/>
    </row>
    <row r="3454" spans="4:5">
      <c r="D3454" s="519"/>
      <c r="E3454" s="519"/>
    </row>
    <row r="3455" spans="4:5">
      <c r="D3455" s="519"/>
      <c r="E3455" s="519"/>
    </row>
    <row r="3456" spans="4:5">
      <c r="D3456" s="519"/>
      <c r="E3456" s="519"/>
    </row>
    <row r="3457" spans="4:5">
      <c r="D3457" s="519"/>
      <c r="E3457" s="519"/>
    </row>
    <row r="3458" spans="4:5">
      <c r="D3458" s="519"/>
      <c r="E3458" s="519"/>
    </row>
    <row r="3459" spans="4:5">
      <c r="D3459" s="519"/>
      <c r="E3459" s="519"/>
    </row>
    <row r="3460" spans="4:5">
      <c r="D3460" s="519"/>
      <c r="E3460" s="519"/>
    </row>
    <row r="3461" spans="4:5">
      <c r="D3461" s="519"/>
      <c r="E3461" s="519"/>
    </row>
    <row r="3462" spans="4:5">
      <c r="D3462" s="519"/>
      <c r="E3462" s="519"/>
    </row>
    <row r="3463" spans="4:5">
      <c r="D3463" s="519"/>
      <c r="E3463" s="519"/>
    </row>
    <row r="3464" spans="4:5">
      <c r="D3464" s="519"/>
      <c r="E3464" s="519"/>
    </row>
    <row r="3465" spans="4:5">
      <c r="D3465" s="519"/>
      <c r="E3465" s="519"/>
    </row>
    <row r="3466" spans="4:5">
      <c r="D3466" s="519"/>
      <c r="E3466" s="519"/>
    </row>
    <row r="3467" spans="4:5">
      <c r="D3467" s="519"/>
      <c r="E3467" s="519"/>
    </row>
    <row r="3468" spans="4:5">
      <c r="D3468" s="519"/>
      <c r="E3468" s="519"/>
    </row>
    <row r="3469" spans="4:5">
      <c r="D3469" s="519"/>
      <c r="E3469" s="519"/>
    </row>
    <row r="3470" spans="4:5">
      <c r="D3470" s="519"/>
      <c r="E3470" s="519"/>
    </row>
    <row r="3471" spans="4:5">
      <c r="D3471" s="519"/>
      <c r="E3471" s="519"/>
    </row>
    <row r="3472" spans="4:5">
      <c r="D3472" s="519"/>
      <c r="E3472" s="519"/>
    </row>
    <row r="3473" spans="4:5">
      <c r="D3473" s="519"/>
      <c r="E3473" s="519"/>
    </row>
    <row r="3474" spans="4:5">
      <c r="D3474" s="519"/>
      <c r="E3474" s="519"/>
    </row>
    <row r="3475" spans="4:5">
      <c r="D3475" s="519"/>
      <c r="E3475" s="519"/>
    </row>
    <row r="3476" spans="4:5">
      <c r="D3476" s="519"/>
      <c r="E3476" s="519"/>
    </row>
    <row r="3477" spans="4:5">
      <c r="D3477" s="519"/>
      <c r="E3477" s="519"/>
    </row>
    <row r="3478" spans="4:5">
      <c r="D3478" s="519"/>
      <c r="E3478" s="519"/>
    </row>
    <row r="3479" spans="4:5">
      <c r="D3479" s="519"/>
      <c r="E3479" s="519"/>
    </row>
    <row r="3480" spans="4:5">
      <c r="D3480" s="519"/>
      <c r="E3480" s="519"/>
    </row>
    <row r="3481" spans="4:5">
      <c r="D3481" s="519"/>
      <c r="E3481" s="519"/>
    </row>
    <row r="3482" spans="4:5">
      <c r="D3482" s="519"/>
      <c r="E3482" s="519"/>
    </row>
    <row r="3483" spans="4:5">
      <c r="D3483" s="519"/>
      <c r="E3483" s="519"/>
    </row>
    <row r="3484" spans="4:5">
      <c r="D3484" s="519"/>
      <c r="E3484" s="519"/>
    </row>
    <row r="3485" spans="4:5">
      <c r="D3485" s="519"/>
      <c r="E3485" s="519"/>
    </row>
    <row r="3486" spans="4:5">
      <c r="D3486" s="519"/>
      <c r="E3486" s="519"/>
    </row>
    <row r="3487" spans="4:5">
      <c r="D3487" s="519"/>
      <c r="E3487" s="519"/>
    </row>
    <row r="3488" spans="4:5">
      <c r="D3488" s="519"/>
      <c r="E3488" s="519"/>
    </row>
    <row r="3489" spans="4:5">
      <c r="D3489" s="519"/>
      <c r="E3489" s="519"/>
    </row>
    <row r="3490" spans="4:5">
      <c r="D3490" s="519"/>
      <c r="E3490" s="519"/>
    </row>
    <row r="3491" spans="4:5">
      <c r="D3491" s="519"/>
      <c r="E3491" s="519"/>
    </row>
    <row r="3492" spans="4:5">
      <c r="D3492" s="519"/>
      <c r="E3492" s="519"/>
    </row>
    <row r="3493" spans="4:5">
      <c r="D3493" s="519"/>
      <c r="E3493" s="519"/>
    </row>
    <row r="3494" spans="4:5">
      <c r="D3494" s="519"/>
      <c r="E3494" s="519"/>
    </row>
    <row r="3495" spans="4:5">
      <c r="D3495" s="519"/>
      <c r="E3495" s="519"/>
    </row>
    <row r="3496" spans="4:5">
      <c r="D3496" s="519"/>
      <c r="E3496" s="519"/>
    </row>
    <row r="3497" spans="4:5">
      <c r="D3497" s="519"/>
      <c r="E3497" s="519"/>
    </row>
    <row r="3498" spans="4:5">
      <c r="D3498" s="519"/>
      <c r="E3498" s="519"/>
    </row>
    <row r="3499" spans="4:5">
      <c r="D3499" s="519"/>
      <c r="E3499" s="519"/>
    </row>
    <row r="3500" spans="4:5">
      <c r="D3500" s="519"/>
      <c r="E3500" s="519"/>
    </row>
    <row r="3501" spans="4:5">
      <c r="D3501" s="519"/>
      <c r="E3501" s="519"/>
    </row>
    <row r="3502" spans="4:5">
      <c r="D3502" s="519"/>
      <c r="E3502" s="519"/>
    </row>
    <row r="3503" spans="4:5">
      <c r="D3503" s="519"/>
      <c r="E3503" s="519"/>
    </row>
    <row r="3504" spans="4:5">
      <c r="D3504" s="519"/>
      <c r="E3504" s="519"/>
    </row>
    <row r="3505" spans="4:5">
      <c r="D3505" s="519"/>
      <c r="E3505" s="519"/>
    </row>
    <row r="3506" spans="4:5">
      <c r="D3506" s="519"/>
      <c r="E3506" s="519"/>
    </row>
    <row r="3507" spans="4:5">
      <c r="D3507" s="519"/>
      <c r="E3507" s="519"/>
    </row>
    <row r="3508" spans="4:5">
      <c r="D3508" s="519"/>
      <c r="E3508" s="519"/>
    </row>
    <row r="3509" spans="4:5">
      <c r="D3509" s="519"/>
      <c r="E3509" s="519"/>
    </row>
    <row r="3510" spans="4:5">
      <c r="D3510" s="519"/>
      <c r="E3510" s="519"/>
    </row>
    <row r="3511" spans="4:5">
      <c r="D3511" s="519"/>
      <c r="E3511" s="519"/>
    </row>
    <row r="3512" spans="4:5">
      <c r="D3512" s="519"/>
      <c r="E3512" s="519"/>
    </row>
    <row r="3513" spans="4:5">
      <c r="D3513" s="519"/>
      <c r="E3513" s="519"/>
    </row>
    <row r="3514" spans="4:5">
      <c r="D3514" s="519"/>
      <c r="E3514" s="519"/>
    </row>
    <row r="3515" spans="4:5">
      <c r="D3515" s="519"/>
      <c r="E3515" s="519"/>
    </row>
    <row r="3516" spans="4:5">
      <c r="D3516" s="519"/>
      <c r="E3516" s="519"/>
    </row>
    <row r="3517" spans="4:5">
      <c r="D3517" s="519"/>
      <c r="E3517" s="519"/>
    </row>
    <row r="3518" spans="4:5">
      <c r="D3518" s="519"/>
      <c r="E3518" s="519"/>
    </row>
    <row r="3519" spans="4:5">
      <c r="D3519" s="519"/>
      <c r="E3519" s="519"/>
    </row>
    <row r="3520" spans="4:5">
      <c r="D3520" s="519"/>
      <c r="E3520" s="519"/>
    </row>
    <row r="3521" spans="4:5">
      <c r="D3521" s="519"/>
      <c r="E3521" s="519"/>
    </row>
    <row r="3522" spans="4:5">
      <c r="D3522" s="519"/>
      <c r="E3522" s="519"/>
    </row>
    <row r="3523" spans="4:5">
      <c r="D3523" s="519"/>
      <c r="E3523" s="519"/>
    </row>
    <row r="3524" spans="4:5">
      <c r="D3524" s="519"/>
      <c r="E3524" s="519"/>
    </row>
    <row r="3525" spans="4:5">
      <c r="D3525" s="519"/>
      <c r="E3525" s="519"/>
    </row>
    <row r="3526" spans="4:5">
      <c r="D3526" s="519"/>
      <c r="E3526" s="519"/>
    </row>
    <row r="3527" spans="4:5">
      <c r="D3527" s="519"/>
      <c r="E3527" s="519"/>
    </row>
    <row r="3528" spans="4:5">
      <c r="D3528" s="519"/>
      <c r="E3528" s="519"/>
    </row>
    <row r="3529" spans="4:5">
      <c r="D3529" s="519"/>
      <c r="E3529" s="519"/>
    </row>
    <row r="3530" spans="4:5">
      <c r="D3530" s="519"/>
      <c r="E3530" s="519"/>
    </row>
    <row r="3531" spans="4:5">
      <c r="D3531" s="519"/>
      <c r="E3531" s="519"/>
    </row>
    <row r="3532" spans="4:5">
      <c r="D3532" s="519"/>
      <c r="E3532" s="519"/>
    </row>
    <row r="3533" spans="4:5">
      <c r="D3533" s="519"/>
      <c r="E3533" s="519"/>
    </row>
    <row r="3534" spans="4:5">
      <c r="D3534" s="519"/>
      <c r="E3534" s="519"/>
    </row>
    <row r="3535" spans="4:5">
      <c r="D3535" s="519"/>
      <c r="E3535" s="519"/>
    </row>
    <row r="3536" spans="4:5">
      <c r="D3536" s="519"/>
      <c r="E3536" s="519"/>
    </row>
    <row r="3537" spans="4:5">
      <c r="D3537" s="519"/>
      <c r="E3537" s="519"/>
    </row>
    <row r="3538" spans="4:5">
      <c r="D3538" s="519"/>
      <c r="E3538" s="519"/>
    </row>
    <row r="3539" spans="4:5">
      <c r="D3539" s="519"/>
      <c r="E3539" s="519"/>
    </row>
    <row r="3540" spans="4:5">
      <c r="D3540" s="519"/>
      <c r="E3540" s="519"/>
    </row>
    <row r="3541" spans="4:5">
      <c r="D3541" s="519"/>
      <c r="E3541" s="519"/>
    </row>
    <row r="3542" spans="4:5">
      <c r="D3542" s="519"/>
      <c r="E3542" s="519"/>
    </row>
    <row r="3543" spans="4:5">
      <c r="D3543" s="519"/>
      <c r="E3543" s="519"/>
    </row>
    <row r="3544" spans="4:5">
      <c r="D3544" s="519"/>
      <c r="E3544" s="519"/>
    </row>
    <row r="3545" spans="4:5">
      <c r="D3545" s="519"/>
      <c r="E3545" s="519"/>
    </row>
    <row r="3546" spans="4:5">
      <c r="D3546" s="519"/>
      <c r="E3546" s="519"/>
    </row>
    <row r="3547" spans="4:5">
      <c r="D3547" s="519"/>
      <c r="E3547" s="519"/>
    </row>
    <row r="3548" spans="4:5">
      <c r="D3548" s="519"/>
      <c r="E3548" s="519"/>
    </row>
    <row r="3549" spans="4:5">
      <c r="D3549" s="519"/>
      <c r="E3549" s="519"/>
    </row>
    <row r="3550" spans="4:5">
      <c r="D3550" s="519"/>
      <c r="E3550" s="519"/>
    </row>
    <row r="3551" spans="4:5">
      <c r="D3551" s="519"/>
      <c r="E3551" s="519"/>
    </row>
    <row r="3552" spans="4:5">
      <c r="D3552" s="519"/>
      <c r="E3552" s="519"/>
    </row>
    <row r="3553" spans="4:5">
      <c r="D3553" s="519"/>
      <c r="E3553" s="519"/>
    </row>
    <row r="3554" spans="4:5">
      <c r="D3554" s="519"/>
      <c r="E3554" s="519"/>
    </row>
    <row r="3555" spans="4:5">
      <c r="D3555" s="519"/>
      <c r="E3555" s="519"/>
    </row>
    <row r="3556" spans="4:5">
      <c r="D3556" s="519"/>
      <c r="E3556" s="519"/>
    </row>
    <row r="3557" spans="4:5">
      <c r="D3557" s="519"/>
      <c r="E3557" s="519"/>
    </row>
    <row r="3558" spans="4:5">
      <c r="D3558" s="519"/>
      <c r="E3558" s="519"/>
    </row>
    <row r="3559" spans="4:5">
      <c r="D3559" s="519"/>
      <c r="E3559" s="519"/>
    </row>
    <row r="3560" spans="4:5">
      <c r="D3560" s="519"/>
      <c r="E3560" s="519"/>
    </row>
    <row r="3561" spans="4:5">
      <c r="D3561" s="519"/>
      <c r="E3561" s="519"/>
    </row>
    <row r="3562" spans="4:5">
      <c r="D3562" s="519"/>
      <c r="E3562" s="519"/>
    </row>
    <row r="3563" spans="4:5">
      <c r="D3563" s="519"/>
      <c r="E3563" s="519"/>
    </row>
    <row r="3564" spans="4:5">
      <c r="D3564" s="519"/>
      <c r="E3564" s="519"/>
    </row>
    <row r="3565" spans="4:5">
      <c r="D3565" s="519"/>
      <c r="E3565" s="519"/>
    </row>
    <row r="3566" spans="4:5">
      <c r="D3566" s="519"/>
      <c r="E3566" s="519"/>
    </row>
    <row r="3567" spans="4:5">
      <c r="D3567" s="519"/>
      <c r="E3567" s="519"/>
    </row>
    <row r="3568" spans="4:5">
      <c r="D3568" s="519"/>
      <c r="E3568" s="519"/>
    </row>
    <row r="3569" spans="4:5">
      <c r="D3569" s="519"/>
      <c r="E3569" s="519"/>
    </row>
    <row r="3570" spans="4:5">
      <c r="D3570" s="519"/>
      <c r="E3570" s="519"/>
    </row>
    <row r="3571" spans="4:5">
      <c r="D3571" s="519"/>
      <c r="E3571" s="519"/>
    </row>
    <row r="3572" spans="4:5">
      <c r="D3572" s="519"/>
      <c r="E3572" s="519"/>
    </row>
    <row r="3573" spans="4:5">
      <c r="D3573" s="519"/>
      <c r="E3573" s="519"/>
    </row>
    <row r="3574" spans="4:5">
      <c r="D3574" s="519"/>
      <c r="E3574" s="519"/>
    </row>
    <row r="3575" spans="4:5">
      <c r="D3575" s="519"/>
      <c r="E3575" s="519"/>
    </row>
    <row r="3576" spans="4:5">
      <c r="D3576" s="519"/>
      <c r="E3576" s="519"/>
    </row>
    <row r="3577" spans="4:5">
      <c r="D3577" s="519"/>
      <c r="E3577" s="519"/>
    </row>
    <row r="3578" spans="4:5">
      <c r="D3578" s="519"/>
      <c r="E3578" s="519"/>
    </row>
    <row r="3579" spans="4:5">
      <c r="D3579" s="519"/>
      <c r="E3579" s="519"/>
    </row>
    <row r="3580" spans="4:5">
      <c r="D3580" s="519"/>
      <c r="E3580" s="519"/>
    </row>
    <row r="3581" spans="4:5">
      <c r="D3581" s="519"/>
      <c r="E3581" s="519"/>
    </row>
    <row r="3582" spans="4:5">
      <c r="D3582" s="519"/>
      <c r="E3582" s="519"/>
    </row>
    <row r="3583" spans="4:5">
      <c r="D3583" s="519"/>
      <c r="E3583" s="519"/>
    </row>
    <row r="3584" spans="4:5">
      <c r="D3584" s="519"/>
      <c r="E3584" s="519"/>
    </row>
    <row r="3585" spans="4:5">
      <c r="D3585" s="519"/>
      <c r="E3585" s="519"/>
    </row>
    <row r="3586" spans="4:5">
      <c r="D3586" s="519"/>
      <c r="E3586" s="519"/>
    </row>
    <row r="3587" spans="4:5">
      <c r="D3587" s="519"/>
      <c r="E3587" s="519"/>
    </row>
    <row r="3588" spans="4:5">
      <c r="D3588" s="519"/>
      <c r="E3588" s="519"/>
    </row>
    <row r="3589" spans="4:5">
      <c r="D3589" s="519"/>
      <c r="E3589" s="519"/>
    </row>
    <row r="3590" spans="4:5">
      <c r="D3590" s="519"/>
      <c r="E3590" s="519"/>
    </row>
    <row r="3591" spans="4:5">
      <c r="D3591" s="519"/>
      <c r="E3591" s="519"/>
    </row>
    <row r="3592" spans="4:5">
      <c r="D3592" s="519"/>
      <c r="E3592" s="519"/>
    </row>
    <row r="3593" spans="4:5">
      <c r="D3593" s="519"/>
      <c r="E3593" s="519"/>
    </row>
    <row r="3594" spans="4:5">
      <c r="D3594" s="519"/>
      <c r="E3594" s="519"/>
    </row>
    <row r="3595" spans="4:5">
      <c r="D3595" s="519"/>
      <c r="E3595" s="519"/>
    </row>
    <row r="3596" spans="4:5">
      <c r="D3596" s="519"/>
      <c r="E3596" s="519"/>
    </row>
    <row r="3597" spans="4:5">
      <c r="D3597" s="519"/>
      <c r="E3597" s="519"/>
    </row>
    <row r="3598" spans="4:5">
      <c r="D3598" s="519"/>
      <c r="E3598" s="519"/>
    </row>
    <row r="3599" spans="4:5">
      <c r="D3599" s="519"/>
      <c r="E3599" s="519"/>
    </row>
    <row r="3600" spans="4:5">
      <c r="D3600" s="519"/>
      <c r="E3600" s="519"/>
    </row>
    <row r="3601" spans="4:5">
      <c r="D3601" s="519"/>
      <c r="E3601" s="519"/>
    </row>
    <row r="3602" spans="4:5">
      <c r="D3602" s="519"/>
      <c r="E3602" s="519"/>
    </row>
    <row r="3603" spans="4:5">
      <c r="D3603" s="519"/>
      <c r="E3603" s="519"/>
    </row>
    <row r="3604" spans="4:5">
      <c r="D3604" s="519"/>
      <c r="E3604" s="519"/>
    </row>
    <row r="3605" spans="4:5">
      <c r="D3605" s="519"/>
      <c r="E3605" s="519"/>
    </row>
    <row r="3606" spans="4:5">
      <c r="D3606" s="519"/>
      <c r="E3606" s="519"/>
    </row>
    <row r="3607" spans="4:5">
      <c r="D3607" s="519"/>
      <c r="E3607" s="519"/>
    </row>
    <row r="3608" spans="4:5">
      <c r="D3608" s="519"/>
      <c r="E3608" s="519"/>
    </row>
    <row r="3609" spans="4:5">
      <c r="D3609" s="519"/>
      <c r="E3609" s="519"/>
    </row>
    <row r="3610" spans="4:5">
      <c r="D3610" s="519"/>
      <c r="E3610" s="519"/>
    </row>
    <row r="3611" spans="4:5">
      <c r="D3611" s="519"/>
      <c r="E3611" s="519"/>
    </row>
    <row r="3612" spans="4:5">
      <c r="D3612" s="519"/>
      <c r="E3612" s="519"/>
    </row>
    <row r="3613" spans="4:5">
      <c r="D3613" s="519"/>
      <c r="E3613" s="519"/>
    </row>
    <row r="3614" spans="4:5">
      <c r="D3614" s="519"/>
      <c r="E3614" s="519"/>
    </row>
    <row r="3615" spans="4:5">
      <c r="D3615" s="519"/>
      <c r="E3615" s="519"/>
    </row>
    <row r="3616" spans="4:5">
      <c r="D3616" s="519"/>
      <c r="E3616" s="519"/>
    </row>
    <row r="3617" spans="4:5">
      <c r="D3617" s="519"/>
      <c r="E3617" s="519"/>
    </row>
    <row r="3618" spans="4:5">
      <c r="D3618" s="519"/>
      <c r="E3618" s="519"/>
    </row>
    <row r="3619" spans="4:5">
      <c r="D3619" s="519"/>
      <c r="E3619" s="519"/>
    </row>
    <row r="3620" spans="4:5">
      <c r="D3620" s="519"/>
      <c r="E3620" s="519"/>
    </row>
    <row r="3621" spans="4:5">
      <c r="D3621" s="519"/>
      <c r="E3621" s="519"/>
    </row>
    <row r="3622" spans="4:5">
      <c r="D3622" s="519"/>
      <c r="E3622" s="519"/>
    </row>
    <row r="3623" spans="4:5">
      <c r="D3623" s="519"/>
      <c r="E3623" s="519"/>
    </row>
    <row r="3624" spans="4:5">
      <c r="D3624" s="519"/>
      <c r="E3624" s="519"/>
    </row>
    <row r="3625" spans="4:5">
      <c r="D3625" s="519"/>
      <c r="E3625" s="519"/>
    </row>
    <row r="3626" spans="4:5">
      <c r="D3626" s="519"/>
      <c r="E3626" s="519"/>
    </row>
    <row r="3627" spans="4:5">
      <c r="D3627" s="519"/>
      <c r="E3627" s="519"/>
    </row>
    <row r="3628" spans="4:5">
      <c r="D3628" s="519"/>
      <c r="E3628" s="519"/>
    </row>
    <row r="3629" spans="4:5">
      <c r="D3629" s="519"/>
      <c r="E3629" s="519"/>
    </row>
    <row r="3630" spans="4:5">
      <c r="D3630" s="519"/>
      <c r="E3630" s="519"/>
    </row>
    <row r="3631" spans="4:5">
      <c r="D3631" s="519"/>
      <c r="E3631" s="519"/>
    </row>
    <row r="3632" spans="4:5">
      <c r="D3632" s="519"/>
      <c r="E3632" s="519"/>
    </row>
    <row r="3633" spans="4:5">
      <c r="D3633" s="519"/>
      <c r="E3633" s="519"/>
    </row>
    <row r="3634" spans="4:5">
      <c r="D3634" s="519"/>
      <c r="E3634" s="519"/>
    </row>
    <row r="3635" spans="4:5">
      <c r="D3635" s="519"/>
      <c r="E3635" s="519"/>
    </row>
    <row r="3636" spans="4:5">
      <c r="D3636" s="519"/>
      <c r="E3636" s="519"/>
    </row>
    <row r="3637" spans="4:5">
      <c r="D3637" s="519"/>
      <c r="E3637" s="519"/>
    </row>
    <row r="3638" spans="4:5">
      <c r="D3638" s="519"/>
      <c r="E3638" s="519"/>
    </row>
    <row r="3639" spans="4:5">
      <c r="D3639" s="519"/>
      <c r="E3639" s="519"/>
    </row>
    <row r="3640" spans="4:5">
      <c r="D3640" s="519"/>
      <c r="E3640" s="519"/>
    </row>
    <row r="3641" spans="4:5">
      <c r="D3641" s="519"/>
      <c r="E3641" s="519"/>
    </row>
    <row r="3642" spans="4:5">
      <c r="D3642" s="519"/>
      <c r="E3642" s="519"/>
    </row>
    <row r="3643" spans="4:5">
      <c r="D3643" s="519"/>
      <c r="E3643" s="519"/>
    </row>
    <row r="3644" spans="4:5">
      <c r="D3644" s="519"/>
      <c r="E3644" s="519"/>
    </row>
    <row r="3645" spans="4:5">
      <c r="D3645" s="519"/>
      <c r="E3645" s="519"/>
    </row>
    <row r="3646" spans="4:5">
      <c r="D3646" s="519"/>
      <c r="E3646" s="519"/>
    </row>
    <row r="3647" spans="4:5">
      <c r="D3647" s="519"/>
      <c r="E3647" s="519"/>
    </row>
    <row r="3648" spans="4:5">
      <c r="D3648" s="519"/>
      <c r="E3648" s="519"/>
    </row>
    <row r="3649" spans="4:5">
      <c r="D3649" s="519"/>
      <c r="E3649" s="519"/>
    </row>
    <row r="3650" spans="4:5">
      <c r="D3650" s="519"/>
      <c r="E3650" s="519"/>
    </row>
    <row r="3651" spans="4:5">
      <c r="D3651" s="519"/>
      <c r="E3651" s="519"/>
    </row>
    <row r="3652" spans="4:5">
      <c r="D3652" s="519"/>
      <c r="E3652" s="519"/>
    </row>
    <row r="3653" spans="4:5">
      <c r="D3653" s="519"/>
      <c r="E3653" s="519"/>
    </row>
    <row r="3654" spans="4:5">
      <c r="D3654" s="519"/>
      <c r="E3654" s="519"/>
    </row>
    <row r="3655" spans="4:5">
      <c r="D3655" s="519"/>
      <c r="E3655" s="519"/>
    </row>
    <row r="3656" spans="4:5">
      <c r="D3656" s="519"/>
      <c r="E3656" s="519"/>
    </row>
    <row r="3657" spans="4:5">
      <c r="D3657" s="519"/>
      <c r="E3657" s="519"/>
    </row>
    <row r="3658" spans="4:5">
      <c r="D3658" s="519"/>
      <c r="E3658" s="519"/>
    </row>
    <row r="3659" spans="4:5">
      <c r="D3659" s="519"/>
      <c r="E3659" s="519"/>
    </row>
    <row r="3660" spans="4:5">
      <c r="D3660" s="519"/>
      <c r="E3660" s="519"/>
    </row>
    <row r="3661" spans="4:5">
      <c r="D3661" s="519"/>
      <c r="E3661" s="519"/>
    </row>
    <row r="3662" spans="4:5">
      <c r="D3662" s="519"/>
      <c r="E3662" s="519"/>
    </row>
    <row r="3663" spans="4:5">
      <c r="D3663" s="519"/>
      <c r="E3663" s="519"/>
    </row>
    <row r="3664" spans="4:5">
      <c r="D3664" s="519"/>
      <c r="E3664" s="519"/>
    </row>
    <row r="3665" spans="4:5">
      <c r="D3665" s="519"/>
      <c r="E3665" s="519"/>
    </row>
    <row r="3666" spans="4:5">
      <c r="D3666" s="519"/>
      <c r="E3666" s="519"/>
    </row>
    <row r="3667" spans="4:5">
      <c r="D3667" s="519"/>
      <c r="E3667" s="519"/>
    </row>
    <row r="3668" spans="4:5">
      <c r="D3668" s="519"/>
      <c r="E3668" s="519"/>
    </row>
    <row r="3669" spans="4:5">
      <c r="D3669" s="519"/>
      <c r="E3669" s="519"/>
    </row>
    <row r="3670" spans="4:5">
      <c r="D3670" s="519"/>
      <c r="E3670" s="519"/>
    </row>
    <row r="3671" spans="4:5">
      <c r="D3671" s="519"/>
      <c r="E3671" s="519"/>
    </row>
    <row r="3672" spans="4:5">
      <c r="D3672" s="519"/>
      <c r="E3672" s="519"/>
    </row>
    <row r="3673" spans="4:5">
      <c r="D3673" s="519"/>
      <c r="E3673" s="519"/>
    </row>
    <row r="3674" spans="4:5">
      <c r="D3674" s="519"/>
      <c r="E3674" s="519"/>
    </row>
    <row r="3675" spans="4:5">
      <c r="D3675" s="519"/>
      <c r="E3675" s="519"/>
    </row>
    <row r="3676" spans="4:5">
      <c r="D3676" s="519"/>
      <c r="E3676" s="519"/>
    </row>
    <row r="3677" spans="4:5">
      <c r="D3677" s="519"/>
      <c r="E3677" s="519"/>
    </row>
    <row r="3678" spans="4:5">
      <c r="D3678" s="519"/>
      <c r="E3678" s="519"/>
    </row>
    <row r="3679" spans="4:5">
      <c r="D3679" s="519"/>
      <c r="E3679" s="519"/>
    </row>
    <row r="3680" spans="4:5">
      <c r="D3680" s="519"/>
      <c r="E3680" s="519"/>
    </row>
    <row r="3681" spans="4:5">
      <c r="D3681" s="519"/>
      <c r="E3681" s="519"/>
    </row>
    <row r="3682" spans="4:5">
      <c r="D3682" s="519"/>
      <c r="E3682" s="519"/>
    </row>
    <row r="3683" spans="4:5">
      <c r="D3683" s="519"/>
      <c r="E3683" s="519"/>
    </row>
    <row r="3684" spans="4:5">
      <c r="D3684" s="519"/>
      <c r="E3684" s="519"/>
    </row>
    <row r="3685" spans="4:5">
      <c r="D3685" s="519"/>
      <c r="E3685" s="519"/>
    </row>
    <row r="3686" spans="4:5">
      <c r="D3686" s="519"/>
      <c r="E3686" s="519"/>
    </row>
    <row r="3687" spans="4:5">
      <c r="D3687" s="519"/>
      <c r="E3687" s="519"/>
    </row>
    <row r="3688" spans="4:5">
      <c r="D3688" s="519"/>
      <c r="E3688" s="519"/>
    </row>
    <row r="3689" spans="4:5">
      <c r="D3689" s="519"/>
      <c r="E3689" s="519"/>
    </row>
    <row r="3690" spans="4:5">
      <c r="D3690" s="519"/>
      <c r="E3690" s="519"/>
    </row>
    <row r="3691" spans="4:5">
      <c r="D3691" s="519"/>
      <c r="E3691" s="519"/>
    </row>
    <row r="3692" spans="4:5">
      <c r="D3692" s="519"/>
      <c r="E3692" s="519"/>
    </row>
    <row r="3693" spans="4:5">
      <c r="D3693" s="519"/>
      <c r="E3693" s="519"/>
    </row>
    <row r="3694" spans="4:5">
      <c r="D3694" s="519"/>
      <c r="E3694" s="519"/>
    </row>
    <row r="3695" spans="4:5">
      <c r="D3695" s="519"/>
      <c r="E3695" s="519"/>
    </row>
    <row r="3696" spans="4:5">
      <c r="D3696" s="519"/>
      <c r="E3696" s="519"/>
    </row>
    <row r="3697" spans="4:5">
      <c r="D3697" s="519"/>
      <c r="E3697" s="519"/>
    </row>
    <row r="3698" spans="4:5">
      <c r="D3698" s="519"/>
      <c r="E3698" s="519"/>
    </row>
    <row r="3699" spans="4:5">
      <c r="D3699" s="519"/>
      <c r="E3699" s="519"/>
    </row>
    <row r="3700" spans="4:5">
      <c r="D3700" s="519"/>
      <c r="E3700" s="519"/>
    </row>
    <row r="3701" spans="4:5">
      <c r="D3701" s="519"/>
      <c r="E3701" s="519"/>
    </row>
    <row r="3702" spans="4:5">
      <c r="D3702" s="519"/>
      <c r="E3702" s="519"/>
    </row>
    <row r="3703" spans="4:5">
      <c r="D3703" s="519"/>
      <c r="E3703" s="519"/>
    </row>
    <row r="3704" spans="4:5">
      <c r="D3704" s="519"/>
      <c r="E3704" s="519"/>
    </row>
    <row r="3705" spans="4:5">
      <c r="D3705" s="519"/>
      <c r="E3705" s="519"/>
    </row>
    <row r="3706" spans="4:5">
      <c r="D3706" s="519"/>
      <c r="E3706" s="519"/>
    </row>
    <row r="3707" spans="4:5">
      <c r="D3707" s="519"/>
      <c r="E3707" s="519"/>
    </row>
    <row r="3708" spans="4:5">
      <c r="D3708" s="519"/>
      <c r="E3708" s="519"/>
    </row>
    <row r="3709" spans="4:5">
      <c r="D3709" s="519"/>
      <c r="E3709" s="519"/>
    </row>
    <row r="3710" spans="4:5">
      <c r="D3710" s="519"/>
      <c r="E3710" s="519"/>
    </row>
    <row r="3711" spans="4:5">
      <c r="D3711" s="519"/>
      <c r="E3711" s="519"/>
    </row>
    <row r="3712" spans="4:5">
      <c r="D3712" s="519"/>
      <c r="E3712" s="519"/>
    </row>
    <row r="3713" spans="4:5">
      <c r="D3713" s="519"/>
      <c r="E3713" s="519"/>
    </row>
    <row r="3714" spans="4:5">
      <c r="D3714" s="519"/>
      <c r="E3714" s="519"/>
    </row>
    <row r="3715" spans="4:5">
      <c r="D3715" s="519"/>
      <c r="E3715" s="519"/>
    </row>
    <row r="3716" spans="4:5">
      <c r="D3716" s="519"/>
      <c r="E3716" s="519"/>
    </row>
    <row r="3717" spans="4:5">
      <c r="D3717" s="519"/>
      <c r="E3717" s="519"/>
    </row>
    <row r="3718" spans="4:5">
      <c r="D3718" s="519"/>
      <c r="E3718" s="519"/>
    </row>
    <row r="3719" spans="4:5">
      <c r="D3719" s="519"/>
      <c r="E3719" s="519"/>
    </row>
    <row r="3720" spans="4:5">
      <c r="D3720" s="519"/>
      <c r="E3720" s="519"/>
    </row>
    <row r="3721" spans="4:5">
      <c r="D3721" s="519"/>
      <c r="E3721" s="519"/>
    </row>
    <row r="3722" spans="4:5">
      <c r="D3722" s="519"/>
      <c r="E3722" s="519"/>
    </row>
    <row r="3723" spans="4:5">
      <c r="D3723" s="519"/>
      <c r="E3723" s="519"/>
    </row>
    <row r="3724" spans="4:5">
      <c r="D3724" s="519"/>
      <c r="E3724" s="519"/>
    </row>
    <row r="3725" spans="4:5">
      <c r="D3725" s="519"/>
      <c r="E3725" s="519"/>
    </row>
    <row r="3726" spans="4:5">
      <c r="D3726" s="519"/>
      <c r="E3726" s="519"/>
    </row>
    <row r="3727" spans="4:5">
      <c r="D3727" s="519"/>
      <c r="E3727" s="519"/>
    </row>
    <row r="3728" spans="4:5">
      <c r="D3728" s="519"/>
      <c r="E3728" s="519"/>
    </row>
    <row r="3729" spans="4:5">
      <c r="D3729" s="519"/>
      <c r="E3729" s="519"/>
    </row>
    <row r="3730" spans="4:5">
      <c r="D3730" s="519"/>
      <c r="E3730" s="519"/>
    </row>
    <row r="3731" spans="4:5">
      <c r="D3731" s="519"/>
      <c r="E3731" s="519"/>
    </row>
    <row r="3732" spans="4:5">
      <c r="D3732" s="519"/>
      <c r="E3732" s="519"/>
    </row>
    <row r="3733" spans="4:5">
      <c r="D3733" s="519"/>
      <c r="E3733" s="519"/>
    </row>
    <row r="3734" spans="4:5">
      <c r="D3734" s="519"/>
      <c r="E3734" s="519"/>
    </row>
    <row r="3735" spans="4:5">
      <c r="D3735" s="519"/>
      <c r="E3735" s="519"/>
    </row>
    <row r="3736" spans="4:5">
      <c r="D3736" s="519"/>
      <c r="E3736" s="519"/>
    </row>
    <row r="3737" spans="4:5">
      <c r="D3737" s="519"/>
      <c r="E3737" s="519"/>
    </row>
    <row r="3738" spans="4:5">
      <c r="D3738" s="519"/>
      <c r="E3738" s="519"/>
    </row>
    <row r="3739" spans="4:5">
      <c r="D3739" s="519"/>
      <c r="E3739" s="519"/>
    </row>
    <row r="3740" spans="4:5">
      <c r="D3740" s="519"/>
      <c r="E3740" s="519"/>
    </row>
    <row r="3741" spans="4:5">
      <c r="D3741" s="519"/>
      <c r="E3741" s="519"/>
    </row>
    <row r="3742" spans="4:5">
      <c r="D3742" s="519"/>
      <c r="E3742" s="519"/>
    </row>
    <row r="3743" spans="4:5">
      <c r="D3743" s="519"/>
      <c r="E3743" s="519"/>
    </row>
    <row r="3744" spans="4:5">
      <c r="D3744" s="519"/>
      <c r="E3744" s="519"/>
    </row>
    <row r="3745" spans="4:5">
      <c r="D3745" s="519"/>
      <c r="E3745" s="519"/>
    </row>
    <row r="3746" spans="4:5">
      <c r="D3746" s="519"/>
      <c r="E3746" s="519"/>
    </row>
    <row r="3747" spans="4:5">
      <c r="D3747" s="519"/>
      <c r="E3747" s="519"/>
    </row>
    <row r="3748" spans="4:5">
      <c r="D3748" s="519"/>
      <c r="E3748" s="519"/>
    </row>
    <row r="3749" spans="4:5">
      <c r="D3749" s="519"/>
      <c r="E3749" s="519"/>
    </row>
    <row r="3750" spans="4:5">
      <c r="D3750" s="519"/>
      <c r="E3750" s="519"/>
    </row>
    <row r="3751" spans="4:5">
      <c r="D3751" s="519"/>
      <c r="E3751" s="519"/>
    </row>
    <row r="3752" spans="4:5">
      <c r="D3752" s="519"/>
      <c r="E3752" s="519"/>
    </row>
    <row r="3753" spans="4:5">
      <c r="D3753" s="519"/>
      <c r="E3753" s="519"/>
    </row>
    <row r="3754" spans="4:5">
      <c r="D3754" s="519"/>
      <c r="E3754" s="519"/>
    </row>
    <row r="3755" spans="4:5">
      <c r="D3755" s="519"/>
      <c r="E3755" s="519"/>
    </row>
    <row r="3756" spans="4:5">
      <c r="D3756" s="519"/>
      <c r="E3756" s="519"/>
    </row>
    <row r="3757" spans="4:5">
      <c r="D3757" s="519"/>
      <c r="E3757" s="519"/>
    </row>
    <row r="3758" spans="4:5">
      <c r="D3758" s="519"/>
      <c r="E3758" s="519"/>
    </row>
    <row r="3759" spans="4:5">
      <c r="D3759" s="519"/>
      <c r="E3759" s="519"/>
    </row>
    <row r="3760" spans="4:5">
      <c r="D3760" s="519"/>
      <c r="E3760" s="519"/>
    </row>
    <row r="3761" spans="4:5">
      <c r="D3761" s="519"/>
      <c r="E3761" s="519"/>
    </row>
    <row r="3762" spans="4:5">
      <c r="D3762" s="519"/>
      <c r="E3762" s="519"/>
    </row>
    <row r="3763" spans="4:5">
      <c r="D3763" s="519"/>
      <c r="E3763" s="519"/>
    </row>
    <row r="3764" spans="4:5">
      <c r="D3764" s="519"/>
      <c r="E3764" s="519"/>
    </row>
    <row r="3765" spans="4:5">
      <c r="D3765" s="519"/>
      <c r="E3765" s="519"/>
    </row>
    <row r="3766" spans="4:5">
      <c r="D3766" s="519"/>
      <c r="E3766" s="519"/>
    </row>
    <row r="3767" spans="4:5">
      <c r="D3767" s="519"/>
      <c r="E3767" s="519"/>
    </row>
    <row r="3768" spans="4:5">
      <c r="D3768" s="519"/>
      <c r="E3768" s="519"/>
    </row>
    <row r="3769" spans="4:5">
      <c r="D3769" s="519"/>
      <c r="E3769" s="519"/>
    </row>
    <row r="3770" spans="4:5">
      <c r="D3770" s="519"/>
      <c r="E3770" s="519"/>
    </row>
    <row r="3771" spans="4:5">
      <c r="D3771" s="519"/>
      <c r="E3771" s="519"/>
    </row>
    <row r="3772" spans="4:5">
      <c r="D3772" s="519"/>
      <c r="E3772" s="519"/>
    </row>
    <row r="3773" spans="4:5">
      <c r="D3773" s="519"/>
      <c r="E3773" s="519"/>
    </row>
    <row r="3774" spans="4:5">
      <c r="D3774" s="519"/>
      <c r="E3774" s="519"/>
    </row>
    <row r="3775" spans="4:5">
      <c r="D3775" s="519"/>
      <c r="E3775" s="519"/>
    </row>
    <row r="3776" spans="4:5">
      <c r="D3776" s="519"/>
      <c r="E3776" s="519"/>
    </row>
    <row r="3777" spans="4:5">
      <c r="D3777" s="519"/>
      <c r="E3777" s="519"/>
    </row>
    <row r="3778" spans="4:5">
      <c r="D3778" s="519"/>
      <c r="E3778" s="519"/>
    </row>
    <row r="3779" spans="4:5">
      <c r="D3779" s="519"/>
      <c r="E3779" s="519"/>
    </row>
    <row r="3780" spans="4:5">
      <c r="D3780" s="519"/>
      <c r="E3780" s="519"/>
    </row>
    <row r="3781" spans="4:5">
      <c r="D3781" s="519"/>
      <c r="E3781" s="519"/>
    </row>
    <row r="3782" spans="4:5">
      <c r="D3782" s="519"/>
      <c r="E3782" s="519"/>
    </row>
    <row r="3783" spans="4:5">
      <c r="D3783" s="519"/>
      <c r="E3783" s="519"/>
    </row>
    <row r="3784" spans="4:5">
      <c r="D3784" s="519"/>
      <c r="E3784" s="519"/>
    </row>
    <row r="3785" spans="4:5">
      <c r="D3785" s="519"/>
      <c r="E3785" s="519"/>
    </row>
    <row r="3786" spans="4:5">
      <c r="D3786" s="519"/>
      <c r="E3786" s="519"/>
    </row>
    <row r="3787" spans="4:5">
      <c r="D3787" s="519"/>
      <c r="E3787" s="519"/>
    </row>
    <row r="3788" spans="4:5">
      <c r="D3788" s="519"/>
      <c r="E3788" s="519"/>
    </row>
    <row r="3789" spans="4:5">
      <c r="D3789" s="519"/>
      <c r="E3789" s="519"/>
    </row>
    <row r="3790" spans="4:5">
      <c r="D3790" s="519"/>
      <c r="E3790" s="519"/>
    </row>
    <row r="3791" spans="4:5">
      <c r="D3791" s="519"/>
      <c r="E3791" s="519"/>
    </row>
    <row r="3792" spans="4:5">
      <c r="D3792" s="519"/>
      <c r="E3792" s="519"/>
    </row>
    <row r="3793" spans="4:5">
      <c r="D3793" s="519"/>
      <c r="E3793" s="519"/>
    </row>
    <row r="3794" spans="4:5">
      <c r="D3794" s="519"/>
      <c r="E3794" s="519"/>
    </row>
    <row r="3795" spans="4:5">
      <c r="D3795" s="519"/>
      <c r="E3795" s="519"/>
    </row>
    <row r="3796" spans="4:5">
      <c r="D3796" s="519"/>
      <c r="E3796" s="519"/>
    </row>
    <row r="3797" spans="4:5">
      <c r="D3797" s="519"/>
      <c r="E3797" s="519"/>
    </row>
    <row r="3798" spans="4:5">
      <c r="D3798" s="519"/>
      <c r="E3798" s="519"/>
    </row>
    <row r="3799" spans="4:5">
      <c r="D3799" s="519"/>
      <c r="E3799" s="519"/>
    </row>
    <row r="3800" spans="4:5">
      <c r="D3800" s="519"/>
      <c r="E3800" s="519"/>
    </row>
    <row r="3801" spans="4:5">
      <c r="D3801" s="519"/>
      <c r="E3801" s="519"/>
    </row>
    <row r="3802" spans="4:5">
      <c r="D3802" s="519"/>
      <c r="E3802" s="519"/>
    </row>
    <row r="3803" spans="4:5">
      <c r="D3803" s="519"/>
      <c r="E3803" s="519"/>
    </row>
    <row r="3804" spans="4:5">
      <c r="D3804" s="519"/>
      <c r="E3804" s="519"/>
    </row>
    <row r="3805" spans="4:5">
      <c r="D3805" s="519"/>
      <c r="E3805" s="519"/>
    </row>
    <row r="3806" spans="4:5">
      <c r="D3806" s="519"/>
      <c r="E3806" s="519"/>
    </row>
    <row r="3807" spans="4:5">
      <c r="D3807" s="519"/>
      <c r="E3807" s="519"/>
    </row>
    <row r="3808" spans="4:5">
      <c r="D3808" s="519"/>
      <c r="E3808" s="519"/>
    </row>
    <row r="3809" spans="4:5">
      <c r="D3809" s="519"/>
      <c r="E3809" s="519"/>
    </row>
    <row r="3810" spans="4:5">
      <c r="D3810" s="519"/>
      <c r="E3810" s="519"/>
    </row>
    <row r="3811" spans="4:5">
      <c r="D3811" s="519"/>
      <c r="E3811" s="519"/>
    </row>
    <row r="3812" spans="4:5">
      <c r="D3812" s="519"/>
      <c r="E3812" s="519"/>
    </row>
    <row r="3813" spans="4:5">
      <c r="D3813" s="519"/>
      <c r="E3813" s="519"/>
    </row>
    <row r="3814" spans="4:5">
      <c r="D3814" s="519"/>
      <c r="E3814" s="519"/>
    </row>
    <row r="3815" spans="4:5">
      <c r="D3815" s="519"/>
      <c r="E3815" s="519"/>
    </row>
    <row r="3816" spans="4:5">
      <c r="D3816" s="519"/>
      <c r="E3816" s="519"/>
    </row>
    <row r="3817" spans="4:5">
      <c r="D3817" s="519"/>
      <c r="E3817" s="519"/>
    </row>
    <row r="3818" spans="4:5">
      <c r="D3818" s="519"/>
      <c r="E3818" s="519"/>
    </row>
    <row r="3819" spans="4:5">
      <c r="D3819" s="519"/>
      <c r="E3819" s="519"/>
    </row>
    <row r="3820" spans="4:5">
      <c r="D3820" s="519"/>
      <c r="E3820" s="519"/>
    </row>
    <row r="3821" spans="4:5">
      <c r="D3821" s="519"/>
      <c r="E3821" s="519"/>
    </row>
    <row r="3822" spans="4:5">
      <c r="D3822" s="519"/>
      <c r="E3822" s="519"/>
    </row>
    <row r="3823" spans="4:5">
      <c r="D3823" s="519"/>
      <c r="E3823" s="519"/>
    </row>
    <row r="3824" spans="4:5">
      <c r="D3824" s="519"/>
      <c r="E3824" s="519"/>
    </row>
    <row r="3825" spans="4:5">
      <c r="D3825" s="519"/>
      <c r="E3825" s="519"/>
    </row>
    <row r="3826" spans="4:5">
      <c r="D3826" s="519"/>
      <c r="E3826" s="519"/>
    </row>
    <row r="3827" spans="4:5">
      <c r="D3827" s="519"/>
      <c r="E3827" s="519"/>
    </row>
    <row r="3828" spans="4:5">
      <c r="D3828" s="519"/>
      <c r="E3828" s="519"/>
    </row>
    <row r="3829" spans="4:5">
      <c r="D3829" s="519"/>
      <c r="E3829" s="519"/>
    </row>
    <row r="3830" spans="4:5">
      <c r="D3830" s="519"/>
      <c r="E3830" s="519"/>
    </row>
    <row r="3831" spans="4:5">
      <c r="D3831" s="519"/>
      <c r="E3831" s="519"/>
    </row>
    <row r="3832" spans="4:5">
      <c r="D3832" s="519"/>
      <c r="E3832" s="519"/>
    </row>
    <row r="3833" spans="4:5">
      <c r="D3833" s="519"/>
      <c r="E3833" s="519"/>
    </row>
    <row r="3834" spans="4:5">
      <c r="D3834" s="519"/>
      <c r="E3834" s="519"/>
    </row>
    <row r="3835" spans="4:5">
      <c r="D3835" s="519"/>
      <c r="E3835" s="519"/>
    </row>
    <row r="3836" spans="4:5">
      <c r="D3836" s="519"/>
      <c r="E3836" s="519"/>
    </row>
    <row r="3837" spans="4:5">
      <c r="D3837" s="519"/>
      <c r="E3837" s="519"/>
    </row>
    <row r="3838" spans="4:5">
      <c r="D3838" s="519"/>
      <c r="E3838" s="519"/>
    </row>
    <row r="3839" spans="4:5">
      <c r="D3839" s="519"/>
      <c r="E3839" s="519"/>
    </row>
    <row r="3840" spans="4:5">
      <c r="D3840" s="519"/>
      <c r="E3840" s="519"/>
    </row>
    <row r="3841" spans="4:5">
      <c r="D3841" s="519"/>
      <c r="E3841" s="519"/>
    </row>
    <row r="3842" spans="4:5">
      <c r="D3842" s="519"/>
      <c r="E3842" s="519"/>
    </row>
    <row r="3843" spans="4:5">
      <c r="D3843" s="519"/>
      <c r="E3843" s="519"/>
    </row>
    <row r="3844" spans="4:5">
      <c r="D3844" s="519"/>
      <c r="E3844" s="519"/>
    </row>
    <row r="3845" spans="4:5">
      <c r="D3845" s="519"/>
      <c r="E3845" s="519"/>
    </row>
    <row r="3846" spans="4:5">
      <c r="D3846" s="519"/>
      <c r="E3846" s="519"/>
    </row>
    <row r="3847" spans="4:5">
      <c r="D3847" s="519"/>
      <c r="E3847" s="519"/>
    </row>
    <row r="3848" spans="4:5">
      <c r="D3848" s="519"/>
      <c r="E3848" s="519"/>
    </row>
    <row r="3849" spans="4:5">
      <c r="D3849" s="519"/>
      <c r="E3849" s="519"/>
    </row>
    <row r="3850" spans="4:5">
      <c r="D3850" s="519"/>
      <c r="E3850" s="519"/>
    </row>
    <row r="3851" spans="4:5">
      <c r="D3851" s="519"/>
      <c r="E3851" s="519"/>
    </row>
    <row r="3852" spans="4:5">
      <c r="D3852" s="519"/>
      <c r="E3852" s="519"/>
    </row>
    <row r="3853" spans="4:5">
      <c r="D3853" s="519"/>
      <c r="E3853" s="519"/>
    </row>
    <row r="3854" spans="4:5">
      <c r="D3854" s="519"/>
      <c r="E3854" s="519"/>
    </row>
    <row r="3855" spans="4:5">
      <c r="D3855" s="519"/>
      <c r="E3855" s="519"/>
    </row>
    <row r="3856" spans="4:5">
      <c r="D3856" s="519"/>
      <c r="E3856" s="519"/>
    </row>
    <row r="3857" spans="4:5">
      <c r="D3857" s="519"/>
      <c r="E3857" s="519"/>
    </row>
    <row r="3858" spans="4:5">
      <c r="D3858" s="519"/>
      <c r="E3858" s="519"/>
    </row>
    <row r="3859" spans="4:5">
      <c r="D3859" s="519"/>
      <c r="E3859" s="519"/>
    </row>
    <row r="3860" spans="4:5">
      <c r="D3860" s="519"/>
      <c r="E3860" s="519"/>
    </row>
    <row r="3861" spans="4:5">
      <c r="D3861" s="519"/>
      <c r="E3861" s="519"/>
    </row>
    <row r="3862" spans="4:5">
      <c r="D3862" s="519"/>
      <c r="E3862" s="519"/>
    </row>
    <row r="3863" spans="4:5">
      <c r="D3863" s="519"/>
      <c r="E3863" s="519"/>
    </row>
    <row r="3864" spans="4:5">
      <c r="D3864" s="519"/>
      <c r="E3864" s="519"/>
    </row>
    <row r="3865" spans="4:5">
      <c r="D3865" s="519"/>
      <c r="E3865" s="519"/>
    </row>
    <row r="3866" spans="4:5">
      <c r="D3866" s="519"/>
      <c r="E3866" s="519"/>
    </row>
    <row r="3867" spans="4:5">
      <c r="D3867" s="519"/>
      <c r="E3867" s="519"/>
    </row>
    <row r="3868" spans="4:5">
      <c r="D3868" s="519"/>
      <c r="E3868" s="519"/>
    </row>
    <row r="3869" spans="4:5">
      <c r="D3869" s="519"/>
      <c r="E3869" s="519"/>
    </row>
    <row r="3870" spans="4:5">
      <c r="D3870" s="519"/>
      <c r="E3870" s="519"/>
    </row>
    <row r="3871" spans="4:5">
      <c r="D3871" s="519"/>
      <c r="E3871" s="519"/>
    </row>
    <row r="3872" spans="4:5">
      <c r="D3872" s="519"/>
      <c r="E3872" s="519"/>
    </row>
    <row r="3873" spans="4:5">
      <c r="D3873" s="519"/>
      <c r="E3873" s="519"/>
    </row>
    <row r="3874" spans="4:5">
      <c r="D3874" s="519"/>
      <c r="E3874" s="519"/>
    </row>
    <row r="3875" spans="4:5">
      <c r="D3875" s="519"/>
      <c r="E3875" s="519"/>
    </row>
    <row r="3876" spans="4:5">
      <c r="D3876" s="519"/>
      <c r="E3876" s="519"/>
    </row>
    <row r="3877" spans="4:5">
      <c r="D3877" s="519"/>
      <c r="E3877" s="519"/>
    </row>
    <row r="3878" spans="4:5">
      <c r="D3878" s="519"/>
      <c r="E3878" s="519"/>
    </row>
    <row r="3879" spans="4:5">
      <c r="D3879" s="519"/>
      <c r="E3879" s="519"/>
    </row>
    <row r="3880" spans="4:5">
      <c r="D3880" s="519"/>
      <c r="E3880" s="519"/>
    </row>
    <row r="3881" spans="4:5">
      <c r="D3881" s="519"/>
      <c r="E3881" s="519"/>
    </row>
    <row r="3882" spans="4:5">
      <c r="D3882" s="519"/>
      <c r="E3882" s="519"/>
    </row>
    <row r="3883" spans="4:5">
      <c r="D3883" s="519"/>
      <c r="E3883" s="519"/>
    </row>
    <row r="3884" spans="4:5">
      <c r="D3884" s="519"/>
      <c r="E3884" s="519"/>
    </row>
    <row r="3885" spans="4:5">
      <c r="D3885" s="519"/>
      <c r="E3885" s="519"/>
    </row>
    <row r="3886" spans="4:5">
      <c r="D3886" s="519"/>
      <c r="E3886" s="519"/>
    </row>
    <row r="3887" spans="4:5">
      <c r="D3887" s="519"/>
      <c r="E3887" s="519"/>
    </row>
    <row r="3888" spans="4:5">
      <c r="D3888" s="519"/>
      <c r="E3888" s="519"/>
    </row>
    <row r="3889" spans="4:5">
      <c r="D3889" s="519"/>
      <c r="E3889" s="519"/>
    </row>
    <row r="3890" spans="4:5">
      <c r="D3890" s="519"/>
      <c r="E3890" s="519"/>
    </row>
    <row r="3891" spans="4:5">
      <c r="D3891" s="519"/>
      <c r="E3891" s="519"/>
    </row>
    <row r="3892" spans="4:5">
      <c r="D3892" s="519"/>
      <c r="E3892" s="519"/>
    </row>
    <row r="3893" spans="4:5">
      <c r="D3893" s="519"/>
      <c r="E3893" s="519"/>
    </row>
    <row r="3894" spans="4:5">
      <c r="D3894" s="519"/>
      <c r="E3894" s="519"/>
    </row>
    <row r="3895" spans="4:5">
      <c r="D3895" s="519"/>
      <c r="E3895" s="519"/>
    </row>
    <row r="3896" spans="4:5">
      <c r="D3896" s="519"/>
      <c r="E3896" s="519"/>
    </row>
    <row r="3897" spans="4:5">
      <c r="D3897" s="519"/>
      <c r="E3897" s="519"/>
    </row>
    <row r="3898" spans="4:5">
      <c r="D3898" s="519"/>
      <c r="E3898" s="519"/>
    </row>
    <row r="3899" spans="4:5">
      <c r="D3899" s="519"/>
      <c r="E3899" s="519"/>
    </row>
    <row r="3900" spans="4:5">
      <c r="D3900" s="519"/>
      <c r="E3900" s="519"/>
    </row>
    <row r="3901" spans="4:5">
      <c r="D3901" s="519"/>
      <c r="E3901" s="519"/>
    </row>
    <row r="3902" spans="4:5">
      <c r="D3902" s="519"/>
      <c r="E3902" s="519"/>
    </row>
    <row r="3903" spans="4:5">
      <c r="D3903" s="519"/>
      <c r="E3903" s="519"/>
    </row>
    <row r="3904" spans="4:5">
      <c r="D3904" s="519"/>
      <c r="E3904" s="519"/>
    </row>
    <row r="3905" spans="4:5">
      <c r="D3905" s="519"/>
      <c r="E3905" s="519"/>
    </row>
    <row r="3906" spans="4:5">
      <c r="D3906" s="519"/>
      <c r="E3906" s="519"/>
    </row>
    <row r="3907" spans="4:5">
      <c r="D3907" s="519"/>
      <c r="E3907" s="519"/>
    </row>
    <row r="3908" spans="4:5">
      <c r="D3908" s="519"/>
      <c r="E3908" s="519"/>
    </row>
    <row r="3909" spans="4:5">
      <c r="D3909" s="519"/>
      <c r="E3909" s="519"/>
    </row>
    <row r="3910" spans="4:5">
      <c r="D3910" s="519"/>
      <c r="E3910" s="519"/>
    </row>
    <row r="3911" spans="4:5">
      <c r="D3911" s="519"/>
      <c r="E3911" s="519"/>
    </row>
    <row r="3912" spans="4:5">
      <c r="D3912" s="519"/>
      <c r="E3912" s="519"/>
    </row>
    <row r="3913" spans="4:5">
      <c r="D3913" s="519"/>
      <c r="E3913" s="519"/>
    </row>
    <row r="3914" spans="4:5">
      <c r="D3914" s="519"/>
      <c r="E3914" s="519"/>
    </row>
    <row r="3915" spans="4:5">
      <c r="D3915" s="519"/>
      <c r="E3915" s="519"/>
    </row>
    <row r="3916" spans="4:5">
      <c r="D3916" s="519"/>
      <c r="E3916" s="519"/>
    </row>
    <row r="3917" spans="4:5">
      <c r="D3917" s="519"/>
      <c r="E3917" s="519"/>
    </row>
    <row r="3918" spans="4:5">
      <c r="D3918" s="519"/>
      <c r="E3918" s="519"/>
    </row>
    <row r="3919" spans="4:5">
      <c r="D3919" s="519"/>
      <c r="E3919" s="519"/>
    </row>
    <row r="3920" spans="4:5">
      <c r="D3920" s="519"/>
      <c r="E3920" s="519"/>
    </row>
    <row r="3921" spans="4:5">
      <c r="D3921" s="519"/>
      <c r="E3921" s="519"/>
    </row>
    <row r="3922" spans="4:5">
      <c r="D3922" s="519"/>
      <c r="E3922" s="519"/>
    </row>
    <row r="3923" spans="4:5">
      <c r="D3923" s="519"/>
      <c r="E3923" s="519"/>
    </row>
    <row r="3924" spans="4:5">
      <c r="D3924" s="519"/>
      <c r="E3924" s="519"/>
    </row>
    <row r="3925" spans="4:5">
      <c r="D3925" s="519"/>
      <c r="E3925" s="519"/>
    </row>
    <row r="3926" spans="4:5">
      <c r="D3926" s="519"/>
      <c r="E3926" s="519"/>
    </row>
    <row r="3927" spans="4:5">
      <c r="D3927" s="519"/>
      <c r="E3927" s="519"/>
    </row>
    <row r="3928" spans="4:5">
      <c r="D3928" s="519"/>
      <c r="E3928" s="519"/>
    </row>
    <row r="3929" spans="4:5">
      <c r="D3929" s="519"/>
      <c r="E3929" s="519"/>
    </row>
    <row r="3930" spans="4:5">
      <c r="D3930" s="519"/>
      <c r="E3930" s="519"/>
    </row>
    <row r="3931" spans="4:5">
      <c r="D3931" s="519"/>
      <c r="E3931" s="519"/>
    </row>
    <row r="3932" spans="4:5">
      <c r="D3932" s="519"/>
      <c r="E3932" s="519"/>
    </row>
    <row r="3933" spans="4:5">
      <c r="D3933" s="519"/>
      <c r="E3933" s="519"/>
    </row>
    <row r="3934" spans="4:5">
      <c r="D3934" s="519"/>
      <c r="E3934" s="519"/>
    </row>
    <row r="3935" spans="4:5">
      <c r="D3935" s="519"/>
      <c r="E3935" s="519"/>
    </row>
    <row r="3936" spans="4:5">
      <c r="D3936" s="519"/>
      <c r="E3936" s="519"/>
    </row>
    <row r="3937" spans="4:5">
      <c r="D3937" s="519"/>
      <c r="E3937" s="519"/>
    </row>
    <row r="3938" spans="4:5">
      <c r="D3938" s="519"/>
      <c r="E3938" s="519"/>
    </row>
    <row r="3939" spans="4:5">
      <c r="D3939" s="519"/>
      <c r="E3939" s="519"/>
    </row>
    <row r="3940" spans="4:5">
      <c r="D3940" s="519"/>
      <c r="E3940" s="519"/>
    </row>
    <row r="3941" spans="4:5">
      <c r="D3941" s="519"/>
      <c r="E3941" s="519"/>
    </row>
    <row r="3942" spans="4:5">
      <c r="D3942" s="519"/>
      <c r="E3942" s="519"/>
    </row>
    <row r="3943" spans="4:5">
      <c r="D3943" s="519"/>
      <c r="E3943" s="519"/>
    </row>
    <row r="3944" spans="4:5">
      <c r="D3944" s="519"/>
      <c r="E3944" s="519"/>
    </row>
    <row r="3945" spans="4:5">
      <c r="D3945" s="519"/>
      <c r="E3945" s="519"/>
    </row>
    <row r="3946" spans="4:5">
      <c r="D3946" s="519"/>
      <c r="E3946" s="519"/>
    </row>
    <row r="3947" spans="4:5">
      <c r="D3947" s="519"/>
      <c r="E3947" s="519"/>
    </row>
    <row r="3948" spans="4:5">
      <c r="D3948" s="519"/>
      <c r="E3948" s="519"/>
    </row>
    <row r="3949" spans="4:5">
      <c r="D3949" s="519"/>
      <c r="E3949" s="519"/>
    </row>
    <row r="3950" spans="4:5">
      <c r="D3950" s="519"/>
      <c r="E3950" s="519"/>
    </row>
    <row r="3951" spans="4:5">
      <c r="D3951" s="519"/>
      <c r="E3951" s="519"/>
    </row>
    <row r="3952" spans="4:5">
      <c r="D3952" s="519"/>
      <c r="E3952" s="519"/>
    </row>
    <row r="3953" spans="4:5">
      <c r="D3953" s="519"/>
      <c r="E3953" s="519"/>
    </row>
    <row r="3954" spans="4:5">
      <c r="D3954" s="519"/>
      <c r="E3954" s="519"/>
    </row>
    <row r="3955" spans="4:5">
      <c r="D3955" s="519"/>
      <c r="E3955" s="519"/>
    </row>
    <row r="3956" spans="4:5">
      <c r="D3956" s="519"/>
      <c r="E3956" s="519"/>
    </row>
    <row r="3957" spans="4:5">
      <c r="D3957" s="519"/>
      <c r="E3957" s="519"/>
    </row>
    <row r="3958" spans="4:5">
      <c r="D3958" s="519"/>
      <c r="E3958" s="519"/>
    </row>
    <row r="3959" spans="4:5">
      <c r="D3959" s="519"/>
      <c r="E3959" s="519"/>
    </row>
    <row r="3960" spans="4:5">
      <c r="D3960" s="519"/>
      <c r="E3960" s="519"/>
    </row>
    <row r="3961" spans="4:5">
      <c r="D3961" s="519"/>
      <c r="E3961" s="519"/>
    </row>
    <row r="3962" spans="4:5">
      <c r="D3962" s="519"/>
      <c r="E3962" s="519"/>
    </row>
    <row r="3963" spans="4:5">
      <c r="D3963" s="519"/>
      <c r="E3963" s="519"/>
    </row>
    <row r="3964" spans="4:5">
      <c r="D3964" s="519"/>
      <c r="E3964" s="519"/>
    </row>
    <row r="3965" spans="4:5">
      <c r="D3965" s="519"/>
      <c r="E3965" s="519"/>
    </row>
    <row r="3966" spans="4:5">
      <c r="D3966" s="519"/>
      <c r="E3966" s="519"/>
    </row>
    <row r="3967" spans="4:5">
      <c r="D3967" s="519"/>
      <c r="E3967" s="519"/>
    </row>
    <row r="3968" spans="4:5">
      <c r="D3968" s="519"/>
      <c r="E3968" s="519"/>
    </row>
    <row r="3969" spans="4:5">
      <c r="D3969" s="519"/>
      <c r="E3969" s="519"/>
    </row>
    <row r="3970" spans="4:5">
      <c r="D3970" s="519"/>
      <c r="E3970" s="519"/>
    </row>
    <row r="3971" spans="4:5">
      <c r="D3971" s="519"/>
      <c r="E3971" s="519"/>
    </row>
    <row r="3972" spans="4:5">
      <c r="D3972" s="519"/>
      <c r="E3972" s="519"/>
    </row>
    <row r="3973" spans="4:5">
      <c r="D3973" s="519"/>
      <c r="E3973" s="519"/>
    </row>
    <row r="3974" spans="4:5">
      <c r="D3974" s="519"/>
      <c r="E3974" s="519"/>
    </row>
    <row r="3975" spans="4:5">
      <c r="D3975" s="519"/>
      <c r="E3975" s="519"/>
    </row>
    <row r="3976" spans="4:5">
      <c r="D3976" s="519"/>
      <c r="E3976" s="519"/>
    </row>
    <row r="3977" spans="4:5">
      <c r="D3977" s="519"/>
      <c r="E3977" s="519"/>
    </row>
    <row r="3978" spans="4:5">
      <c r="D3978" s="519"/>
      <c r="E3978" s="519"/>
    </row>
    <row r="3979" spans="4:5">
      <c r="D3979" s="519"/>
      <c r="E3979" s="519"/>
    </row>
    <row r="3980" spans="4:5">
      <c r="D3980" s="519"/>
      <c r="E3980" s="519"/>
    </row>
    <row r="3981" spans="4:5">
      <c r="D3981" s="519"/>
      <c r="E3981" s="519"/>
    </row>
    <row r="3982" spans="4:5">
      <c r="D3982" s="519"/>
      <c r="E3982" s="519"/>
    </row>
    <row r="3983" spans="4:5">
      <c r="D3983" s="519"/>
      <c r="E3983" s="519"/>
    </row>
    <row r="3984" spans="4:5">
      <c r="D3984" s="519"/>
      <c r="E3984" s="519"/>
    </row>
    <row r="3985" spans="4:5">
      <c r="D3985" s="519"/>
      <c r="E3985" s="519"/>
    </row>
    <row r="3986" spans="4:5">
      <c r="D3986" s="519"/>
      <c r="E3986" s="519"/>
    </row>
    <row r="3987" spans="4:5">
      <c r="D3987" s="519"/>
      <c r="E3987" s="519"/>
    </row>
    <row r="3988" spans="4:5">
      <c r="D3988" s="519"/>
      <c r="E3988" s="519"/>
    </row>
    <row r="3989" spans="4:5">
      <c r="D3989" s="519"/>
      <c r="E3989" s="519"/>
    </row>
    <row r="3990" spans="4:5">
      <c r="D3990" s="519"/>
      <c r="E3990" s="519"/>
    </row>
    <row r="3991" spans="4:5">
      <c r="D3991" s="519"/>
      <c r="E3991" s="519"/>
    </row>
    <row r="3992" spans="4:5">
      <c r="D3992" s="519"/>
      <c r="E3992" s="519"/>
    </row>
    <row r="3993" spans="4:5">
      <c r="D3993" s="519"/>
      <c r="E3993" s="519"/>
    </row>
    <row r="3994" spans="4:5">
      <c r="D3994" s="519"/>
      <c r="E3994" s="519"/>
    </row>
    <row r="3995" spans="4:5">
      <c r="D3995" s="519"/>
      <c r="E3995" s="519"/>
    </row>
    <row r="3996" spans="4:5">
      <c r="D3996" s="519"/>
      <c r="E3996" s="519"/>
    </row>
    <row r="3997" spans="4:5">
      <c r="D3997" s="519"/>
      <c r="E3997" s="519"/>
    </row>
    <row r="3998" spans="4:5">
      <c r="D3998" s="519"/>
      <c r="E3998" s="519"/>
    </row>
    <row r="3999" spans="4:5">
      <c r="D3999" s="519"/>
      <c r="E3999" s="519"/>
    </row>
    <row r="4000" spans="4:5">
      <c r="D4000" s="519"/>
      <c r="E4000" s="519"/>
    </row>
    <row r="4001" spans="4:5">
      <c r="D4001" s="519"/>
      <c r="E4001" s="519"/>
    </row>
    <row r="4002" spans="4:5">
      <c r="D4002" s="519"/>
      <c r="E4002" s="519"/>
    </row>
    <row r="4003" spans="4:5">
      <c r="D4003" s="519"/>
      <c r="E4003" s="519"/>
    </row>
    <row r="4004" spans="4:5">
      <c r="D4004" s="519"/>
      <c r="E4004" s="519"/>
    </row>
    <row r="4005" spans="4:5">
      <c r="D4005" s="519"/>
      <c r="E4005" s="519"/>
    </row>
    <row r="4006" spans="4:5">
      <c r="D4006" s="519"/>
      <c r="E4006" s="519"/>
    </row>
    <row r="4007" spans="4:5">
      <c r="D4007" s="519"/>
      <c r="E4007" s="519"/>
    </row>
    <row r="4008" spans="4:5">
      <c r="D4008" s="519"/>
      <c r="E4008" s="519"/>
    </row>
    <row r="4009" spans="4:5">
      <c r="D4009" s="519"/>
      <c r="E4009" s="519"/>
    </row>
    <row r="4010" spans="4:5">
      <c r="D4010" s="519"/>
      <c r="E4010" s="519"/>
    </row>
    <row r="4011" spans="4:5">
      <c r="D4011" s="519"/>
      <c r="E4011" s="519"/>
    </row>
    <row r="4012" spans="4:5">
      <c r="D4012" s="519"/>
      <c r="E4012" s="519"/>
    </row>
    <row r="4013" spans="4:5">
      <c r="D4013" s="519"/>
      <c r="E4013" s="519"/>
    </row>
    <row r="4014" spans="4:5">
      <c r="D4014" s="519"/>
      <c r="E4014" s="519"/>
    </row>
    <row r="4015" spans="4:5">
      <c r="D4015" s="519"/>
      <c r="E4015" s="519"/>
    </row>
    <row r="4016" spans="4:5">
      <c r="D4016" s="519"/>
      <c r="E4016" s="519"/>
    </row>
    <row r="4017" spans="4:5">
      <c r="D4017" s="519"/>
      <c r="E4017" s="519"/>
    </row>
    <row r="4018" spans="4:5">
      <c r="D4018" s="519"/>
      <c r="E4018" s="519"/>
    </row>
    <row r="4019" spans="4:5">
      <c r="D4019" s="519"/>
      <c r="E4019" s="519"/>
    </row>
    <row r="4020" spans="4:5">
      <c r="D4020" s="519"/>
      <c r="E4020" s="519"/>
    </row>
    <row r="4021" spans="4:5">
      <c r="D4021" s="519"/>
      <c r="E4021" s="519"/>
    </row>
    <row r="4022" spans="4:5">
      <c r="D4022" s="519"/>
      <c r="E4022" s="519"/>
    </row>
    <row r="4023" spans="4:5">
      <c r="D4023" s="519"/>
      <c r="E4023" s="519"/>
    </row>
    <row r="4024" spans="4:5">
      <c r="D4024" s="519"/>
      <c r="E4024" s="519"/>
    </row>
    <row r="4025" spans="4:5">
      <c r="D4025" s="519"/>
      <c r="E4025" s="519"/>
    </row>
    <row r="4026" spans="4:5">
      <c r="D4026" s="519"/>
      <c r="E4026" s="519"/>
    </row>
    <row r="4027" spans="4:5">
      <c r="D4027" s="519"/>
      <c r="E4027" s="519"/>
    </row>
    <row r="4028" spans="4:5">
      <c r="D4028" s="519"/>
      <c r="E4028" s="519"/>
    </row>
    <row r="4029" spans="4:5">
      <c r="D4029" s="519"/>
      <c r="E4029" s="519"/>
    </row>
    <row r="4030" spans="4:5">
      <c r="D4030" s="519"/>
      <c r="E4030" s="519"/>
    </row>
    <row r="4031" spans="4:5">
      <c r="D4031" s="519"/>
      <c r="E4031" s="519"/>
    </row>
    <row r="4032" spans="4:5">
      <c r="D4032" s="519"/>
      <c r="E4032" s="519"/>
    </row>
    <row r="4033" spans="4:5">
      <c r="D4033" s="519"/>
      <c r="E4033" s="519"/>
    </row>
    <row r="4034" spans="4:5">
      <c r="D4034" s="519"/>
      <c r="E4034" s="519"/>
    </row>
    <row r="4035" spans="4:5">
      <c r="D4035" s="519"/>
      <c r="E4035" s="519"/>
    </row>
    <row r="4036" spans="4:5">
      <c r="D4036" s="519"/>
      <c r="E4036" s="519"/>
    </row>
    <row r="4037" spans="4:5">
      <c r="D4037" s="519"/>
      <c r="E4037" s="519"/>
    </row>
    <row r="4038" spans="4:5">
      <c r="D4038" s="519"/>
      <c r="E4038" s="519"/>
    </row>
    <row r="4039" spans="4:5">
      <c r="D4039" s="519"/>
      <c r="E4039" s="519"/>
    </row>
    <row r="4040" spans="4:5">
      <c r="D4040" s="519"/>
      <c r="E4040" s="519"/>
    </row>
    <row r="4041" spans="4:5">
      <c r="D4041" s="519"/>
      <c r="E4041" s="519"/>
    </row>
    <row r="4042" spans="4:5">
      <c r="D4042" s="519"/>
      <c r="E4042" s="519"/>
    </row>
    <row r="4043" spans="4:5">
      <c r="D4043" s="519"/>
      <c r="E4043" s="519"/>
    </row>
    <row r="4044" spans="4:5">
      <c r="D4044" s="519"/>
      <c r="E4044" s="519"/>
    </row>
    <row r="4045" spans="4:5">
      <c r="D4045" s="519"/>
      <c r="E4045" s="519"/>
    </row>
    <row r="4046" spans="4:5">
      <c r="D4046" s="519"/>
      <c r="E4046" s="519"/>
    </row>
    <row r="4047" spans="4:5">
      <c r="D4047" s="519"/>
      <c r="E4047" s="519"/>
    </row>
    <row r="4048" spans="4:5">
      <c r="D4048" s="519"/>
      <c r="E4048" s="519"/>
    </row>
    <row r="4049" spans="4:5">
      <c r="D4049" s="519"/>
      <c r="E4049" s="519"/>
    </row>
    <row r="4050" spans="4:5">
      <c r="D4050" s="519"/>
      <c r="E4050" s="519"/>
    </row>
    <row r="4051" spans="4:5">
      <c r="D4051" s="519"/>
      <c r="E4051" s="519"/>
    </row>
    <row r="4052" spans="4:5">
      <c r="D4052" s="519"/>
      <c r="E4052" s="519"/>
    </row>
    <row r="4053" spans="4:5">
      <c r="D4053" s="519"/>
      <c r="E4053" s="519"/>
    </row>
    <row r="4054" spans="4:5">
      <c r="D4054" s="519"/>
      <c r="E4054" s="519"/>
    </row>
    <row r="4055" spans="4:5">
      <c r="D4055" s="519"/>
      <c r="E4055" s="519"/>
    </row>
    <row r="4056" spans="4:5">
      <c r="D4056" s="519"/>
      <c r="E4056" s="519"/>
    </row>
    <row r="4057" spans="4:5">
      <c r="D4057" s="519"/>
      <c r="E4057" s="519"/>
    </row>
    <row r="4058" spans="4:5">
      <c r="D4058" s="519"/>
      <c r="E4058" s="519"/>
    </row>
    <row r="4059" spans="4:5">
      <c r="D4059" s="519"/>
      <c r="E4059" s="519"/>
    </row>
    <row r="4060" spans="4:5">
      <c r="D4060" s="519"/>
      <c r="E4060" s="519"/>
    </row>
    <row r="4061" spans="4:5">
      <c r="D4061" s="519"/>
      <c r="E4061" s="519"/>
    </row>
    <row r="4062" spans="4:5">
      <c r="D4062" s="519"/>
      <c r="E4062" s="519"/>
    </row>
    <row r="4063" spans="4:5">
      <c r="D4063" s="519"/>
      <c r="E4063" s="519"/>
    </row>
    <row r="4064" spans="4:5">
      <c r="D4064" s="519"/>
      <c r="E4064" s="519"/>
    </row>
    <row r="4065" spans="4:5">
      <c r="D4065" s="519"/>
      <c r="E4065" s="519"/>
    </row>
    <row r="4066" spans="4:5">
      <c r="D4066" s="519"/>
      <c r="E4066" s="519"/>
    </row>
    <row r="4067" spans="4:5">
      <c r="D4067" s="519"/>
      <c r="E4067" s="519"/>
    </row>
    <row r="4068" spans="4:5">
      <c r="D4068" s="519"/>
      <c r="E4068" s="519"/>
    </row>
    <row r="4069" spans="4:5">
      <c r="D4069" s="519"/>
      <c r="E4069" s="519"/>
    </row>
    <row r="4070" spans="4:5">
      <c r="D4070" s="519"/>
      <c r="E4070" s="519"/>
    </row>
    <row r="4071" spans="4:5">
      <c r="D4071" s="519"/>
      <c r="E4071" s="519"/>
    </row>
    <row r="4072" spans="4:5">
      <c r="D4072" s="519"/>
      <c r="E4072" s="519"/>
    </row>
    <row r="4073" spans="4:5">
      <c r="D4073" s="519"/>
      <c r="E4073" s="519"/>
    </row>
    <row r="4074" spans="4:5">
      <c r="D4074" s="519"/>
      <c r="E4074" s="519"/>
    </row>
    <row r="4075" spans="4:5">
      <c r="D4075" s="519"/>
      <c r="E4075" s="519"/>
    </row>
    <row r="4076" spans="4:5">
      <c r="D4076" s="519"/>
      <c r="E4076" s="519"/>
    </row>
    <row r="4077" spans="4:5">
      <c r="D4077" s="519"/>
      <c r="E4077" s="519"/>
    </row>
    <row r="4078" spans="4:5">
      <c r="D4078" s="519"/>
      <c r="E4078" s="519"/>
    </row>
    <row r="4079" spans="4:5">
      <c r="D4079" s="519"/>
      <c r="E4079" s="519"/>
    </row>
    <row r="4080" spans="4:5">
      <c r="D4080" s="519"/>
      <c r="E4080" s="519"/>
    </row>
    <row r="4081" spans="4:5">
      <c r="D4081" s="519"/>
      <c r="E4081" s="519"/>
    </row>
    <row r="4082" spans="4:5">
      <c r="D4082" s="519"/>
      <c r="E4082" s="519"/>
    </row>
    <row r="4083" spans="4:5">
      <c r="D4083" s="519"/>
      <c r="E4083" s="519"/>
    </row>
    <row r="4084" spans="4:5">
      <c r="D4084" s="519"/>
      <c r="E4084" s="519"/>
    </row>
    <row r="4085" spans="4:5">
      <c r="D4085" s="519"/>
      <c r="E4085" s="519"/>
    </row>
    <row r="4086" spans="4:5">
      <c r="D4086" s="519"/>
      <c r="E4086" s="519"/>
    </row>
    <row r="4087" spans="4:5">
      <c r="D4087" s="519"/>
      <c r="E4087" s="519"/>
    </row>
    <row r="4088" spans="4:5">
      <c r="D4088" s="519"/>
      <c r="E4088" s="519"/>
    </row>
    <row r="4089" spans="4:5">
      <c r="D4089" s="519"/>
      <c r="E4089" s="519"/>
    </row>
    <row r="4090" spans="4:5">
      <c r="D4090" s="519"/>
      <c r="E4090" s="519"/>
    </row>
    <row r="4091" spans="4:5">
      <c r="D4091" s="519"/>
      <c r="E4091" s="519"/>
    </row>
    <row r="4092" spans="4:5">
      <c r="D4092" s="519"/>
      <c r="E4092" s="519"/>
    </row>
    <row r="4093" spans="4:5">
      <c r="D4093" s="519"/>
      <c r="E4093" s="519"/>
    </row>
    <row r="4094" spans="4:5">
      <c r="D4094" s="519"/>
      <c r="E4094" s="519"/>
    </row>
    <row r="4095" spans="4:5">
      <c r="D4095" s="519"/>
      <c r="E4095" s="519"/>
    </row>
    <row r="4096" spans="4:5">
      <c r="D4096" s="519"/>
      <c r="E4096" s="519"/>
    </row>
    <row r="4097" spans="4:5">
      <c r="D4097" s="519"/>
      <c r="E4097" s="519"/>
    </row>
    <row r="4098" spans="4:5">
      <c r="D4098" s="519"/>
      <c r="E4098" s="519"/>
    </row>
    <row r="4099" spans="4:5">
      <c r="D4099" s="519"/>
      <c r="E4099" s="519"/>
    </row>
    <row r="4100" spans="4:5">
      <c r="D4100" s="519"/>
      <c r="E4100" s="519"/>
    </row>
    <row r="4101" spans="4:5">
      <c r="D4101" s="519"/>
      <c r="E4101" s="519"/>
    </row>
    <row r="4102" spans="4:5">
      <c r="D4102" s="519"/>
      <c r="E4102" s="519"/>
    </row>
    <row r="4103" spans="4:5">
      <c r="D4103" s="519"/>
      <c r="E4103" s="519"/>
    </row>
    <row r="4104" spans="4:5">
      <c r="D4104" s="519"/>
      <c r="E4104" s="519"/>
    </row>
    <row r="4105" spans="4:5">
      <c r="D4105" s="519"/>
      <c r="E4105" s="519"/>
    </row>
    <row r="4106" spans="4:5">
      <c r="D4106" s="519"/>
      <c r="E4106" s="519"/>
    </row>
    <row r="4107" spans="4:5">
      <c r="D4107" s="519"/>
      <c r="E4107" s="519"/>
    </row>
    <row r="4108" spans="4:5">
      <c r="D4108" s="519"/>
      <c r="E4108" s="519"/>
    </row>
    <row r="4109" spans="4:5">
      <c r="D4109" s="519"/>
      <c r="E4109" s="519"/>
    </row>
    <row r="4110" spans="4:5">
      <c r="D4110" s="519"/>
      <c r="E4110" s="519"/>
    </row>
    <row r="4111" spans="4:5">
      <c r="D4111" s="519"/>
      <c r="E4111" s="519"/>
    </row>
    <row r="4112" spans="4:5">
      <c r="D4112" s="519"/>
      <c r="E4112" s="519"/>
    </row>
    <row r="4113" spans="4:5">
      <c r="D4113" s="519"/>
      <c r="E4113" s="519"/>
    </row>
    <row r="4114" spans="4:5">
      <c r="D4114" s="519"/>
      <c r="E4114" s="519"/>
    </row>
    <row r="4115" spans="4:5">
      <c r="D4115" s="519"/>
      <c r="E4115" s="519"/>
    </row>
    <row r="4116" spans="4:5">
      <c r="D4116" s="519"/>
      <c r="E4116" s="519"/>
    </row>
    <row r="4117" spans="4:5">
      <c r="D4117" s="519"/>
      <c r="E4117" s="519"/>
    </row>
    <row r="4118" spans="4:5">
      <c r="D4118" s="519"/>
      <c r="E4118" s="519"/>
    </row>
    <row r="4119" spans="4:5">
      <c r="D4119" s="519"/>
      <c r="E4119" s="519"/>
    </row>
    <row r="4120" spans="4:5">
      <c r="D4120" s="519"/>
      <c r="E4120" s="519"/>
    </row>
    <row r="4121" spans="4:5">
      <c r="D4121" s="519"/>
      <c r="E4121" s="519"/>
    </row>
    <row r="4122" spans="4:5">
      <c r="D4122" s="519"/>
      <c r="E4122" s="519"/>
    </row>
    <row r="4123" spans="4:5">
      <c r="D4123" s="519"/>
      <c r="E4123" s="519"/>
    </row>
    <row r="4124" spans="4:5">
      <c r="D4124" s="519"/>
      <c r="E4124" s="519"/>
    </row>
    <row r="4125" spans="4:5">
      <c r="D4125" s="519"/>
      <c r="E4125" s="519"/>
    </row>
    <row r="4126" spans="4:5">
      <c r="D4126" s="519"/>
      <c r="E4126" s="519"/>
    </row>
    <row r="4127" spans="4:5">
      <c r="D4127" s="519"/>
      <c r="E4127" s="519"/>
    </row>
    <row r="4128" spans="4:5">
      <c r="D4128" s="519"/>
      <c r="E4128" s="519"/>
    </row>
    <row r="4129" spans="4:5">
      <c r="D4129" s="519"/>
      <c r="E4129" s="519"/>
    </row>
    <row r="4130" spans="4:5">
      <c r="D4130" s="519"/>
      <c r="E4130" s="519"/>
    </row>
    <row r="4131" spans="4:5">
      <c r="D4131" s="519"/>
      <c r="E4131" s="519"/>
    </row>
    <row r="4132" spans="4:5">
      <c r="D4132" s="519"/>
      <c r="E4132" s="519"/>
    </row>
    <row r="4133" spans="4:5">
      <c r="D4133" s="519"/>
      <c r="E4133" s="519"/>
    </row>
    <row r="4134" spans="4:5">
      <c r="D4134" s="519"/>
      <c r="E4134" s="519"/>
    </row>
    <row r="4135" spans="4:5">
      <c r="D4135" s="519"/>
      <c r="E4135" s="519"/>
    </row>
    <row r="4136" spans="4:5">
      <c r="D4136" s="519"/>
      <c r="E4136" s="519"/>
    </row>
    <row r="4137" spans="4:5">
      <c r="D4137" s="519"/>
      <c r="E4137" s="519"/>
    </row>
    <row r="4138" spans="4:5">
      <c r="D4138" s="519"/>
      <c r="E4138" s="519"/>
    </row>
    <row r="4139" spans="4:5">
      <c r="D4139" s="519"/>
      <c r="E4139" s="519"/>
    </row>
    <row r="4140" spans="4:5">
      <c r="D4140" s="519"/>
      <c r="E4140" s="519"/>
    </row>
    <row r="4141" spans="4:5">
      <c r="D4141" s="519"/>
      <c r="E4141" s="519"/>
    </row>
    <row r="4142" spans="4:5">
      <c r="D4142" s="519"/>
      <c r="E4142" s="519"/>
    </row>
    <row r="4143" spans="4:5">
      <c r="D4143" s="519"/>
      <c r="E4143" s="519"/>
    </row>
    <row r="4144" spans="4:5">
      <c r="D4144" s="519"/>
      <c r="E4144" s="519"/>
    </row>
    <row r="4145" spans="4:5">
      <c r="D4145" s="519"/>
      <c r="E4145" s="519"/>
    </row>
    <row r="4146" spans="4:5">
      <c r="D4146" s="519"/>
      <c r="E4146" s="519"/>
    </row>
    <row r="4147" spans="4:5">
      <c r="D4147" s="519"/>
      <c r="E4147" s="519"/>
    </row>
    <row r="4148" spans="4:5">
      <c r="D4148" s="519"/>
      <c r="E4148" s="519"/>
    </row>
    <row r="4149" spans="4:5">
      <c r="D4149" s="519"/>
      <c r="E4149" s="519"/>
    </row>
    <row r="4150" spans="4:5">
      <c r="D4150" s="519"/>
      <c r="E4150" s="519"/>
    </row>
    <row r="4151" spans="4:5">
      <c r="D4151" s="519"/>
      <c r="E4151" s="519"/>
    </row>
    <row r="4152" spans="4:5">
      <c r="D4152" s="519"/>
      <c r="E4152" s="519"/>
    </row>
    <row r="4153" spans="4:5">
      <c r="D4153" s="519"/>
      <c r="E4153" s="519"/>
    </row>
    <row r="4154" spans="4:5">
      <c r="D4154" s="519"/>
      <c r="E4154" s="519"/>
    </row>
    <row r="4155" spans="4:5">
      <c r="D4155" s="519"/>
      <c r="E4155" s="519"/>
    </row>
    <row r="4156" spans="4:5">
      <c r="D4156" s="519"/>
      <c r="E4156" s="519"/>
    </row>
    <row r="4157" spans="4:5">
      <c r="D4157" s="519"/>
      <c r="E4157" s="519"/>
    </row>
    <row r="4158" spans="4:5">
      <c r="D4158" s="519"/>
      <c r="E4158" s="519"/>
    </row>
    <row r="4159" spans="4:5">
      <c r="D4159" s="519"/>
      <c r="E4159" s="519"/>
    </row>
    <row r="4160" spans="4:5">
      <c r="D4160" s="519"/>
      <c r="E4160" s="519"/>
    </row>
    <row r="4161" spans="4:5">
      <c r="D4161" s="519"/>
      <c r="E4161" s="519"/>
    </row>
    <row r="4162" spans="4:5">
      <c r="D4162" s="519"/>
      <c r="E4162" s="519"/>
    </row>
    <row r="4163" spans="4:5">
      <c r="D4163" s="519"/>
      <c r="E4163" s="519"/>
    </row>
    <row r="4164" spans="4:5">
      <c r="D4164" s="519"/>
      <c r="E4164" s="519"/>
    </row>
    <row r="4165" spans="4:5">
      <c r="D4165" s="519"/>
      <c r="E4165" s="519"/>
    </row>
    <row r="4166" spans="4:5">
      <c r="D4166" s="519"/>
      <c r="E4166" s="519"/>
    </row>
    <row r="4167" spans="4:5">
      <c r="D4167" s="519"/>
      <c r="E4167" s="519"/>
    </row>
    <row r="4168" spans="4:5">
      <c r="D4168" s="519"/>
      <c r="E4168" s="519"/>
    </row>
    <row r="4169" spans="4:5">
      <c r="D4169" s="519"/>
      <c r="E4169" s="519"/>
    </row>
    <row r="4170" spans="4:5">
      <c r="D4170" s="519"/>
      <c r="E4170" s="519"/>
    </row>
    <row r="4171" spans="4:5">
      <c r="D4171" s="519"/>
      <c r="E4171" s="519"/>
    </row>
    <row r="4172" spans="4:5">
      <c r="D4172" s="519"/>
      <c r="E4172" s="519"/>
    </row>
    <row r="4173" spans="4:5">
      <c r="D4173" s="519"/>
      <c r="E4173" s="519"/>
    </row>
    <row r="4174" spans="4:5">
      <c r="D4174" s="519"/>
      <c r="E4174" s="519"/>
    </row>
    <row r="4175" spans="4:5">
      <c r="D4175" s="519"/>
      <c r="E4175" s="519"/>
    </row>
    <row r="4176" spans="4:5">
      <c r="D4176" s="519"/>
      <c r="E4176" s="519"/>
    </row>
    <row r="4177" spans="4:5">
      <c r="D4177" s="519"/>
      <c r="E4177" s="519"/>
    </row>
    <row r="4178" spans="4:5">
      <c r="D4178" s="519"/>
      <c r="E4178" s="519"/>
    </row>
    <row r="4179" spans="4:5">
      <c r="D4179" s="519"/>
      <c r="E4179" s="519"/>
    </row>
    <row r="4180" spans="4:5">
      <c r="D4180" s="519"/>
      <c r="E4180" s="519"/>
    </row>
    <row r="4181" spans="4:5">
      <c r="D4181" s="519"/>
      <c r="E4181" s="519"/>
    </row>
    <row r="4182" spans="4:5">
      <c r="D4182" s="519"/>
      <c r="E4182" s="519"/>
    </row>
    <row r="4183" spans="4:5">
      <c r="D4183" s="519"/>
      <c r="E4183" s="519"/>
    </row>
    <row r="4184" spans="4:5">
      <c r="D4184" s="519"/>
      <c r="E4184" s="519"/>
    </row>
    <row r="4185" spans="4:5">
      <c r="D4185" s="519"/>
      <c r="E4185" s="519"/>
    </row>
    <row r="4186" spans="4:5">
      <c r="D4186" s="519"/>
      <c r="E4186" s="519"/>
    </row>
    <row r="4187" spans="4:5">
      <c r="D4187" s="519"/>
      <c r="E4187" s="519"/>
    </row>
    <row r="4188" spans="4:5">
      <c r="D4188" s="519"/>
      <c r="E4188" s="519"/>
    </row>
    <row r="4189" spans="4:5">
      <c r="D4189" s="519"/>
      <c r="E4189" s="519"/>
    </row>
    <row r="4190" spans="4:5">
      <c r="D4190" s="519"/>
      <c r="E4190" s="519"/>
    </row>
    <row r="4191" spans="4:5">
      <c r="D4191" s="519"/>
      <c r="E4191" s="519"/>
    </row>
    <row r="4192" spans="4:5">
      <c r="D4192" s="519"/>
      <c r="E4192" s="519"/>
    </row>
    <row r="4193" spans="4:5">
      <c r="D4193" s="519"/>
      <c r="E4193" s="519"/>
    </row>
    <row r="4194" spans="4:5">
      <c r="D4194" s="519"/>
      <c r="E4194" s="519"/>
    </row>
    <row r="4195" spans="4:5">
      <c r="D4195" s="519"/>
      <c r="E4195" s="519"/>
    </row>
    <row r="4196" spans="4:5">
      <c r="D4196" s="519"/>
      <c r="E4196" s="519"/>
    </row>
    <row r="4197" spans="4:5">
      <c r="D4197" s="519"/>
      <c r="E4197" s="519"/>
    </row>
    <row r="4198" spans="4:5">
      <c r="D4198" s="519"/>
      <c r="E4198" s="519"/>
    </row>
    <row r="4199" spans="4:5">
      <c r="D4199" s="519"/>
      <c r="E4199" s="519"/>
    </row>
    <row r="4200" spans="4:5">
      <c r="D4200" s="519"/>
      <c r="E4200" s="519"/>
    </row>
    <row r="4201" spans="4:5">
      <c r="D4201" s="519"/>
      <c r="E4201" s="519"/>
    </row>
    <row r="4202" spans="4:5">
      <c r="D4202" s="519"/>
      <c r="E4202" s="519"/>
    </row>
    <row r="4203" spans="4:5">
      <c r="D4203" s="519"/>
      <c r="E4203" s="519"/>
    </row>
    <row r="4204" spans="4:5">
      <c r="D4204" s="519"/>
      <c r="E4204" s="519"/>
    </row>
    <row r="4205" spans="4:5">
      <c r="D4205" s="519"/>
      <c r="E4205" s="519"/>
    </row>
    <row r="4206" spans="4:5">
      <c r="D4206" s="519"/>
      <c r="E4206" s="519"/>
    </row>
    <row r="4207" spans="4:5">
      <c r="D4207" s="519"/>
      <c r="E4207" s="519"/>
    </row>
    <row r="4208" spans="4:5">
      <c r="D4208" s="519"/>
      <c r="E4208" s="519"/>
    </row>
    <row r="4209" spans="4:5">
      <c r="D4209" s="519"/>
      <c r="E4209" s="519"/>
    </row>
    <row r="4210" spans="4:5">
      <c r="D4210" s="519"/>
      <c r="E4210" s="519"/>
    </row>
    <row r="4211" spans="4:5">
      <c r="D4211" s="519"/>
      <c r="E4211" s="519"/>
    </row>
    <row r="4212" spans="4:5">
      <c r="D4212" s="519"/>
      <c r="E4212" s="519"/>
    </row>
    <row r="4213" spans="4:5">
      <c r="D4213" s="519"/>
      <c r="E4213" s="519"/>
    </row>
    <row r="4214" spans="4:5">
      <c r="D4214" s="519"/>
      <c r="E4214" s="519"/>
    </row>
    <row r="4215" spans="4:5">
      <c r="D4215" s="519"/>
      <c r="E4215" s="519"/>
    </row>
    <row r="4216" spans="4:5">
      <c r="D4216" s="519"/>
      <c r="E4216" s="519"/>
    </row>
    <row r="4217" spans="4:5">
      <c r="D4217" s="519"/>
      <c r="E4217" s="519"/>
    </row>
    <row r="4218" spans="4:5">
      <c r="D4218" s="519"/>
      <c r="E4218" s="519"/>
    </row>
    <row r="4219" spans="4:5">
      <c r="D4219" s="519"/>
      <c r="E4219" s="519"/>
    </row>
    <row r="4220" spans="4:5">
      <c r="D4220" s="519"/>
      <c r="E4220" s="519"/>
    </row>
    <row r="4221" spans="4:5">
      <c r="D4221" s="519"/>
      <c r="E4221" s="519"/>
    </row>
    <row r="4222" spans="4:5">
      <c r="D4222" s="519"/>
      <c r="E4222" s="519"/>
    </row>
    <row r="4223" spans="4:5">
      <c r="D4223" s="519"/>
      <c r="E4223" s="519"/>
    </row>
    <row r="4224" spans="4:5">
      <c r="D4224" s="519"/>
      <c r="E4224" s="519"/>
    </row>
    <row r="4225" spans="4:5">
      <c r="D4225" s="519"/>
      <c r="E4225" s="519"/>
    </row>
    <row r="4226" spans="4:5">
      <c r="D4226" s="519"/>
      <c r="E4226" s="519"/>
    </row>
    <row r="4227" spans="4:5">
      <c r="D4227" s="519"/>
      <c r="E4227" s="519"/>
    </row>
    <row r="4228" spans="4:5">
      <c r="D4228" s="519"/>
      <c r="E4228" s="519"/>
    </row>
    <row r="4229" spans="4:5">
      <c r="D4229" s="519"/>
      <c r="E4229" s="519"/>
    </row>
    <row r="4230" spans="4:5">
      <c r="D4230" s="519"/>
      <c r="E4230" s="519"/>
    </row>
    <row r="4231" spans="4:5">
      <c r="D4231" s="519"/>
      <c r="E4231" s="519"/>
    </row>
    <row r="4232" spans="4:5">
      <c r="D4232" s="519"/>
      <c r="E4232" s="519"/>
    </row>
    <row r="4233" spans="4:5">
      <c r="D4233" s="519"/>
      <c r="E4233" s="519"/>
    </row>
  </sheetData>
  <autoFilter ref="A14:CW14"/>
  <mergeCells count="8">
    <mergeCell ref="D9:L9"/>
    <mergeCell ref="B3:R3"/>
    <mergeCell ref="B5:F5"/>
    <mergeCell ref="G5:H5"/>
    <mergeCell ref="J5:L6"/>
    <mergeCell ref="O5:P6"/>
    <mergeCell ref="B6:F6"/>
    <mergeCell ref="G6:H6"/>
  </mergeCells>
  <pageMargins left="0.7" right="0.7" top="0.75" bottom="0.75" header="0.3" footer="0.3"/>
  <pageSetup paperSize="9" scale="45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35"/>
  <sheetViews>
    <sheetView workbookViewId="0">
      <pane xSplit="1" ySplit="4" topLeftCell="B5" activePane="bottomRight" state="frozen"/>
      <selection activeCell="P27" sqref="P27"/>
      <selection pane="topRight" activeCell="P27" sqref="P27"/>
      <selection pane="bottomLeft" activeCell="P27" sqref="P27"/>
      <selection pane="bottomRight" activeCell="P27" sqref="P27"/>
    </sheetView>
  </sheetViews>
  <sheetFormatPr defaultRowHeight="15"/>
  <cols>
    <col min="1" max="1" width="12.5703125" style="512" customWidth="1"/>
    <col min="2" max="2" width="5" style="512" bestFit="1" customWidth="1"/>
    <col min="3" max="3" width="36" style="512" customWidth="1"/>
    <col min="4" max="4" width="5.140625" style="512" customWidth="1"/>
    <col min="5" max="19" width="5" style="512" bestFit="1" customWidth="1"/>
    <col min="20" max="20" width="3" style="512" bestFit="1" customWidth="1"/>
    <col min="21" max="21" width="11.28515625" style="512" customWidth="1"/>
    <col min="22" max="22" width="6" style="512" bestFit="1" customWidth="1"/>
    <col min="23" max="125" width="8" style="512" bestFit="1" customWidth="1"/>
    <col min="126" max="126" width="7.28515625" style="512" bestFit="1" customWidth="1"/>
    <col min="127" max="127" width="11.28515625" style="512" bestFit="1" customWidth="1"/>
    <col min="128" max="16384" width="9.140625" style="512"/>
  </cols>
  <sheetData>
    <row r="1" spans="1:22">
      <c r="C1" s="512" t="s">
        <v>1459</v>
      </c>
    </row>
    <row r="2" spans="1:22">
      <c r="A2" s="513">
        <v>1</v>
      </c>
      <c r="B2" s="513"/>
      <c r="C2" s="513">
        <v>2</v>
      </c>
      <c r="D2" s="513">
        <v>3</v>
      </c>
      <c r="E2" s="513">
        <v>4</v>
      </c>
      <c r="F2" s="513">
        <v>5</v>
      </c>
      <c r="G2" s="513">
        <v>6</v>
      </c>
      <c r="H2" s="513">
        <v>7</v>
      </c>
      <c r="I2" s="513">
        <v>8</v>
      </c>
      <c r="J2" s="513">
        <v>9</v>
      </c>
      <c r="K2" s="513">
        <v>10</v>
      </c>
      <c r="L2" s="513">
        <v>11</v>
      </c>
      <c r="M2" s="513">
        <v>12</v>
      </c>
      <c r="N2" s="513">
        <v>13</v>
      </c>
      <c r="O2" s="513">
        <v>14</v>
      </c>
      <c r="P2" s="513">
        <v>15</v>
      </c>
      <c r="Q2" s="513">
        <v>16</v>
      </c>
      <c r="R2" s="513">
        <v>17</v>
      </c>
      <c r="S2" s="513">
        <v>18</v>
      </c>
      <c r="T2" s="513">
        <v>19</v>
      </c>
      <c r="U2" s="513">
        <v>20</v>
      </c>
    </row>
    <row r="3" spans="1:22">
      <c r="A3" s="512" t="s">
        <v>1460</v>
      </c>
      <c r="D3" s="512" t="s">
        <v>1461</v>
      </c>
      <c r="V3" s="514"/>
    </row>
    <row r="4" spans="1:22">
      <c r="A4" s="512" t="s">
        <v>1462</v>
      </c>
      <c r="C4" s="512" t="s">
        <v>1463</v>
      </c>
      <c r="D4" s="512" t="s">
        <v>1464</v>
      </c>
      <c r="E4" s="512" t="s">
        <v>1465</v>
      </c>
      <c r="F4" s="512" t="s">
        <v>1466</v>
      </c>
      <c r="G4" s="512" t="s">
        <v>1467</v>
      </c>
      <c r="H4" s="512" t="s">
        <v>1468</v>
      </c>
      <c r="I4" s="512" t="s">
        <v>1469</v>
      </c>
      <c r="J4" s="512" t="s">
        <v>1470</v>
      </c>
      <c r="K4" s="512" t="s">
        <v>1471</v>
      </c>
      <c r="L4" s="512" t="s">
        <v>1472</v>
      </c>
      <c r="M4" s="512" t="s">
        <v>1473</v>
      </c>
      <c r="N4" s="512" t="s">
        <v>1474</v>
      </c>
      <c r="O4" s="512" t="s">
        <v>1475</v>
      </c>
      <c r="P4" s="512" t="s">
        <v>1476</v>
      </c>
      <c r="Q4" s="512" t="s">
        <v>1477</v>
      </c>
      <c r="R4" s="512" t="s">
        <v>1478</v>
      </c>
      <c r="S4" s="512" t="s">
        <v>1479</v>
      </c>
      <c r="T4" s="512" t="s">
        <v>1480</v>
      </c>
      <c r="U4" s="512" t="s">
        <v>688</v>
      </c>
      <c r="V4" s="514" t="s">
        <v>1481</v>
      </c>
    </row>
    <row r="5" spans="1:22">
      <c r="A5" s="512">
        <v>302</v>
      </c>
      <c r="B5" s="512">
        <v>1000</v>
      </c>
      <c r="C5" s="512" t="s">
        <v>28</v>
      </c>
      <c r="D5" s="515"/>
      <c r="E5" s="515">
        <v>74</v>
      </c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>
        <v>74</v>
      </c>
      <c r="V5" s="512">
        <f>0.6*(D5+E5)+SUM(F5:T5)</f>
        <v>44.4</v>
      </c>
    </row>
    <row r="6" spans="1:22">
      <c r="A6" s="512">
        <v>302</v>
      </c>
      <c r="B6" s="512">
        <v>1001</v>
      </c>
      <c r="C6" s="512" t="s">
        <v>1482</v>
      </c>
      <c r="D6" s="515">
        <v>5</v>
      </c>
      <c r="E6" s="515">
        <v>67</v>
      </c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>
        <v>72</v>
      </c>
      <c r="V6" s="512">
        <f t="shared" ref="V6:V69" si="0">0.6*(D6+E6)+SUM(F6:T6)</f>
        <v>43.199999999999996</v>
      </c>
    </row>
    <row r="7" spans="1:22">
      <c r="A7" s="512">
        <v>302</v>
      </c>
      <c r="B7" s="512">
        <v>1002</v>
      </c>
      <c r="C7" s="512" t="s">
        <v>1483</v>
      </c>
      <c r="D7" s="515"/>
      <c r="E7" s="515">
        <v>111</v>
      </c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>
        <v>111</v>
      </c>
      <c r="V7" s="512">
        <f t="shared" si="0"/>
        <v>66.599999999999994</v>
      </c>
    </row>
    <row r="8" spans="1:22">
      <c r="A8" s="512">
        <v>302</v>
      </c>
      <c r="B8" s="512">
        <v>1003</v>
      </c>
      <c r="C8" s="512" t="s">
        <v>1484</v>
      </c>
      <c r="D8" s="515">
        <v>1</v>
      </c>
      <c r="E8" s="515">
        <v>109</v>
      </c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>
        <v>110</v>
      </c>
      <c r="V8" s="512">
        <f t="shared" si="0"/>
        <v>66</v>
      </c>
    </row>
    <row r="9" spans="1:22">
      <c r="A9" s="512">
        <v>302</v>
      </c>
      <c r="B9" s="512">
        <v>2001</v>
      </c>
      <c r="C9" s="512" t="s">
        <v>1485</v>
      </c>
      <c r="D9" s="515"/>
      <c r="E9" s="515">
        <v>26</v>
      </c>
      <c r="F9" s="515">
        <v>28</v>
      </c>
      <c r="G9" s="515">
        <v>28</v>
      </c>
      <c r="H9" s="515">
        <v>25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>
        <v>107</v>
      </c>
      <c r="V9" s="512">
        <f t="shared" si="0"/>
        <v>96.6</v>
      </c>
    </row>
    <row r="10" spans="1:22">
      <c r="A10" s="512">
        <v>302</v>
      </c>
      <c r="B10" s="512">
        <v>2002</v>
      </c>
      <c r="C10" s="512" t="s">
        <v>37</v>
      </c>
      <c r="D10" s="515"/>
      <c r="E10" s="515">
        <v>59</v>
      </c>
      <c r="F10" s="515">
        <v>62</v>
      </c>
      <c r="G10" s="515">
        <v>61</v>
      </c>
      <c r="H10" s="515">
        <v>90</v>
      </c>
      <c r="I10" s="515">
        <v>90</v>
      </c>
      <c r="J10" s="515">
        <v>60</v>
      </c>
      <c r="K10" s="515">
        <v>60</v>
      </c>
      <c r="L10" s="515">
        <v>60</v>
      </c>
      <c r="M10" s="515"/>
      <c r="N10" s="515"/>
      <c r="O10" s="515"/>
      <c r="P10" s="515"/>
      <c r="Q10" s="515"/>
      <c r="R10" s="515"/>
      <c r="S10" s="515"/>
      <c r="T10" s="515"/>
      <c r="U10" s="515">
        <v>542</v>
      </c>
      <c r="V10" s="512">
        <f t="shared" si="0"/>
        <v>518.4</v>
      </c>
    </row>
    <row r="11" spans="1:22">
      <c r="A11" s="512">
        <v>302</v>
      </c>
      <c r="B11" s="512">
        <v>2003</v>
      </c>
      <c r="C11" s="512" t="s">
        <v>332</v>
      </c>
      <c r="D11" s="515">
        <v>23</v>
      </c>
      <c r="E11" s="515">
        <v>15</v>
      </c>
      <c r="F11" s="515">
        <v>54</v>
      </c>
      <c r="G11" s="515">
        <v>58</v>
      </c>
      <c r="H11" s="515">
        <v>52</v>
      </c>
      <c r="I11" s="515">
        <v>54</v>
      </c>
      <c r="J11" s="515">
        <v>55</v>
      </c>
      <c r="K11" s="515">
        <v>58</v>
      </c>
      <c r="L11" s="515">
        <v>44</v>
      </c>
      <c r="M11" s="515"/>
      <c r="N11" s="515"/>
      <c r="O11" s="515"/>
      <c r="P11" s="515"/>
      <c r="Q11" s="515"/>
      <c r="R11" s="515"/>
      <c r="S11" s="515"/>
      <c r="T11" s="515"/>
      <c r="U11" s="515">
        <v>413</v>
      </c>
      <c r="V11" s="512">
        <f t="shared" si="0"/>
        <v>397.8</v>
      </c>
    </row>
    <row r="12" spans="1:22">
      <c r="A12" s="512">
        <v>302</v>
      </c>
      <c r="B12" s="512">
        <v>2004</v>
      </c>
      <c r="C12" s="512" t="s">
        <v>1486</v>
      </c>
      <c r="D12" s="515"/>
      <c r="E12" s="515"/>
      <c r="F12" s="515">
        <v>24</v>
      </c>
      <c r="G12" s="515">
        <v>20</v>
      </c>
      <c r="H12" s="515"/>
      <c r="I12" s="515"/>
      <c r="J12" s="515"/>
      <c r="K12" s="515"/>
      <c r="L12" s="515"/>
      <c r="M12" s="515"/>
      <c r="N12" s="515"/>
      <c r="O12" s="515"/>
      <c r="P12" s="515"/>
      <c r="Q12" s="515"/>
      <c r="R12" s="515"/>
      <c r="S12" s="515"/>
      <c r="T12" s="515"/>
      <c r="U12" s="515">
        <v>44</v>
      </c>
      <c r="V12" s="512">
        <f t="shared" si="0"/>
        <v>44</v>
      </c>
    </row>
    <row r="13" spans="1:22">
      <c r="A13" s="512">
        <v>302</v>
      </c>
      <c r="B13" s="512">
        <v>2007</v>
      </c>
      <c r="C13" s="512" t="s">
        <v>43</v>
      </c>
      <c r="D13" s="515"/>
      <c r="E13" s="515"/>
      <c r="F13" s="515"/>
      <c r="G13" s="515"/>
      <c r="H13" s="515"/>
      <c r="I13" s="515">
        <v>89</v>
      </c>
      <c r="J13" s="515">
        <v>90</v>
      </c>
      <c r="K13" s="515">
        <v>91</v>
      </c>
      <c r="L13" s="515">
        <v>87</v>
      </c>
      <c r="M13" s="515"/>
      <c r="N13" s="515"/>
      <c r="O13" s="515"/>
      <c r="P13" s="515"/>
      <c r="Q13" s="515"/>
      <c r="R13" s="515"/>
      <c r="S13" s="515"/>
      <c r="T13" s="515"/>
      <c r="U13" s="515">
        <v>357</v>
      </c>
      <c r="V13" s="512">
        <f t="shared" si="0"/>
        <v>357</v>
      </c>
    </row>
    <row r="14" spans="1:22">
      <c r="A14" s="512">
        <v>302</v>
      </c>
      <c r="B14" s="512">
        <v>2008</v>
      </c>
      <c r="C14" s="512" t="s">
        <v>1487</v>
      </c>
      <c r="D14" s="515"/>
      <c r="E14" s="515">
        <v>45</v>
      </c>
      <c r="F14" s="515">
        <v>88</v>
      </c>
      <c r="G14" s="515">
        <v>90</v>
      </c>
      <c r="H14" s="515">
        <v>91</v>
      </c>
      <c r="I14" s="515"/>
      <c r="J14" s="515"/>
      <c r="K14" s="515"/>
      <c r="L14" s="515"/>
      <c r="M14" s="515"/>
      <c r="N14" s="515"/>
      <c r="O14" s="515"/>
      <c r="P14" s="515"/>
      <c r="Q14" s="515"/>
      <c r="R14" s="515"/>
      <c r="S14" s="515"/>
      <c r="T14" s="515"/>
      <c r="U14" s="515">
        <v>314</v>
      </c>
      <c r="V14" s="512">
        <f t="shared" si="0"/>
        <v>296</v>
      </c>
    </row>
    <row r="15" spans="1:22">
      <c r="A15" s="512">
        <v>302</v>
      </c>
      <c r="B15" s="512">
        <v>2009</v>
      </c>
      <c r="C15" s="512" t="s">
        <v>1488</v>
      </c>
      <c r="D15" s="515"/>
      <c r="E15" s="515">
        <v>30</v>
      </c>
      <c r="F15" s="515">
        <v>59</v>
      </c>
      <c r="G15" s="515">
        <v>60</v>
      </c>
      <c r="H15" s="515">
        <v>59</v>
      </c>
      <c r="I15" s="515">
        <v>30</v>
      </c>
      <c r="J15" s="515">
        <v>30</v>
      </c>
      <c r="K15" s="515">
        <v>30</v>
      </c>
      <c r="L15" s="515">
        <v>30</v>
      </c>
      <c r="M15" s="515"/>
      <c r="N15" s="515"/>
      <c r="O15" s="515"/>
      <c r="P15" s="515"/>
      <c r="Q15" s="515"/>
      <c r="R15" s="515"/>
      <c r="S15" s="515"/>
      <c r="T15" s="515"/>
      <c r="U15" s="515">
        <v>328</v>
      </c>
      <c r="V15" s="512">
        <f t="shared" si="0"/>
        <v>316</v>
      </c>
    </row>
    <row r="16" spans="1:22">
      <c r="A16" s="512">
        <v>302</v>
      </c>
      <c r="B16" s="512">
        <v>2010</v>
      </c>
      <c r="C16" s="512" t="s">
        <v>1489</v>
      </c>
      <c r="D16" s="515"/>
      <c r="E16" s="515">
        <v>46</v>
      </c>
      <c r="F16" s="515">
        <v>46</v>
      </c>
      <c r="G16" s="515">
        <v>45</v>
      </c>
      <c r="H16" s="515">
        <v>45</v>
      </c>
      <c r="I16" s="515">
        <v>45</v>
      </c>
      <c r="J16" s="515">
        <v>43</v>
      </c>
      <c r="K16" s="515">
        <v>45</v>
      </c>
      <c r="L16" s="515">
        <v>43</v>
      </c>
      <c r="M16" s="515"/>
      <c r="N16" s="515"/>
      <c r="O16" s="515"/>
      <c r="P16" s="515"/>
      <c r="Q16" s="515"/>
      <c r="R16" s="515"/>
      <c r="S16" s="515"/>
      <c r="T16" s="515"/>
      <c r="U16" s="515">
        <v>358</v>
      </c>
      <c r="V16" s="512">
        <f t="shared" si="0"/>
        <v>339.6</v>
      </c>
    </row>
    <row r="17" spans="1:22">
      <c r="A17" s="512">
        <v>302</v>
      </c>
      <c r="B17" s="512">
        <v>2011</v>
      </c>
      <c r="C17" s="512" t="s">
        <v>1490</v>
      </c>
      <c r="D17" s="515"/>
      <c r="E17" s="515"/>
      <c r="F17" s="515">
        <v>30</v>
      </c>
      <c r="G17" s="515">
        <v>31</v>
      </c>
      <c r="H17" s="515">
        <v>57</v>
      </c>
      <c r="I17" s="515">
        <v>30</v>
      </c>
      <c r="J17" s="515">
        <v>30</v>
      </c>
      <c r="K17" s="515">
        <v>28</v>
      </c>
      <c r="L17" s="515">
        <v>30</v>
      </c>
      <c r="M17" s="515"/>
      <c r="N17" s="515"/>
      <c r="O17" s="515"/>
      <c r="P17" s="515"/>
      <c r="Q17" s="515"/>
      <c r="R17" s="515"/>
      <c r="S17" s="515"/>
      <c r="T17" s="515"/>
      <c r="U17" s="515">
        <v>236</v>
      </c>
      <c r="V17" s="512">
        <f t="shared" si="0"/>
        <v>236</v>
      </c>
    </row>
    <row r="18" spans="1:22">
      <c r="A18" s="512">
        <v>302</v>
      </c>
      <c r="B18" s="512">
        <v>2014</v>
      </c>
      <c r="C18" s="512" t="s">
        <v>50</v>
      </c>
      <c r="D18" s="515"/>
      <c r="E18" s="515">
        <v>78</v>
      </c>
      <c r="F18" s="515">
        <v>91</v>
      </c>
      <c r="G18" s="515">
        <v>120</v>
      </c>
      <c r="H18" s="515">
        <v>89</v>
      </c>
      <c r="I18" s="515">
        <v>90</v>
      </c>
      <c r="J18" s="515">
        <v>90</v>
      </c>
      <c r="K18" s="515">
        <v>61</v>
      </c>
      <c r="L18" s="515">
        <v>60</v>
      </c>
      <c r="M18" s="515"/>
      <c r="N18" s="515"/>
      <c r="O18" s="515"/>
      <c r="P18" s="515"/>
      <c r="Q18" s="515"/>
      <c r="R18" s="515"/>
      <c r="S18" s="515"/>
      <c r="T18" s="515"/>
      <c r="U18" s="515">
        <v>679</v>
      </c>
      <c r="V18" s="512">
        <f t="shared" si="0"/>
        <v>647.79999999999995</v>
      </c>
    </row>
    <row r="19" spans="1:22">
      <c r="A19" s="512">
        <v>302</v>
      </c>
      <c r="B19" s="512">
        <v>2015</v>
      </c>
      <c r="C19" s="512" t="s">
        <v>1491</v>
      </c>
      <c r="D19" s="515">
        <v>26</v>
      </c>
      <c r="E19" s="515">
        <v>12</v>
      </c>
      <c r="F19" s="515">
        <v>30</v>
      </c>
      <c r="G19" s="515">
        <v>58</v>
      </c>
      <c r="H19" s="515">
        <v>31</v>
      </c>
      <c r="I19" s="515">
        <v>31</v>
      </c>
      <c r="J19" s="515">
        <v>30</v>
      </c>
      <c r="K19" s="515">
        <v>30</v>
      </c>
      <c r="L19" s="515">
        <v>29</v>
      </c>
      <c r="M19" s="515"/>
      <c r="N19" s="515"/>
      <c r="O19" s="515"/>
      <c r="P19" s="515"/>
      <c r="Q19" s="515"/>
      <c r="R19" s="515"/>
      <c r="S19" s="515"/>
      <c r="T19" s="515"/>
      <c r="U19" s="515">
        <v>277</v>
      </c>
      <c r="V19" s="512">
        <f t="shared" si="0"/>
        <v>261.8</v>
      </c>
    </row>
    <row r="20" spans="1:22">
      <c r="A20" s="512">
        <v>302</v>
      </c>
      <c r="B20" s="512">
        <v>2016</v>
      </c>
      <c r="C20" s="512" t="s">
        <v>53</v>
      </c>
      <c r="D20" s="515"/>
      <c r="E20" s="515"/>
      <c r="F20" s="515">
        <v>30</v>
      </c>
      <c r="G20" s="515">
        <v>30</v>
      </c>
      <c r="H20" s="515">
        <v>32</v>
      </c>
      <c r="I20" s="515">
        <v>31</v>
      </c>
      <c r="J20" s="515">
        <v>31</v>
      </c>
      <c r="K20" s="515">
        <v>30</v>
      </c>
      <c r="L20" s="515">
        <v>30</v>
      </c>
      <c r="M20" s="515"/>
      <c r="N20" s="515"/>
      <c r="O20" s="515"/>
      <c r="P20" s="515"/>
      <c r="Q20" s="515"/>
      <c r="R20" s="515"/>
      <c r="S20" s="515"/>
      <c r="T20" s="515"/>
      <c r="U20" s="515">
        <v>214</v>
      </c>
      <c r="V20" s="512">
        <f t="shared" si="0"/>
        <v>214</v>
      </c>
    </row>
    <row r="21" spans="1:22">
      <c r="A21" s="512">
        <v>302</v>
      </c>
      <c r="B21" s="512">
        <v>2017</v>
      </c>
      <c r="C21" s="512" t="s">
        <v>340</v>
      </c>
      <c r="D21" s="515"/>
      <c r="E21" s="515"/>
      <c r="F21" s="515">
        <v>60</v>
      </c>
      <c r="G21" s="515">
        <v>60</v>
      </c>
      <c r="H21" s="515">
        <v>59</v>
      </c>
      <c r="I21" s="515">
        <v>60</v>
      </c>
      <c r="J21" s="515">
        <v>60</v>
      </c>
      <c r="K21" s="515">
        <v>59</v>
      </c>
      <c r="L21" s="515">
        <v>55</v>
      </c>
      <c r="M21" s="515"/>
      <c r="N21" s="515"/>
      <c r="O21" s="515"/>
      <c r="P21" s="515"/>
      <c r="Q21" s="515"/>
      <c r="R21" s="515"/>
      <c r="S21" s="515"/>
      <c r="T21" s="515"/>
      <c r="U21" s="515">
        <v>413</v>
      </c>
      <c r="V21" s="512">
        <f t="shared" si="0"/>
        <v>413</v>
      </c>
    </row>
    <row r="22" spans="1:22">
      <c r="A22" s="512">
        <v>302</v>
      </c>
      <c r="B22" s="512">
        <v>2018</v>
      </c>
      <c r="C22" s="512" t="s">
        <v>57</v>
      </c>
      <c r="D22" s="515"/>
      <c r="E22" s="515"/>
      <c r="F22" s="515"/>
      <c r="G22" s="515"/>
      <c r="H22" s="515"/>
      <c r="I22" s="515">
        <v>86</v>
      </c>
      <c r="J22" s="515">
        <v>120</v>
      </c>
      <c r="K22" s="515">
        <v>88</v>
      </c>
      <c r="L22" s="515">
        <v>88</v>
      </c>
      <c r="M22" s="515"/>
      <c r="N22" s="515"/>
      <c r="O22" s="515"/>
      <c r="P22" s="515"/>
      <c r="Q22" s="515"/>
      <c r="R22" s="515"/>
      <c r="S22" s="515"/>
      <c r="T22" s="515"/>
      <c r="U22" s="515">
        <v>382</v>
      </c>
      <c r="V22" s="512">
        <f t="shared" si="0"/>
        <v>382</v>
      </c>
    </row>
    <row r="23" spans="1:22">
      <c r="A23" s="512">
        <v>302</v>
      </c>
      <c r="B23" s="512">
        <v>2019</v>
      </c>
      <c r="C23" s="512" t="s">
        <v>56</v>
      </c>
      <c r="D23" s="515"/>
      <c r="E23" s="515">
        <v>69</v>
      </c>
      <c r="F23" s="515">
        <v>91</v>
      </c>
      <c r="G23" s="515">
        <v>120</v>
      </c>
      <c r="H23" s="515">
        <v>89</v>
      </c>
      <c r="I23" s="515"/>
      <c r="J23" s="515"/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5">
        <v>369</v>
      </c>
      <c r="V23" s="512">
        <f t="shared" si="0"/>
        <v>341.4</v>
      </c>
    </row>
    <row r="24" spans="1:22">
      <c r="A24" s="512">
        <v>302</v>
      </c>
      <c r="B24" s="512">
        <v>2020</v>
      </c>
      <c r="C24" s="512" t="s">
        <v>1492</v>
      </c>
      <c r="D24" s="515"/>
      <c r="E24" s="515"/>
      <c r="F24" s="515">
        <v>30</v>
      </c>
      <c r="G24" s="515"/>
      <c r="H24" s="515"/>
      <c r="I24" s="515"/>
      <c r="J24" s="515"/>
      <c r="K24" s="515"/>
      <c r="L24" s="515"/>
      <c r="M24" s="515"/>
      <c r="N24" s="515"/>
      <c r="O24" s="515"/>
      <c r="P24" s="515"/>
      <c r="Q24" s="515"/>
      <c r="R24" s="515"/>
      <c r="S24" s="515"/>
      <c r="T24" s="515"/>
      <c r="U24" s="515">
        <v>30</v>
      </c>
      <c r="V24" s="512">
        <f t="shared" si="0"/>
        <v>30</v>
      </c>
    </row>
    <row r="25" spans="1:22">
      <c r="A25" s="512">
        <v>302</v>
      </c>
      <c r="B25" s="512">
        <v>2021</v>
      </c>
      <c r="C25" s="512" t="s">
        <v>58</v>
      </c>
      <c r="D25" s="515"/>
      <c r="E25" s="515">
        <v>52</v>
      </c>
      <c r="F25" s="515">
        <v>80</v>
      </c>
      <c r="G25" s="515">
        <v>90</v>
      </c>
      <c r="H25" s="515">
        <v>112</v>
      </c>
      <c r="I25" s="515"/>
      <c r="J25" s="515"/>
      <c r="K25" s="515"/>
      <c r="L25" s="515"/>
      <c r="M25" s="515"/>
      <c r="N25" s="515"/>
      <c r="O25" s="515"/>
      <c r="P25" s="515"/>
      <c r="Q25" s="515"/>
      <c r="R25" s="515"/>
      <c r="S25" s="515"/>
      <c r="T25" s="515"/>
      <c r="U25" s="515">
        <v>334</v>
      </c>
      <c r="V25" s="512">
        <f t="shared" si="0"/>
        <v>313.2</v>
      </c>
    </row>
    <row r="26" spans="1:22">
      <c r="A26" s="512">
        <v>302</v>
      </c>
      <c r="B26" s="512">
        <v>2022</v>
      </c>
      <c r="C26" s="512" t="s">
        <v>61</v>
      </c>
      <c r="D26" s="515"/>
      <c r="E26" s="515"/>
      <c r="F26" s="515"/>
      <c r="G26" s="515"/>
      <c r="H26" s="515"/>
      <c r="I26" s="515">
        <v>82</v>
      </c>
      <c r="J26" s="515">
        <v>85</v>
      </c>
      <c r="K26" s="515">
        <v>84</v>
      </c>
      <c r="L26" s="515">
        <v>88</v>
      </c>
      <c r="M26" s="515"/>
      <c r="N26" s="515"/>
      <c r="O26" s="515"/>
      <c r="P26" s="515"/>
      <c r="Q26" s="515"/>
      <c r="R26" s="515"/>
      <c r="S26" s="515"/>
      <c r="T26" s="515"/>
      <c r="U26" s="515">
        <v>339</v>
      </c>
      <c r="V26" s="512">
        <f t="shared" si="0"/>
        <v>339</v>
      </c>
    </row>
    <row r="27" spans="1:22">
      <c r="A27" s="512">
        <v>302</v>
      </c>
      <c r="B27" s="512">
        <v>2023</v>
      </c>
      <c r="C27" s="512" t="s">
        <v>1493</v>
      </c>
      <c r="D27" s="515"/>
      <c r="E27" s="515">
        <v>74</v>
      </c>
      <c r="F27" s="515">
        <v>88</v>
      </c>
      <c r="G27" s="515">
        <v>90</v>
      </c>
      <c r="H27" s="515">
        <v>85</v>
      </c>
      <c r="I27" s="515"/>
      <c r="J27" s="515"/>
      <c r="K27" s="515"/>
      <c r="L27" s="515"/>
      <c r="M27" s="515"/>
      <c r="N27" s="515"/>
      <c r="O27" s="515"/>
      <c r="P27" s="515"/>
      <c r="Q27" s="515"/>
      <c r="R27" s="515"/>
      <c r="S27" s="515"/>
      <c r="T27" s="515"/>
      <c r="U27" s="515">
        <v>337</v>
      </c>
      <c r="V27" s="512">
        <f t="shared" si="0"/>
        <v>307.39999999999998</v>
      </c>
    </row>
    <row r="28" spans="1:22">
      <c r="A28" s="512">
        <v>302</v>
      </c>
      <c r="B28" s="512">
        <v>2024</v>
      </c>
      <c r="C28" s="512" t="s">
        <v>1494</v>
      </c>
      <c r="D28" s="515"/>
      <c r="E28" s="515">
        <v>32</v>
      </c>
      <c r="F28" s="515">
        <v>30</v>
      </c>
      <c r="G28" s="515">
        <v>58</v>
      </c>
      <c r="H28" s="515">
        <v>32</v>
      </c>
      <c r="I28" s="515">
        <v>30</v>
      </c>
      <c r="J28" s="515">
        <v>31</v>
      </c>
      <c r="K28" s="515">
        <v>30</v>
      </c>
      <c r="L28" s="515">
        <v>30</v>
      </c>
      <c r="M28" s="515"/>
      <c r="N28" s="515"/>
      <c r="O28" s="515"/>
      <c r="P28" s="515"/>
      <c r="Q28" s="515"/>
      <c r="R28" s="515"/>
      <c r="S28" s="515"/>
      <c r="T28" s="515"/>
      <c r="U28" s="515">
        <v>273</v>
      </c>
      <c r="V28" s="512">
        <f t="shared" si="0"/>
        <v>260.2</v>
      </c>
    </row>
    <row r="29" spans="1:22">
      <c r="A29" s="512">
        <v>302</v>
      </c>
      <c r="B29" s="512">
        <v>2025</v>
      </c>
      <c r="C29" s="512" t="s">
        <v>1495</v>
      </c>
      <c r="D29" s="515"/>
      <c r="E29" s="515"/>
      <c r="F29" s="515">
        <v>45</v>
      </c>
      <c r="G29" s="515">
        <v>45</v>
      </c>
      <c r="H29" s="515">
        <v>46</v>
      </c>
      <c r="I29" s="515">
        <v>46</v>
      </c>
      <c r="J29" s="515">
        <v>45</v>
      </c>
      <c r="K29" s="515">
        <v>45</v>
      </c>
      <c r="L29" s="515">
        <v>44</v>
      </c>
      <c r="M29" s="515"/>
      <c r="N29" s="515"/>
      <c r="O29" s="515"/>
      <c r="P29" s="515"/>
      <c r="Q29" s="515"/>
      <c r="R29" s="515"/>
      <c r="S29" s="515"/>
      <c r="T29" s="515"/>
      <c r="U29" s="515">
        <v>316</v>
      </c>
      <c r="V29" s="512">
        <f t="shared" si="0"/>
        <v>316</v>
      </c>
    </row>
    <row r="30" spans="1:22">
      <c r="A30" s="512">
        <v>302</v>
      </c>
      <c r="B30" s="512">
        <v>2026</v>
      </c>
      <c r="C30" s="512" t="s">
        <v>64</v>
      </c>
      <c r="D30" s="515">
        <v>46</v>
      </c>
      <c r="E30" s="515">
        <v>15</v>
      </c>
      <c r="F30" s="515">
        <v>85</v>
      </c>
      <c r="G30" s="515">
        <v>92</v>
      </c>
      <c r="H30" s="515">
        <v>89</v>
      </c>
      <c r="I30" s="515">
        <v>90</v>
      </c>
      <c r="J30" s="515">
        <v>87</v>
      </c>
      <c r="K30" s="515">
        <v>88</v>
      </c>
      <c r="L30" s="515">
        <v>84</v>
      </c>
      <c r="M30" s="515"/>
      <c r="N30" s="515"/>
      <c r="O30" s="515"/>
      <c r="P30" s="515"/>
      <c r="Q30" s="515"/>
      <c r="R30" s="515"/>
      <c r="S30" s="515"/>
      <c r="T30" s="515"/>
      <c r="U30" s="515">
        <v>676</v>
      </c>
      <c r="V30" s="512">
        <f t="shared" si="0"/>
        <v>651.6</v>
      </c>
    </row>
    <row r="31" spans="1:22">
      <c r="A31" s="512">
        <v>302</v>
      </c>
      <c r="B31" s="512">
        <v>2027</v>
      </c>
      <c r="C31" s="512" t="s">
        <v>1496</v>
      </c>
      <c r="D31" s="515"/>
      <c r="E31" s="515"/>
      <c r="F31" s="515"/>
      <c r="G31" s="515"/>
      <c r="H31" s="515"/>
      <c r="I31" s="515">
        <v>88</v>
      </c>
      <c r="J31" s="515">
        <v>90</v>
      </c>
      <c r="K31" s="515">
        <v>90</v>
      </c>
      <c r="L31" s="515">
        <v>87</v>
      </c>
      <c r="M31" s="515"/>
      <c r="N31" s="515"/>
      <c r="O31" s="515"/>
      <c r="P31" s="515"/>
      <c r="Q31" s="515"/>
      <c r="R31" s="515"/>
      <c r="S31" s="515"/>
      <c r="T31" s="515"/>
      <c r="U31" s="515">
        <v>355</v>
      </c>
      <c r="V31" s="512">
        <f t="shared" si="0"/>
        <v>355</v>
      </c>
    </row>
    <row r="32" spans="1:22">
      <c r="A32" s="512">
        <v>302</v>
      </c>
      <c r="B32" s="512">
        <v>2028</v>
      </c>
      <c r="C32" s="512" t="s">
        <v>65</v>
      </c>
      <c r="D32" s="515"/>
      <c r="E32" s="515"/>
      <c r="F32" s="515">
        <v>90</v>
      </c>
      <c r="G32" s="515">
        <v>90</v>
      </c>
      <c r="H32" s="515">
        <v>90</v>
      </c>
      <c r="I32" s="515"/>
      <c r="J32" s="515"/>
      <c r="K32" s="515"/>
      <c r="L32" s="515"/>
      <c r="M32" s="515"/>
      <c r="N32" s="515"/>
      <c r="O32" s="515"/>
      <c r="P32" s="515"/>
      <c r="Q32" s="515"/>
      <c r="R32" s="515"/>
      <c r="S32" s="515"/>
      <c r="T32" s="515"/>
      <c r="U32" s="515">
        <v>270</v>
      </c>
      <c r="V32" s="512">
        <f t="shared" si="0"/>
        <v>270</v>
      </c>
    </row>
    <row r="33" spans="1:22">
      <c r="A33" s="512">
        <v>302</v>
      </c>
      <c r="B33" s="512">
        <v>2029</v>
      </c>
      <c r="C33" s="512" t="s">
        <v>344</v>
      </c>
      <c r="D33" s="515"/>
      <c r="E33" s="515">
        <v>51</v>
      </c>
      <c r="F33" s="515">
        <v>73</v>
      </c>
      <c r="G33" s="515">
        <v>62</v>
      </c>
      <c r="H33" s="515">
        <v>59</v>
      </c>
      <c r="I33" s="515">
        <v>59</v>
      </c>
      <c r="J33" s="515">
        <v>60</v>
      </c>
      <c r="K33" s="515">
        <v>60</v>
      </c>
      <c r="L33" s="515">
        <v>59</v>
      </c>
      <c r="M33" s="515"/>
      <c r="N33" s="515"/>
      <c r="O33" s="515"/>
      <c r="P33" s="515"/>
      <c r="Q33" s="515"/>
      <c r="R33" s="515"/>
      <c r="S33" s="515"/>
      <c r="T33" s="515"/>
      <c r="U33" s="515">
        <v>483</v>
      </c>
      <c r="V33" s="512">
        <f t="shared" si="0"/>
        <v>462.6</v>
      </c>
    </row>
    <row r="34" spans="1:22">
      <c r="A34" s="512">
        <v>302</v>
      </c>
      <c r="B34" s="512">
        <v>2030</v>
      </c>
      <c r="C34" s="512" t="s">
        <v>1497</v>
      </c>
      <c r="D34" s="515"/>
      <c r="E34" s="515"/>
      <c r="F34" s="515">
        <v>60</v>
      </c>
      <c r="G34" s="515">
        <v>28</v>
      </c>
      <c r="H34" s="515">
        <v>25</v>
      </c>
      <c r="I34" s="515"/>
      <c r="J34" s="515"/>
      <c r="K34" s="515"/>
      <c r="L34" s="515"/>
      <c r="M34" s="515"/>
      <c r="N34" s="515"/>
      <c r="O34" s="515"/>
      <c r="P34" s="515"/>
      <c r="Q34" s="515"/>
      <c r="R34" s="515"/>
      <c r="S34" s="515"/>
      <c r="T34" s="515"/>
      <c r="U34" s="515">
        <v>113</v>
      </c>
      <c r="V34" s="512">
        <f t="shared" si="0"/>
        <v>113</v>
      </c>
    </row>
    <row r="35" spans="1:22">
      <c r="A35" s="512">
        <v>302</v>
      </c>
      <c r="B35" s="512">
        <v>2031</v>
      </c>
      <c r="C35" s="512" t="s">
        <v>1498</v>
      </c>
      <c r="D35" s="515">
        <v>27</v>
      </c>
      <c r="E35" s="515"/>
      <c r="F35" s="515">
        <v>30</v>
      </c>
      <c r="G35" s="515">
        <v>28</v>
      </c>
      <c r="H35" s="515">
        <v>30</v>
      </c>
      <c r="I35" s="515">
        <v>30</v>
      </c>
      <c r="J35" s="515">
        <v>28</v>
      </c>
      <c r="K35" s="515">
        <v>23</v>
      </c>
      <c r="L35" s="515">
        <v>28</v>
      </c>
      <c r="M35" s="515"/>
      <c r="N35" s="515"/>
      <c r="O35" s="515"/>
      <c r="P35" s="515"/>
      <c r="Q35" s="515"/>
      <c r="R35" s="515"/>
      <c r="S35" s="515"/>
      <c r="T35" s="515"/>
      <c r="U35" s="515">
        <v>224</v>
      </c>
      <c r="V35" s="512">
        <f t="shared" si="0"/>
        <v>213.2</v>
      </c>
    </row>
    <row r="36" spans="1:22">
      <c r="A36" s="512">
        <v>302</v>
      </c>
      <c r="B36" s="512">
        <v>2032</v>
      </c>
      <c r="C36" s="512" t="s">
        <v>71</v>
      </c>
      <c r="D36" s="515">
        <v>56</v>
      </c>
      <c r="E36" s="515">
        <v>6</v>
      </c>
      <c r="F36" s="515">
        <v>60</v>
      </c>
      <c r="G36" s="515">
        <v>91</v>
      </c>
      <c r="H36" s="515">
        <v>60</v>
      </c>
      <c r="I36" s="515">
        <v>89</v>
      </c>
      <c r="J36" s="515">
        <v>60</v>
      </c>
      <c r="K36" s="515">
        <v>60</v>
      </c>
      <c r="L36" s="515">
        <v>59</v>
      </c>
      <c r="M36" s="515"/>
      <c r="N36" s="515"/>
      <c r="O36" s="515"/>
      <c r="P36" s="515"/>
      <c r="Q36" s="515"/>
      <c r="R36" s="515"/>
      <c r="S36" s="515"/>
      <c r="T36" s="515"/>
      <c r="U36" s="515">
        <v>541</v>
      </c>
      <c r="V36" s="512">
        <f t="shared" si="0"/>
        <v>516.20000000000005</v>
      </c>
    </row>
    <row r="37" spans="1:22">
      <c r="A37" s="512">
        <v>302</v>
      </c>
      <c r="B37" s="512">
        <v>2036</v>
      </c>
      <c r="C37" s="512" t="s">
        <v>74</v>
      </c>
      <c r="D37" s="515">
        <v>10</v>
      </c>
      <c r="E37" s="515">
        <v>24</v>
      </c>
      <c r="F37" s="515">
        <v>55</v>
      </c>
      <c r="G37" s="515">
        <v>29</v>
      </c>
      <c r="H37" s="515">
        <v>28</v>
      </c>
      <c r="I37" s="515">
        <v>30</v>
      </c>
      <c r="J37" s="515">
        <v>27</v>
      </c>
      <c r="K37" s="515">
        <v>23</v>
      </c>
      <c r="L37" s="515">
        <v>27</v>
      </c>
      <c r="M37" s="515"/>
      <c r="N37" s="515"/>
      <c r="O37" s="515"/>
      <c r="P37" s="515"/>
      <c r="Q37" s="515"/>
      <c r="R37" s="515"/>
      <c r="S37" s="515"/>
      <c r="T37" s="515"/>
      <c r="U37" s="515">
        <v>253</v>
      </c>
      <c r="V37" s="512">
        <f t="shared" si="0"/>
        <v>239.4</v>
      </c>
    </row>
    <row r="38" spans="1:22">
      <c r="A38" s="512">
        <v>302</v>
      </c>
      <c r="B38" s="512">
        <v>2037</v>
      </c>
      <c r="C38" s="512" t="s">
        <v>349</v>
      </c>
      <c r="D38" s="515"/>
      <c r="E38" s="515">
        <v>37</v>
      </c>
      <c r="F38" s="515">
        <v>30</v>
      </c>
      <c r="G38" s="515">
        <v>31</v>
      </c>
      <c r="H38" s="515">
        <v>59</v>
      </c>
      <c r="I38" s="515">
        <v>30</v>
      </c>
      <c r="J38" s="515">
        <v>32</v>
      </c>
      <c r="K38" s="515">
        <v>31</v>
      </c>
      <c r="L38" s="515">
        <v>30</v>
      </c>
      <c r="M38" s="515"/>
      <c r="N38" s="515"/>
      <c r="O38" s="515"/>
      <c r="P38" s="515"/>
      <c r="Q38" s="515"/>
      <c r="R38" s="515"/>
      <c r="S38" s="515"/>
      <c r="T38" s="515"/>
      <c r="U38" s="515">
        <v>280</v>
      </c>
      <c r="V38" s="512">
        <f t="shared" si="0"/>
        <v>265.2</v>
      </c>
    </row>
    <row r="39" spans="1:22">
      <c r="A39" s="512">
        <v>302</v>
      </c>
      <c r="B39" s="512">
        <v>2038</v>
      </c>
      <c r="C39" s="512" t="s">
        <v>357</v>
      </c>
      <c r="D39" s="515">
        <v>27</v>
      </c>
      <c r="E39" s="515">
        <v>6</v>
      </c>
      <c r="F39" s="515">
        <v>60</v>
      </c>
      <c r="G39" s="515">
        <v>62</v>
      </c>
      <c r="H39" s="515">
        <v>60</v>
      </c>
      <c r="I39" s="515">
        <v>59</v>
      </c>
      <c r="J39" s="515">
        <v>59</v>
      </c>
      <c r="K39" s="515">
        <v>58</v>
      </c>
      <c r="L39" s="515">
        <v>39</v>
      </c>
      <c r="M39" s="515"/>
      <c r="N39" s="515"/>
      <c r="O39" s="515"/>
      <c r="P39" s="515"/>
      <c r="Q39" s="515"/>
      <c r="R39" s="515"/>
      <c r="S39" s="515"/>
      <c r="T39" s="515"/>
      <c r="U39" s="515">
        <v>430</v>
      </c>
      <c r="V39" s="512">
        <f t="shared" si="0"/>
        <v>416.8</v>
      </c>
    </row>
    <row r="40" spans="1:22">
      <c r="A40" s="512">
        <v>302</v>
      </c>
      <c r="B40" s="512">
        <v>2041</v>
      </c>
      <c r="C40" s="512" t="s">
        <v>1499</v>
      </c>
      <c r="D40" s="515"/>
      <c r="E40" s="515"/>
      <c r="F40" s="515">
        <v>30</v>
      </c>
      <c r="G40" s="515">
        <v>30</v>
      </c>
      <c r="H40" s="515">
        <v>29</v>
      </c>
      <c r="I40" s="515">
        <v>24</v>
      </c>
      <c r="J40" s="515">
        <v>22</v>
      </c>
      <c r="K40" s="515">
        <v>11</v>
      </c>
      <c r="L40" s="515"/>
      <c r="M40" s="515"/>
      <c r="N40" s="515"/>
      <c r="O40" s="515"/>
      <c r="P40" s="515"/>
      <c r="Q40" s="515"/>
      <c r="R40" s="515"/>
      <c r="S40" s="515"/>
      <c r="T40" s="515"/>
      <c r="U40" s="515">
        <v>146</v>
      </c>
      <c r="V40" s="512">
        <f t="shared" si="0"/>
        <v>146</v>
      </c>
    </row>
    <row r="41" spans="1:22">
      <c r="A41" s="512">
        <v>302</v>
      </c>
      <c r="B41" s="512">
        <v>2042</v>
      </c>
      <c r="C41" s="512" t="s">
        <v>81</v>
      </c>
      <c r="D41" s="515"/>
      <c r="E41" s="515"/>
      <c r="F41" s="515">
        <v>30</v>
      </c>
      <c r="G41" s="515">
        <v>32</v>
      </c>
      <c r="H41" s="515">
        <v>30</v>
      </c>
      <c r="I41" s="515">
        <v>60</v>
      </c>
      <c r="J41" s="515">
        <v>31</v>
      </c>
      <c r="K41" s="515">
        <v>30</v>
      </c>
      <c r="L41" s="515">
        <v>31</v>
      </c>
      <c r="M41" s="515"/>
      <c r="N41" s="515"/>
      <c r="O41" s="515"/>
      <c r="P41" s="515"/>
      <c r="Q41" s="515"/>
      <c r="R41" s="515"/>
      <c r="S41" s="515"/>
      <c r="T41" s="515"/>
      <c r="U41" s="515">
        <v>244</v>
      </c>
      <c r="V41" s="512">
        <f t="shared" si="0"/>
        <v>244</v>
      </c>
    </row>
    <row r="42" spans="1:22">
      <c r="A42" s="512">
        <v>302</v>
      </c>
      <c r="B42" s="512">
        <v>2043</v>
      </c>
      <c r="C42" s="512" t="s">
        <v>83</v>
      </c>
      <c r="D42" s="515"/>
      <c r="E42" s="515"/>
      <c r="F42" s="515"/>
      <c r="G42" s="515"/>
      <c r="H42" s="515"/>
      <c r="I42" s="515">
        <v>90</v>
      </c>
      <c r="J42" s="515">
        <v>118</v>
      </c>
      <c r="K42" s="515">
        <v>90</v>
      </c>
      <c r="L42" s="515">
        <v>88</v>
      </c>
      <c r="M42" s="515"/>
      <c r="N42" s="515"/>
      <c r="O42" s="515"/>
      <c r="P42" s="515"/>
      <c r="Q42" s="515"/>
      <c r="R42" s="515"/>
      <c r="S42" s="515"/>
      <c r="T42" s="515"/>
      <c r="U42" s="515">
        <v>386</v>
      </c>
      <c r="V42" s="512">
        <f t="shared" si="0"/>
        <v>386</v>
      </c>
    </row>
    <row r="43" spans="1:22">
      <c r="A43" s="512">
        <v>302</v>
      </c>
      <c r="B43" s="512">
        <v>2044</v>
      </c>
      <c r="C43" s="512" t="s">
        <v>82</v>
      </c>
      <c r="D43" s="515"/>
      <c r="E43" s="515"/>
      <c r="F43" s="515">
        <v>119</v>
      </c>
      <c r="G43" s="515">
        <v>122</v>
      </c>
      <c r="H43" s="515">
        <v>88</v>
      </c>
      <c r="I43" s="515"/>
      <c r="J43" s="515"/>
      <c r="K43" s="515"/>
      <c r="L43" s="515"/>
      <c r="M43" s="515"/>
      <c r="N43" s="515"/>
      <c r="O43" s="515"/>
      <c r="P43" s="515"/>
      <c r="Q43" s="515"/>
      <c r="R43" s="515"/>
      <c r="S43" s="515"/>
      <c r="T43" s="515"/>
      <c r="U43" s="515">
        <v>329</v>
      </c>
      <c r="V43" s="512">
        <f t="shared" si="0"/>
        <v>329</v>
      </c>
    </row>
    <row r="44" spans="1:22">
      <c r="A44" s="512">
        <v>302</v>
      </c>
      <c r="B44" s="512">
        <v>2045</v>
      </c>
      <c r="C44" s="512" t="s">
        <v>84</v>
      </c>
      <c r="D44" s="515"/>
      <c r="E44" s="515">
        <v>46</v>
      </c>
      <c r="F44" s="515">
        <v>60</v>
      </c>
      <c r="G44" s="515">
        <v>31</v>
      </c>
      <c r="H44" s="515">
        <v>32</v>
      </c>
      <c r="I44" s="515">
        <v>30</v>
      </c>
      <c r="J44" s="515">
        <v>27</v>
      </c>
      <c r="K44" s="515">
        <v>30</v>
      </c>
      <c r="L44" s="515">
        <v>30</v>
      </c>
      <c r="M44" s="515"/>
      <c r="N44" s="515"/>
      <c r="O44" s="515"/>
      <c r="P44" s="515"/>
      <c r="Q44" s="515"/>
      <c r="R44" s="515"/>
      <c r="S44" s="515"/>
      <c r="T44" s="515"/>
      <c r="U44" s="515">
        <v>286</v>
      </c>
      <c r="V44" s="512">
        <f t="shared" si="0"/>
        <v>267.60000000000002</v>
      </c>
    </row>
    <row r="45" spans="1:22">
      <c r="A45" s="512">
        <v>302</v>
      </c>
      <c r="B45" s="512">
        <v>2047</v>
      </c>
      <c r="C45" s="512" t="s">
        <v>373</v>
      </c>
      <c r="D45" s="515">
        <v>37</v>
      </c>
      <c r="E45" s="515">
        <v>28</v>
      </c>
      <c r="F45" s="515">
        <v>58</v>
      </c>
      <c r="G45" s="515">
        <v>60</v>
      </c>
      <c r="H45" s="515">
        <v>58</v>
      </c>
      <c r="I45" s="515">
        <v>51</v>
      </c>
      <c r="J45" s="515">
        <v>60</v>
      </c>
      <c r="K45" s="515">
        <v>59</v>
      </c>
      <c r="L45" s="515">
        <v>43</v>
      </c>
      <c r="M45" s="515"/>
      <c r="N45" s="515"/>
      <c r="O45" s="515"/>
      <c r="P45" s="515"/>
      <c r="Q45" s="515"/>
      <c r="R45" s="515"/>
      <c r="S45" s="515"/>
      <c r="T45" s="515"/>
      <c r="U45" s="515">
        <v>454</v>
      </c>
      <c r="V45" s="512">
        <f t="shared" si="0"/>
        <v>428</v>
      </c>
    </row>
    <row r="46" spans="1:22">
      <c r="A46" s="512">
        <v>302</v>
      </c>
      <c r="B46" s="512">
        <v>2052</v>
      </c>
      <c r="C46" s="512" t="s">
        <v>369</v>
      </c>
      <c r="D46" s="515"/>
      <c r="E46" s="515">
        <v>23</v>
      </c>
      <c r="F46" s="515">
        <v>63</v>
      </c>
      <c r="G46" s="515">
        <v>84</v>
      </c>
      <c r="H46" s="515">
        <v>61</v>
      </c>
      <c r="I46" s="515">
        <v>57</v>
      </c>
      <c r="J46" s="515">
        <v>55</v>
      </c>
      <c r="K46" s="515">
        <v>52</v>
      </c>
      <c r="L46" s="515">
        <v>59</v>
      </c>
      <c r="M46" s="515"/>
      <c r="N46" s="515"/>
      <c r="O46" s="515"/>
      <c r="P46" s="515"/>
      <c r="Q46" s="515"/>
      <c r="R46" s="515"/>
      <c r="S46" s="515"/>
      <c r="T46" s="515"/>
      <c r="U46" s="515">
        <v>454</v>
      </c>
      <c r="V46" s="512">
        <f t="shared" si="0"/>
        <v>444.8</v>
      </c>
    </row>
    <row r="47" spans="1:22">
      <c r="A47" s="512">
        <v>302</v>
      </c>
      <c r="B47" s="512">
        <v>2054</v>
      </c>
      <c r="C47" s="512" t="s">
        <v>1500</v>
      </c>
      <c r="D47" s="515"/>
      <c r="E47" s="515"/>
      <c r="F47" s="515">
        <v>31</v>
      </c>
      <c r="G47" s="515">
        <v>31</v>
      </c>
      <c r="H47" s="515">
        <v>60</v>
      </c>
      <c r="I47" s="515">
        <v>29</v>
      </c>
      <c r="J47" s="515">
        <v>30</v>
      </c>
      <c r="K47" s="515">
        <v>30</v>
      </c>
      <c r="L47" s="515">
        <v>30</v>
      </c>
      <c r="M47" s="515"/>
      <c r="N47" s="515"/>
      <c r="O47" s="515"/>
      <c r="P47" s="515"/>
      <c r="Q47" s="515"/>
      <c r="R47" s="515"/>
      <c r="S47" s="515"/>
      <c r="T47" s="515"/>
      <c r="U47" s="515">
        <v>241</v>
      </c>
      <c r="V47" s="512">
        <f t="shared" si="0"/>
        <v>241</v>
      </c>
    </row>
    <row r="48" spans="1:22">
      <c r="A48" s="512">
        <v>302</v>
      </c>
      <c r="B48" s="512">
        <v>2055</v>
      </c>
      <c r="C48" s="512" t="s">
        <v>111</v>
      </c>
      <c r="D48" s="515"/>
      <c r="E48" s="515">
        <v>17</v>
      </c>
      <c r="F48" s="515">
        <v>28</v>
      </c>
      <c r="G48" s="515">
        <v>30</v>
      </c>
      <c r="H48" s="515">
        <v>29</v>
      </c>
      <c r="I48" s="515">
        <v>42</v>
      </c>
      <c r="J48" s="515">
        <v>30</v>
      </c>
      <c r="K48" s="515">
        <v>20</v>
      </c>
      <c r="L48" s="515">
        <v>30</v>
      </c>
      <c r="M48" s="515"/>
      <c r="N48" s="515"/>
      <c r="O48" s="515"/>
      <c r="P48" s="515"/>
      <c r="Q48" s="515"/>
      <c r="R48" s="515"/>
      <c r="S48" s="515"/>
      <c r="T48" s="515"/>
      <c r="U48" s="515">
        <v>226</v>
      </c>
      <c r="V48" s="512">
        <f t="shared" si="0"/>
        <v>219.2</v>
      </c>
    </row>
    <row r="49" spans="1:22">
      <c r="A49" s="512">
        <v>302</v>
      </c>
      <c r="B49" s="512">
        <v>2056</v>
      </c>
      <c r="C49" s="512" t="s">
        <v>113</v>
      </c>
      <c r="D49" s="515"/>
      <c r="E49" s="515"/>
      <c r="F49" s="515"/>
      <c r="G49" s="515"/>
      <c r="H49" s="515"/>
      <c r="I49" s="515">
        <v>75</v>
      </c>
      <c r="J49" s="515">
        <v>73</v>
      </c>
      <c r="K49" s="515">
        <v>57</v>
      </c>
      <c r="L49" s="515">
        <v>65</v>
      </c>
      <c r="M49" s="515"/>
      <c r="N49" s="515"/>
      <c r="O49" s="515"/>
      <c r="P49" s="515"/>
      <c r="Q49" s="515"/>
      <c r="R49" s="515"/>
      <c r="S49" s="515"/>
      <c r="T49" s="515"/>
      <c r="U49" s="515">
        <v>270</v>
      </c>
      <c r="V49" s="512">
        <f t="shared" si="0"/>
        <v>270</v>
      </c>
    </row>
    <row r="50" spans="1:22">
      <c r="A50" s="512">
        <v>302</v>
      </c>
      <c r="B50" s="512">
        <v>2057</v>
      </c>
      <c r="C50" s="512" t="s">
        <v>1501</v>
      </c>
      <c r="D50" s="515">
        <v>1</v>
      </c>
      <c r="E50" s="515">
        <v>42</v>
      </c>
      <c r="F50" s="515">
        <v>62</v>
      </c>
      <c r="G50" s="515">
        <v>86</v>
      </c>
      <c r="H50" s="515">
        <v>58</v>
      </c>
      <c r="I50" s="515"/>
      <c r="J50" s="515"/>
      <c r="K50" s="515"/>
      <c r="L50" s="515"/>
      <c r="M50" s="515"/>
      <c r="N50" s="515"/>
      <c r="O50" s="515"/>
      <c r="P50" s="515"/>
      <c r="Q50" s="515"/>
      <c r="R50" s="515"/>
      <c r="S50" s="515"/>
      <c r="T50" s="515"/>
      <c r="U50" s="515">
        <v>249</v>
      </c>
      <c r="V50" s="512">
        <f t="shared" si="0"/>
        <v>231.8</v>
      </c>
    </row>
    <row r="51" spans="1:22">
      <c r="A51" s="512">
        <v>302</v>
      </c>
      <c r="B51" s="512">
        <v>2060</v>
      </c>
      <c r="C51" s="512" t="s">
        <v>1502</v>
      </c>
      <c r="D51" s="515"/>
      <c r="E51" s="515">
        <v>50</v>
      </c>
      <c r="F51" s="515">
        <v>61</v>
      </c>
      <c r="G51" s="515">
        <v>60</v>
      </c>
      <c r="H51" s="515">
        <v>58</v>
      </c>
      <c r="I51" s="515">
        <v>59</v>
      </c>
      <c r="J51" s="515">
        <v>55</v>
      </c>
      <c r="K51" s="515">
        <v>58</v>
      </c>
      <c r="L51" s="515">
        <v>59</v>
      </c>
      <c r="M51" s="515"/>
      <c r="N51" s="515"/>
      <c r="O51" s="515"/>
      <c r="P51" s="515"/>
      <c r="Q51" s="515"/>
      <c r="R51" s="515"/>
      <c r="S51" s="515"/>
      <c r="T51" s="515"/>
      <c r="U51" s="515">
        <v>460</v>
      </c>
      <c r="V51" s="512">
        <f t="shared" si="0"/>
        <v>440</v>
      </c>
    </row>
    <row r="52" spans="1:22">
      <c r="A52" s="512">
        <v>302</v>
      </c>
      <c r="B52" s="512">
        <v>2067</v>
      </c>
      <c r="C52" s="512" t="s">
        <v>335</v>
      </c>
      <c r="D52" s="515"/>
      <c r="E52" s="515"/>
      <c r="F52" s="515">
        <v>30</v>
      </c>
      <c r="G52" s="515">
        <v>31</v>
      </c>
      <c r="H52" s="515">
        <v>30</v>
      </c>
      <c r="I52" s="515">
        <v>25</v>
      </c>
      <c r="J52" s="515">
        <v>30</v>
      </c>
      <c r="K52" s="515">
        <v>30</v>
      </c>
      <c r="L52" s="515">
        <v>30</v>
      </c>
      <c r="M52" s="515"/>
      <c r="N52" s="515"/>
      <c r="O52" s="515"/>
      <c r="P52" s="515"/>
      <c r="Q52" s="515"/>
      <c r="R52" s="515"/>
      <c r="S52" s="515"/>
      <c r="T52" s="515"/>
      <c r="U52" s="515">
        <v>206</v>
      </c>
      <c r="V52" s="512">
        <f t="shared" si="0"/>
        <v>206</v>
      </c>
    </row>
    <row r="53" spans="1:22">
      <c r="A53" s="512">
        <v>302</v>
      </c>
      <c r="B53" s="512">
        <v>2070</v>
      </c>
      <c r="C53" s="512" t="s">
        <v>370</v>
      </c>
      <c r="D53" s="515">
        <v>32</v>
      </c>
      <c r="E53" s="515">
        <v>9</v>
      </c>
      <c r="F53" s="515">
        <v>29</v>
      </c>
      <c r="G53" s="515">
        <v>30</v>
      </c>
      <c r="H53" s="515">
        <v>30</v>
      </c>
      <c r="I53" s="515">
        <v>30</v>
      </c>
      <c r="J53" s="515">
        <v>29</v>
      </c>
      <c r="K53" s="515">
        <v>28</v>
      </c>
      <c r="L53" s="515">
        <v>29</v>
      </c>
      <c r="M53" s="515"/>
      <c r="N53" s="515"/>
      <c r="O53" s="515"/>
      <c r="P53" s="515"/>
      <c r="Q53" s="515"/>
      <c r="R53" s="515"/>
      <c r="S53" s="515"/>
      <c r="T53" s="515"/>
      <c r="U53" s="515">
        <v>246</v>
      </c>
      <c r="V53" s="512">
        <f t="shared" si="0"/>
        <v>229.6</v>
      </c>
    </row>
    <row r="54" spans="1:22">
      <c r="A54" s="512">
        <v>302</v>
      </c>
      <c r="B54" s="512">
        <v>2071</v>
      </c>
      <c r="C54" s="512" t="s">
        <v>1503</v>
      </c>
      <c r="D54" s="515"/>
      <c r="E54" s="515">
        <v>65</v>
      </c>
      <c r="F54" s="515">
        <v>90</v>
      </c>
      <c r="G54" s="515">
        <v>113</v>
      </c>
      <c r="H54" s="515">
        <v>87</v>
      </c>
      <c r="I54" s="515"/>
      <c r="J54" s="515"/>
      <c r="K54" s="515"/>
      <c r="L54" s="515"/>
      <c r="M54" s="515"/>
      <c r="N54" s="515"/>
      <c r="O54" s="515"/>
      <c r="P54" s="515"/>
      <c r="Q54" s="515"/>
      <c r="R54" s="515"/>
      <c r="S54" s="515"/>
      <c r="T54" s="515"/>
      <c r="U54" s="515">
        <v>355</v>
      </c>
      <c r="V54" s="512">
        <f t="shared" si="0"/>
        <v>329</v>
      </c>
    </row>
    <row r="55" spans="1:22">
      <c r="A55" s="512">
        <v>302</v>
      </c>
      <c r="B55" s="512">
        <v>2072</v>
      </c>
      <c r="C55" s="512" t="s">
        <v>91</v>
      </c>
      <c r="D55" s="515"/>
      <c r="E55" s="515"/>
      <c r="F55" s="515"/>
      <c r="G55" s="515"/>
      <c r="H55" s="515"/>
      <c r="I55" s="515">
        <v>83</v>
      </c>
      <c r="J55" s="515">
        <v>75</v>
      </c>
      <c r="K55" s="515">
        <v>80</v>
      </c>
      <c r="L55" s="515">
        <v>78</v>
      </c>
      <c r="M55" s="515"/>
      <c r="N55" s="515"/>
      <c r="O55" s="515"/>
      <c r="P55" s="515"/>
      <c r="Q55" s="515"/>
      <c r="R55" s="515"/>
      <c r="S55" s="515"/>
      <c r="T55" s="515"/>
      <c r="U55" s="515">
        <v>316</v>
      </c>
      <c r="V55" s="512">
        <f t="shared" si="0"/>
        <v>316</v>
      </c>
    </row>
    <row r="56" spans="1:22">
      <c r="A56" s="512">
        <v>302</v>
      </c>
      <c r="B56" s="512">
        <v>2073</v>
      </c>
      <c r="C56" s="512" t="s">
        <v>1504</v>
      </c>
      <c r="D56" s="515"/>
      <c r="E56" s="515"/>
      <c r="F56" s="515">
        <v>90</v>
      </c>
      <c r="G56" s="515">
        <v>91</v>
      </c>
      <c r="H56" s="515">
        <v>117</v>
      </c>
      <c r="I56" s="515">
        <v>89</v>
      </c>
      <c r="J56" s="515">
        <v>91</v>
      </c>
      <c r="K56" s="515">
        <v>90</v>
      </c>
      <c r="L56" s="515">
        <v>89</v>
      </c>
      <c r="M56" s="515"/>
      <c r="N56" s="515"/>
      <c r="O56" s="515"/>
      <c r="P56" s="515"/>
      <c r="Q56" s="515"/>
      <c r="R56" s="515"/>
      <c r="S56" s="515"/>
      <c r="T56" s="515"/>
      <c r="U56" s="515">
        <v>657</v>
      </c>
      <c r="V56" s="512">
        <f t="shared" si="0"/>
        <v>657</v>
      </c>
    </row>
    <row r="57" spans="1:22">
      <c r="A57" s="512">
        <v>302</v>
      </c>
      <c r="B57" s="512">
        <v>2076</v>
      </c>
      <c r="C57" s="512" t="s">
        <v>1505</v>
      </c>
      <c r="D57" s="515"/>
      <c r="E57" s="515">
        <v>52</v>
      </c>
      <c r="F57" s="515">
        <v>58</v>
      </c>
      <c r="G57" s="515">
        <v>59</v>
      </c>
      <c r="H57" s="515">
        <v>60</v>
      </c>
      <c r="I57" s="515">
        <v>59</v>
      </c>
      <c r="J57" s="515">
        <v>79</v>
      </c>
      <c r="K57" s="515">
        <v>58</v>
      </c>
      <c r="L57" s="515">
        <v>60</v>
      </c>
      <c r="M57" s="515"/>
      <c r="N57" s="515"/>
      <c r="O57" s="515"/>
      <c r="P57" s="515"/>
      <c r="Q57" s="515"/>
      <c r="R57" s="515"/>
      <c r="S57" s="515"/>
      <c r="T57" s="515"/>
      <c r="U57" s="515">
        <v>485</v>
      </c>
      <c r="V57" s="512">
        <f t="shared" si="0"/>
        <v>464.2</v>
      </c>
    </row>
    <row r="58" spans="1:22">
      <c r="A58" s="512">
        <v>302</v>
      </c>
      <c r="B58" s="512">
        <v>2077</v>
      </c>
      <c r="C58" s="512" t="s">
        <v>374</v>
      </c>
      <c r="D58" s="515"/>
      <c r="E58" s="515">
        <v>59</v>
      </c>
      <c r="F58" s="515">
        <v>88</v>
      </c>
      <c r="G58" s="515">
        <v>93</v>
      </c>
      <c r="H58" s="515">
        <v>74</v>
      </c>
      <c r="I58" s="515">
        <v>75</v>
      </c>
      <c r="J58" s="515">
        <v>61</v>
      </c>
      <c r="K58" s="515">
        <v>61</v>
      </c>
      <c r="L58" s="515">
        <v>57</v>
      </c>
      <c r="M58" s="515"/>
      <c r="N58" s="515"/>
      <c r="O58" s="515"/>
      <c r="P58" s="515"/>
      <c r="Q58" s="515"/>
      <c r="R58" s="515"/>
      <c r="S58" s="515"/>
      <c r="T58" s="515"/>
      <c r="U58" s="515">
        <v>568</v>
      </c>
      <c r="V58" s="512">
        <f t="shared" si="0"/>
        <v>544.4</v>
      </c>
    </row>
    <row r="59" spans="1:22">
      <c r="A59" s="512">
        <v>302</v>
      </c>
      <c r="B59" s="512">
        <v>2078</v>
      </c>
      <c r="C59" s="512" t="s">
        <v>88</v>
      </c>
      <c r="D59" s="515"/>
      <c r="E59" s="515"/>
      <c r="F59" s="515">
        <v>44</v>
      </c>
      <c r="G59" s="515">
        <v>33</v>
      </c>
      <c r="H59" s="515">
        <v>33</v>
      </c>
      <c r="I59" s="515">
        <v>29</v>
      </c>
      <c r="J59" s="515">
        <v>31</v>
      </c>
      <c r="K59" s="515">
        <v>23</v>
      </c>
      <c r="L59" s="515">
        <v>22</v>
      </c>
      <c r="M59" s="515"/>
      <c r="N59" s="515"/>
      <c r="O59" s="515"/>
      <c r="P59" s="515"/>
      <c r="Q59" s="515"/>
      <c r="R59" s="515"/>
      <c r="S59" s="515"/>
      <c r="T59" s="515"/>
      <c r="U59" s="515">
        <v>215</v>
      </c>
      <c r="V59" s="512">
        <f t="shared" si="0"/>
        <v>215</v>
      </c>
    </row>
    <row r="60" spans="1:22">
      <c r="A60" s="512">
        <v>302</v>
      </c>
      <c r="B60" s="512">
        <v>2079</v>
      </c>
      <c r="C60" s="512" t="s">
        <v>38</v>
      </c>
      <c r="D60" s="515"/>
      <c r="E60" s="515">
        <v>74</v>
      </c>
      <c r="F60" s="515">
        <v>56</v>
      </c>
      <c r="G60" s="515">
        <v>80</v>
      </c>
      <c r="H60" s="515">
        <v>58</v>
      </c>
      <c r="I60" s="515">
        <v>60</v>
      </c>
      <c r="J60" s="515">
        <v>59</v>
      </c>
      <c r="K60" s="515">
        <v>60</v>
      </c>
      <c r="L60" s="515">
        <v>78</v>
      </c>
      <c r="M60" s="515"/>
      <c r="N60" s="515"/>
      <c r="O60" s="515"/>
      <c r="P60" s="515"/>
      <c r="Q60" s="515"/>
      <c r="R60" s="515"/>
      <c r="S60" s="515"/>
      <c r="T60" s="515"/>
      <c r="U60" s="515">
        <v>525</v>
      </c>
      <c r="V60" s="512">
        <f t="shared" si="0"/>
        <v>495.4</v>
      </c>
    </row>
    <row r="61" spans="1:22">
      <c r="A61" s="512">
        <v>302</v>
      </c>
      <c r="B61" s="512">
        <v>3300</v>
      </c>
      <c r="C61" s="512" t="s">
        <v>1506</v>
      </c>
      <c r="D61" s="515"/>
      <c r="E61" s="515"/>
      <c r="F61" s="515">
        <v>30</v>
      </c>
      <c r="G61" s="515">
        <v>31</v>
      </c>
      <c r="H61" s="515">
        <v>29</v>
      </c>
      <c r="I61" s="515">
        <v>31</v>
      </c>
      <c r="J61" s="515">
        <v>28</v>
      </c>
      <c r="K61" s="515">
        <v>30</v>
      </c>
      <c r="L61" s="515">
        <v>30</v>
      </c>
      <c r="M61" s="515"/>
      <c r="N61" s="515"/>
      <c r="O61" s="515"/>
      <c r="P61" s="515"/>
      <c r="Q61" s="515"/>
      <c r="R61" s="515"/>
      <c r="S61" s="515"/>
      <c r="T61" s="515"/>
      <c r="U61" s="515">
        <v>209</v>
      </c>
      <c r="V61" s="512">
        <f t="shared" si="0"/>
        <v>209</v>
      </c>
    </row>
    <row r="62" spans="1:22">
      <c r="A62" s="512">
        <v>302</v>
      </c>
      <c r="B62" s="512">
        <v>3302</v>
      </c>
      <c r="C62" s="512" t="s">
        <v>1507</v>
      </c>
      <c r="D62" s="515">
        <v>14</v>
      </c>
      <c r="E62" s="515">
        <v>5</v>
      </c>
      <c r="F62" s="515">
        <v>30</v>
      </c>
      <c r="G62" s="515">
        <v>30</v>
      </c>
      <c r="H62" s="515">
        <v>29</v>
      </c>
      <c r="I62" s="515">
        <v>30</v>
      </c>
      <c r="J62" s="515">
        <v>30</v>
      </c>
      <c r="K62" s="515">
        <v>30</v>
      </c>
      <c r="L62" s="515">
        <v>30</v>
      </c>
      <c r="M62" s="515"/>
      <c r="N62" s="515"/>
      <c r="O62" s="515"/>
      <c r="P62" s="515"/>
      <c r="Q62" s="515"/>
      <c r="R62" s="515"/>
      <c r="S62" s="515"/>
      <c r="T62" s="515"/>
      <c r="U62" s="515">
        <v>228</v>
      </c>
      <c r="V62" s="512">
        <f t="shared" si="0"/>
        <v>220.4</v>
      </c>
    </row>
    <row r="63" spans="1:22">
      <c r="A63" s="512">
        <v>302</v>
      </c>
      <c r="B63" s="512">
        <v>3304</v>
      </c>
      <c r="C63" s="512" t="s">
        <v>1508</v>
      </c>
      <c r="D63" s="515"/>
      <c r="E63" s="515">
        <v>28</v>
      </c>
      <c r="F63" s="515">
        <v>43</v>
      </c>
      <c r="G63" s="515">
        <v>30</v>
      </c>
      <c r="H63" s="515">
        <v>30</v>
      </c>
      <c r="I63" s="515">
        <v>30</v>
      </c>
      <c r="J63" s="515">
        <v>30</v>
      </c>
      <c r="K63" s="515">
        <v>30</v>
      </c>
      <c r="L63" s="515">
        <v>30</v>
      </c>
      <c r="M63" s="515"/>
      <c r="N63" s="515"/>
      <c r="O63" s="515"/>
      <c r="P63" s="515"/>
      <c r="Q63" s="515"/>
      <c r="R63" s="515"/>
      <c r="S63" s="515"/>
      <c r="T63" s="515"/>
      <c r="U63" s="515">
        <v>251</v>
      </c>
      <c r="V63" s="512">
        <f t="shared" si="0"/>
        <v>239.8</v>
      </c>
    </row>
    <row r="64" spans="1:22">
      <c r="A64" s="512">
        <v>302</v>
      </c>
      <c r="B64" s="512">
        <v>3305</v>
      </c>
      <c r="C64" s="512" t="s">
        <v>1509</v>
      </c>
      <c r="D64" s="515"/>
      <c r="E64" s="515"/>
      <c r="F64" s="515">
        <v>18</v>
      </c>
      <c r="G64" s="515">
        <v>20</v>
      </c>
      <c r="H64" s="515">
        <v>20</v>
      </c>
      <c r="I64" s="515">
        <v>21</v>
      </c>
      <c r="J64" s="515">
        <v>19</v>
      </c>
      <c r="K64" s="515">
        <v>22</v>
      </c>
      <c r="L64" s="515">
        <v>24</v>
      </c>
      <c r="M64" s="515"/>
      <c r="N64" s="515"/>
      <c r="O64" s="515"/>
      <c r="P64" s="515"/>
      <c r="Q64" s="515"/>
      <c r="R64" s="515"/>
      <c r="S64" s="515"/>
      <c r="T64" s="515"/>
      <c r="U64" s="515">
        <v>144</v>
      </c>
      <c r="V64" s="512">
        <f t="shared" si="0"/>
        <v>144</v>
      </c>
    </row>
    <row r="65" spans="1:22">
      <c r="A65" s="512">
        <v>302</v>
      </c>
      <c r="B65" s="512">
        <v>3307</v>
      </c>
      <c r="C65" s="512" t="s">
        <v>1510</v>
      </c>
      <c r="D65" s="515"/>
      <c r="E65" s="515">
        <v>26</v>
      </c>
      <c r="F65" s="515">
        <v>30</v>
      </c>
      <c r="G65" s="515">
        <v>30</v>
      </c>
      <c r="H65" s="515">
        <v>30</v>
      </c>
      <c r="I65" s="515">
        <v>31</v>
      </c>
      <c r="J65" s="515">
        <v>30</v>
      </c>
      <c r="K65" s="515">
        <v>30</v>
      </c>
      <c r="L65" s="515">
        <v>29</v>
      </c>
      <c r="M65" s="515"/>
      <c r="N65" s="515"/>
      <c r="O65" s="515"/>
      <c r="P65" s="515"/>
      <c r="Q65" s="515"/>
      <c r="R65" s="515"/>
      <c r="S65" s="515"/>
      <c r="T65" s="515"/>
      <c r="U65" s="515">
        <v>236</v>
      </c>
      <c r="V65" s="512">
        <f t="shared" si="0"/>
        <v>225.6</v>
      </c>
    </row>
    <row r="66" spans="1:22">
      <c r="A66" s="512">
        <v>302</v>
      </c>
      <c r="B66" s="512">
        <v>3309</v>
      </c>
      <c r="C66" s="512" t="s">
        <v>1511</v>
      </c>
      <c r="D66" s="515">
        <v>1</v>
      </c>
      <c r="E66" s="515">
        <v>25</v>
      </c>
      <c r="F66" s="515">
        <v>30</v>
      </c>
      <c r="G66" s="515">
        <v>30</v>
      </c>
      <c r="H66" s="515">
        <v>30</v>
      </c>
      <c r="I66" s="515">
        <v>30</v>
      </c>
      <c r="J66" s="515">
        <v>29</v>
      </c>
      <c r="K66" s="515">
        <v>31</v>
      </c>
      <c r="L66" s="515">
        <v>30</v>
      </c>
      <c r="M66" s="515"/>
      <c r="N66" s="515"/>
      <c r="O66" s="515"/>
      <c r="P66" s="515"/>
      <c r="Q66" s="515"/>
      <c r="R66" s="515"/>
      <c r="S66" s="515"/>
      <c r="T66" s="515"/>
      <c r="U66" s="515">
        <v>236</v>
      </c>
      <c r="V66" s="512">
        <f t="shared" si="0"/>
        <v>225.6</v>
      </c>
    </row>
    <row r="67" spans="1:22">
      <c r="A67" s="512">
        <v>302</v>
      </c>
      <c r="B67" s="512">
        <v>3311</v>
      </c>
      <c r="C67" s="512" t="s">
        <v>1512</v>
      </c>
      <c r="D67" s="515">
        <v>61</v>
      </c>
      <c r="E67" s="515"/>
      <c r="F67" s="515">
        <v>60</v>
      </c>
      <c r="G67" s="515">
        <v>61</v>
      </c>
      <c r="H67" s="515">
        <v>60</v>
      </c>
      <c r="I67" s="515">
        <v>60</v>
      </c>
      <c r="J67" s="515">
        <v>60</v>
      </c>
      <c r="K67" s="515">
        <v>60</v>
      </c>
      <c r="L67" s="515">
        <v>59</v>
      </c>
      <c r="M67" s="515"/>
      <c r="N67" s="515"/>
      <c r="O67" s="515"/>
      <c r="P67" s="515"/>
      <c r="Q67" s="515"/>
      <c r="R67" s="515"/>
      <c r="S67" s="515"/>
      <c r="T67" s="515"/>
      <c r="U67" s="515">
        <v>481</v>
      </c>
      <c r="V67" s="512">
        <f t="shared" si="0"/>
        <v>456.6</v>
      </c>
    </row>
    <row r="68" spans="1:22">
      <c r="A68" s="512">
        <v>302</v>
      </c>
      <c r="B68" s="512">
        <v>3312</v>
      </c>
      <c r="C68" s="512" t="s">
        <v>1513</v>
      </c>
      <c r="D68" s="515"/>
      <c r="E68" s="515"/>
      <c r="F68" s="515">
        <v>31</v>
      </c>
      <c r="G68" s="515">
        <v>30</v>
      </c>
      <c r="H68" s="515">
        <v>30</v>
      </c>
      <c r="I68" s="515">
        <v>31</v>
      </c>
      <c r="J68" s="515">
        <v>32</v>
      </c>
      <c r="K68" s="515">
        <v>32</v>
      </c>
      <c r="L68" s="515">
        <v>29</v>
      </c>
      <c r="M68" s="515"/>
      <c r="N68" s="515"/>
      <c r="O68" s="515"/>
      <c r="P68" s="515"/>
      <c r="Q68" s="515"/>
      <c r="R68" s="515"/>
      <c r="S68" s="515"/>
      <c r="T68" s="515"/>
      <c r="U68" s="515">
        <v>215</v>
      </c>
      <c r="V68" s="512">
        <f t="shared" si="0"/>
        <v>215</v>
      </c>
    </row>
    <row r="69" spans="1:22">
      <c r="A69" s="512">
        <v>302</v>
      </c>
      <c r="B69" s="512">
        <v>3313</v>
      </c>
      <c r="C69" s="512" t="s">
        <v>1514</v>
      </c>
      <c r="D69" s="515">
        <v>14</v>
      </c>
      <c r="E69" s="515">
        <v>12</v>
      </c>
      <c r="F69" s="515">
        <v>30</v>
      </c>
      <c r="G69" s="515">
        <v>29</v>
      </c>
      <c r="H69" s="515">
        <v>30</v>
      </c>
      <c r="I69" s="515">
        <v>29</v>
      </c>
      <c r="J69" s="515">
        <v>30</v>
      </c>
      <c r="K69" s="515">
        <v>30</v>
      </c>
      <c r="L69" s="515">
        <v>27</v>
      </c>
      <c r="M69" s="515"/>
      <c r="N69" s="515"/>
      <c r="O69" s="515"/>
      <c r="P69" s="515"/>
      <c r="Q69" s="515"/>
      <c r="R69" s="515"/>
      <c r="S69" s="515"/>
      <c r="T69" s="515"/>
      <c r="U69" s="515">
        <v>231</v>
      </c>
      <c r="V69" s="512">
        <f t="shared" si="0"/>
        <v>220.6</v>
      </c>
    </row>
    <row r="70" spans="1:22">
      <c r="A70" s="512">
        <v>302</v>
      </c>
      <c r="B70" s="512">
        <v>3314</v>
      </c>
      <c r="C70" s="512" t="s">
        <v>1515</v>
      </c>
      <c r="D70" s="515"/>
      <c r="E70" s="515"/>
      <c r="F70" s="515">
        <v>30</v>
      </c>
      <c r="G70" s="515">
        <v>30</v>
      </c>
      <c r="H70" s="515">
        <v>30</v>
      </c>
      <c r="I70" s="515">
        <v>30</v>
      </c>
      <c r="J70" s="515">
        <v>30</v>
      </c>
      <c r="K70" s="515">
        <v>30</v>
      </c>
      <c r="L70" s="515">
        <v>30</v>
      </c>
      <c r="M70" s="515"/>
      <c r="N70" s="515"/>
      <c r="O70" s="515"/>
      <c r="P70" s="515"/>
      <c r="Q70" s="515"/>
      <c r="R70" s="515"/>
      <c r="S70" s="515"/>
      <c r="T70" s="515"/>
      <c r="U70" s="515">
        <v>210</v>
      </c>
      <c r="V70" s="512">
        <f t="shared" ref="V70:V117" si="1">0.6*(D70+E70)+SUM(F70:T70)</f>
        <v>210</v>
      </c>
    </row>
    <row r="71" spans="1:22">
      <c r="A71" s="512">
        <v>302</v>
      </c>
      <c r="B71" s="512">
        <v>3315</v>
      </c>
      <c r="C71" s="512" t="s">
        <v>1516</v>
      </c>
      <c r="D71" s="515"/>
      <c r="E71" s="515"/>
      <c r="F71" s="515">
        <v>29</v>
      </c>
      <c r="G71" s="515">
        <v>29</v>
      </c>
      <c r="H71" s="515">
        <v>25</v>
      </c>
      <c r="I71" s="515">
        <v>30</v>
      </c>
      <c r="J71" s="515">
        <v>30</v>
      </c>
      <c r="K71" s="515">
        <v>29</v>
      </c>
      <c r="L71" s="515">
        <v>27</v>
      </c>
      <c r="M71" s="515"/>
      <c r="N71" s="515"/>
      <c r="O71" s="515"/>
      <c r="P71" s="515"/>
      <c r="Q71" s="515"/>
      <c r="R71" s="515"/>
      <c r="S71" s="515"/>
      <c r="T71" s="515"/>
      <c r="U71" s="515">
        <v>199</v>
      </c>
      <c r="V71" s="512">
        <f t="shared" si="1"/>
        <v>199</v>
      </c>
    </row>
    <row r="72" spans="1:22">
      <c r="A72" s="512">
        <v>302</v>
      </c>
      <c r="B72" s="512">
        <v>3316</v>
      </c>
      <c r="C72" s="512" t="s">
        <v>1517</v>
      </c>
      <c r="D72" s="515"/>
      <c r="E72" s="515"/>
      <c r="F72" s="515">
        <v>30</v>
      </c>
      <c r="G72" s="515">
        <v>30</v>
      </c>
      <c r="H72" s="515">
        <v>30</v>
      </c>
      <c r="I72" s="515">
        <v>30</v>
      </c>
      <c r="J72" s="515">
        <v>30</v>
      </c>
      <c r="K72" s="515">
        <v>30</v>
      </c>
      <c r="L72" s="515">
        <v>30</v>
      </c>
      <c r="M72" s="515"/>
      <c r="N72" s="515"/>
      <c r="O72" s="515"/>
      <c r="P72" s="515"/>
      <c r="Q72" s="515"/>
      <c r="R72" s="515"/>
      <c r="S72" s="515"/>
      <c r="T72" s="515"/>
      <c r="U72" s="515">
        <v>210</v>
      </c>
      <c r="V72" s="512">
        <f t="shared" si="1"/>
        <v>210</v>
      </c>
    </row>
    <row r="73" spans="1:22">
      <c r="A73" s="512">
        <v>302</v>
      </c>
      <c r="B73" s="512">
        <v>3317</v>
      </c>
      <c r="C73" s="512" t="s">
        <v>1518</v>
      </c>
      <c r="D73" s="515"/>
      <c r="E73" s="515">
        <v>31</v>
      </c>
      <c r="F73" s="515">
        <v>56</v>
      </c>
      <c r="G73" s="515">
        <v>30</v>
      </c>
      <c r="H73" s="515">
        <v>30</v>
      </c>
      <c r="I73" s="515">
        <v>31</v>
      </c>
      <c r="J73" s="515">
        <v>30</v>
      </c>
      <c r="K73" s="515">
        <v>30</v>
      </c>
      <c r="L73" s="515">
        <v>30</v>
      </c>
      <c r="M73" s="515"/>
      <c r="N73" s="515"/>
      <c r="O73" s="515"/>
      <c r="P73" s="515"/>
      <c r="Q73" s="515"/>
      <c r="R73" s="515"/>
      <c r="S73" s="515"/>
      <c r="T73" s="515"/>
      <c r="U73" s="515">
        <v>268</v>
      </c>
      <c r="V73" s="512">
        <f t="shared" si="1"/>
        <v>255.6</v>
      </c>
    </row>
    <row r="74" spans="1:22">
      <c r="A74" s="512">
        <v>302</v>
      </c>
      <c r="B74" s="512">
        <v>3500</v>
      </c>
      <c r="C74" s="512" t="s">
        <v>1519</v>
      </c>
      <c r="D74" s="515"/>
      <c r="E74" s="515">
        <v>48</v>
      </c>
      <c r="F74" s="515">
        <v>58</v>
      </c>
      <c r="G74" s="515">
        <v>60</v>
      </c>
      <c r="H74" s="515">
        <v>59</v>
      </c>
      <c r="I74" s="515"/>
      <c r="J74" s="515"/>
      <c r="K74" s="515"/>
      <c r="L74" s="515"/>
      <c r="M74" s="515"/>
      <c r="N74" s="515"/>
      <c r="O74" s="515"/>
      <c r="P74" s="515"/>
      <c r="Q74" s="515"/>
      <c r="R74" s="515"/>
      <c r="S74" s="515"/>
      <c r="T74" s="515"/>
      <c r="U74" s="515">
        <v>225</v>
      </c>
      <c r="V74" s="512">
        <f t="shared" si="1"/>
        <v>205.8</v>
      </c>
    </row>
    <row r="75" spans="1:22">
      <c r="A75" s="512">
        <v>302</v>
      </c>
      <c r="B75" s="512">
        <v>3501</v>
      </c>
      <c r="C75" s="512" t="s">
        <v>1520</v>
      </c>
      <c r="D75" s="515">
        <v>34</v>
      </c>
      <c r="E75" s="515"/>
      <c r="F75" s="515">
        <v>30</v>
      </c>
      <c r="G75" s="515">
        <v>31</v>
      </c>
      <c r="H75" s="515">
        <v>32</v>
      </c>
      <c r="I75" s="515">
        <v>30</v>
      </c>
      <c r="J75" s="515">
        <v>30</v>
      </c>
      <c r="K75" s="515">
        <v>29</v>
      </c>
      <c r="L75" s="515">
        <v>29</v>
      </c>
      <c r="M75" s="515"/>
      <c r="N75" s="515"/>
      <c r="O75" s="515"/>
      <c r="P75" s="515"/>
      <c r="Q75" s="515"/>
      <c r="R75" s="515"/>
      <c r="S75" s="515"/>
      <c r="T75" s="515"/>
      <c r="U75" s="515">
        <v>245</v>
      </c>
      <c r="V75" s="512">
        <f t="shared" si="1"/>
        <v>231.4</v>
      </c>
    </row>
    <row r="76" spans="1:22">
      <c r="A76" s="512">
        <v>302</v>
      </c>
      <c r="B76" s="512">
        <v>3502</v>
      </c>
      <c r="C76" s="512" t="s">
        <v>1521</v>
      </c>
      <c r="D76" s="515"/>
      <c r="E76" s="515">
        <v>41</v>
      </c>
      <c r="F76" s="515">
        <v>44</v>
      </c>
      <c r="G76" s="515">
        <v>46</v>
      </c>
      <c r="H76" s="515">
        <v>42</v>
      </c>
      <c r="I76" s="515">
        <v>47</v>
      </c>
      <c r="J76" s="515">
        <v>43</v>
      </c>
      <c r="K76" s="515">
        <v>45</v>
      </c>
      <c r="L76" s="515">
        <v>39</v>
      </c>
      <c r="M76" s="515"/>
      <c r="N76" s="515"/>
      <c r="O76" s="515"/>
      <c r="P76" s="515"/>
      <c r="Q76" s="515"/>
      <c r="R76" s="515"/>
      <c r="S76" s="515"/>
      <c r="T76" s="515"/>
      <c r="U76" s="515">
        <v>347</v>
      </c>
      <c r="V76" s="512">
        <f t="shared" si="1"/>
        <v>330.6</v>
      </c>
    </row>
    <row r="77" spans="1:22">
      <c r="A77" s="512">
        <v>302</v>
      </c>
      <c r="B77" s="512">
        <v>3504</v>
      </c>
      <c r="C77" s="512" t="s">
        <v>1522</v>
      </c>
      <c r="D77" s="515">
        <v>34</v>
      </c>
      <c r="E77" s="515">
        <v>11</v>
      </c>
      <c r="F77" s="515">
        <v>60</v>
      </c>
      <c r="G77" s="515">
        <v>90</v>
      </c>
      <c r="H77" s="515">
        <v>60</v>
      </c>
      <c r="I77" s="515">
        <v>60</v>
      </c>
      <c r="J77" s="515">
        <v>60</v>
      </c>
      <c r="K77" s="515">
        <v>45</v>
      </c>
      <c r="L77" s="515">
        <v>49</v>
      </c>
      <c r="M77" s="515"/>
      <c r="N77" s="515"/>
      <c r="O77" s="515"/>
      <c r="P77" s="515"/>
      <c r="Q77" s="515"/>
      <c r="R77" s="515"/>
      <c r="S77" s="515"/>
      <c r="T77" s="515"/>
      <c r="U77" s="515">
        <v>469</v>
      </c>
      <c r="V77" s="512">
        <f t="shared" si="1"/>
        <v>451</v>
      </c>
    </row>
    <row r="78" spans="1:22">
      <c r="A78" s="512">
        <v>302</v>
      </c>
      <c r="B78" s="512">
        <v>3506</v>
      </c>
      <c r="C78" s="512" t="s">
        <v>1523</v>
      </c>
      <c r="D78" s="515"/>
      <c r="E78" s="515"/>
      <c r="F78" s="515">
        <v>60</v>
      </c>
      <c r="G78" s="515">
        <v>45</v>
      </c>
      <c r="H78" s="515">
        <v>45</v>
      </c>
      <c r="I78" s="515">
        <v>44</v>
      </c>
      <c r="J78" s="515">
        <v>45</v>
      </c>
      <c r="K78" s="515">
        <v>43</v>
      </c>
      <c r="L78" s="515">
        <v>42</v>
      </c>
      <c r="M78" s="515"/>
      <c r="N78" s="515"/>
      <c r="O78" s="515"/>
      <c r="P78" s="515"/>
      <c r="Q78" s="515"/>
      <c r="R78" s="515"/>
      <c r="S78" s="515"/>
      <c r="T78" s="515"/>
      <c r="U78" s="515">
        <v>324</v>
      </c>
      <c r="V78" s="512">
        <f t="shared" si="1"/>
        <v>324</v>
      </c>
    </row>
    <row r="79" spans="1:22">
      <c r="A79" s="512">
        <v>302</v>
      </c>
      <c r="B79" s="512">
        <v>3507</v>
      </c>
      <c r="C79" s="512" t="s">
        <v>1524</v>
      </c>
      <c r="D79" s="515"/>
      <c r="E79" s="515"/>
      <c r="F79" s="515">
        <v>30</v>
      </c>
      <c r="G79" s="515">
        <v>59</v>
      </c>
      <c r="H79" s="515">
        <v>32</v>
      </c>
      <c r="I79" s="515">
        <v>30</v>
      </c>
      <c r="J79" s="515">
        <v>30</v>
      </c>
      <c r="K79" s="515">
        <v>30</v>
      </c>
      <c r="L79" s="515">
        <v>28</v>
      </c>
      <c r="M79" s="515"/>
      <c r="N79" s="515"/>
      <c r="O79" s="515"/>
      <c r="P79" s="515"/>
      <c r="Q79" s="515"/>
      <c r="R79" s="515"/>
      <c r="S79" s="515"/>
      <c r="T79" s="515"/>
      <c r="U79" s="515">
        <v>239</v>
      </c>
      <c r="V79" s="512">
        <f t="shared" si="1"/>
        <v>239</v>
      </c>
    </row>
    <row r="80" spans="1:22">
      <c r="A80" s="512">
        <v>302</v>
      </c>
      <c r="B80" s="512">
        <v>3508</v>
      </c>
      <c r="C80" s="512" t="s">
        <v>1525</v>
      </c>
      <c r="D80" s="515"/>
      <c r="E80" s="515">
        <v>51</v>
      </c>
      <c r="F80" s="515">
        <v>62</v>
      </c>
      <c r="G80" s="515">
        <v>60</v>
      </c>
      <c r="H80" s="515">
        <v>60</v>
      </c>
      <c r="I80" s="515"/>
      <c r="J80" s="515"/>
      <c r="K80" s="515"/>
      <c r="L80" s="515"/>
      <c r="M80" s="515"/>
      <c r="N80" s="515"/>
      <c r="O80" s="515"/>
      <c r="P80" s="515"/>
      <c r="Q80" s="515"/>
      <c r="R80" s="515"/>
      <c r="S80" s="515"/>
      <c r="T80" s="515"/>
      <c r="U80" s="515">
        <v>233</v>
      </c>
      <c r="V80" s="512">
        <f t="shared" si="1"/>
        <v>212.6</v>
      </c>
    </row>
    <row r="81" spans="1:22">
      <c r="A81" s="512">
        <v>302</v>
      </c>
      <c r="B81" s="512">
        <v>3509</v>
      </c>
      <c r="C81" s="512" t="s">
        <v>1526</v>
      </c>
      <c r="D81" s="515"/>
      <c r="E81" s="515"/>
      <c r="F81" s="515"/>
      <c r="G81" s="515"/>
      <c r="H81" s="515"/>
      <c r="I81" s="515">
        <v>66</v>
      </c>
      <c r="J81" s="515">
        <v>64</v>
      </c>
      <c r="K81" s="515">
        <v>62</v>
      </c>
      <c r="L81" s="515">
        <v>61</v>
      </c>
      <c r="M81" s="515"/>
      <c r="N81" s="515"/>
      <c r="O81" s="515"/>
      <c r="P81" s="515"/>
      <c r="Q81" s="515"/>
      <c r="R81" s="515"/>
      <c r="S81" s="515"/>
      <c r="T81" s="515"/>
      <c r="U81" s="515">
        <v>253</v>
      </c>
      <c r="V81" s="512">
        <f t="shared" si="1"/>
        <v>253</v>
      </c>
    </row>
    <row r="82" spans="1:22">
      <c r="A82" s="512">
        <v>302</v>
      </c>
      <c r="B82" s="512">
        <v>3510</v>
      </c>
      <c r="C82" s="512" t="s">
        <v>1527</v>
      </c>
      <c r="D82" s="515"/>
      <c r="E82" s="515"/>
      <c r="F82" s="515">
        <v>60</v>
      </c>
      <c r="G82" s="515">
        <v>60</v>
      </c>
      <c r="H82" s="515">
        <v>60</v>
      </c>
      <c r="I82" s="515">
        <v>60</v>
      </c>
      <c r="J82" s="515">
        <v>60</v>
      </c>
      <c r="K82" s="515">
        <v>59</v>
      </c>
      <c r="L82" s="515">
        <v>61</v>
      </c>
      <c r="M82" s="515"/>
      <c r="N82" s="515"/>
      <c r="O82" s="515"/>
      <c r="P82" s="515"/>
      <c r="Q82" s="515"/>
      <c r="R82" s="515"/>
      <c r="S82" s="515"/>
      <c r="T82" s="515"/>
      <c r="U82" s="515">
        <v>420</v>
      </c>
      <c r="V82" s="512">
        <f t="shared" si="1"/>
        <v>420</v>
      </c>
    </row>
    <row r="83" spans="1:22">
      <c r="A83" s="512">
        <v>302</v>
      </c>
      <c r="B83" s="512">
        <v>3511</v>
      </c>
      <c r="C83" s="512" t="s">
        <v>1528</v>
      </c>
      <c r="D83" s="515"/>
      <c r="E83" s="515">
        <v>39</v>
      </c>
      <c r="F83" s="515">
        <v>60</v>
      </c>
      <c r="G83" s="515">
        <v>61</v>
      </c>
      <c r="H83" s="515">
        <v>59</v>
      </c>
      <c r="I83" s="515">
        <v>31</v>
      </c>
      <c r="J83" s="515">
        <v>31</v>
      </c>
      <c r="K83" s="515">
        <v>30</v>
      </c>
      <c r="L83" s="515">
        <v>25</v>
      </c>
      <c r="M83" s="515"/>
      <c r="N83" s="515"/>
      <c r="O83" s="515"/>
      <c r="P83" s="515"/>
      <c r="Q83" s="515"/>
      <c r="R83" s="515"/>
      <c r="S83" s="515"/>
      <c r="T83" s="515"/>
      <c r="U83" s="515">
        <v>336</v>
      </c>
      <c r="V83" s="512">
        <f t="shared" si="1"/>
        <v>320.39999999999998</v>
      </c>
    </row>
    <row r="84" spans="1:22">
      <c r="A84" s="512">
        <v>302</v>
      </c>
      <c r="B84" s="512">
        <v>3512</v>
      </c>
      <c r="C84" s="512" t="s">
        <v>1529</v>
      </c>
      <c r="D84" s="515"/>
      <c r="E84" s="515">
        <v>60</v>
      </c>
      <c r="F84" s="515">
        <v>60</v>
      </c>
      <c r="G84" s="515">
        <v>57</v>
      </c>
      <c r="H84" s="515">
        <v>78</v>
      </c>
      <c r="I84" s="515">
        <v>57</v>
      </c>
      <c r="J84" s="515">
        <v>60</v>
      </c>
      <c r="K84" s="515">
        <v>60</v>
      </c>
      <c r="L84" s="515">
        <v>58</v>
      </c>
      <c r="M84" s="515"/>
      <c r="N84" s="515"/>
      <c r="O84" s="515"/>
      <c r="P84" s="515"/>
      <c r="Q84" s="515"/>
      <c r="R84" s="515"/>
      <c r="S84" s="515"/>
      <c r="T84" s="515"/>
      <c r="U84" s="515">
        <v>490</v>
      </c>
      <c r="V84" s="512">
        <f t="shared" si="1"/>
        <v>466</v>
      </c>
    </row>
    <row r="85" spans="1:22">
      <c r="A85" s="512">
        <v>302</v>
      </c>
      <c r="B85" s="512">
        <v>3513</v>
      </c>
      <c r="C85" s="512" t="s">
        <v>79</v>
      </c>
      <c r="D85" s="515"/>
      <c r="E85" s="515">
        <v>51</v>
      </c>
      <c r="F85" s="515">
        <v>55</v>
      </c>
      <c r="G85" s="515">
        <v>60</v>
      </c>
      <c r="H85" s="515">
        <v>54</v>
      </c>
      <c r="I85" s="515">
        <v>59</v>
      </c>
      <c r="J85" s="515">
        <v>57</v>
      </c>
      <c r="K85" s="515">
        <v>58</v>
      </c>
      <c r="L85" s="515">
        <v>51</v>
      </c>
      <c r="M85" s="515"/>
      <c r="N85" s="515"/>
      <c r="O85" s="515"/>
      <c r="P85" s="515"/>
      <c r="Q85" s="515"/>
      <c r="R85" s="515"/>
      <c r="S85" s="515"/>
      <c r="T85" s="515"/>
      <c r="U85" s="515">
        <v>445</v>
      </c>
      <c r="V85" s="512">
        <f t="shared" si="1"/>
        <v>424.6</v>
      </c>
    </row>
    <row r="86" spans="1:22">
      <c r="A86" s="512">
        <v>302</v>
      </c>
      <c r="B86" s="512">
        <v>3514</v>
      </c>
      <c r="C86" s="512" t="s">
        <v>1530</v>
      </c>
      <c r="D86" s="515"/>
      <c r="E86" s="515"/>
      <c r="F86" s="515"/>
      <c r="G86" s="515"/>
      <c r="H86" s="515"/>
      <c r="I86" s="515">
        <v>57</v>
      </c>
      <c r="J86" s="515">
        <v>60</v>
      </c>
      <c r="K86" s="515">
        <v>52</v>
      </c>
      <c r="L86" s="515">
        <v>55</v>
      </c>
      <c r="M86" s="515"/>
      <c r="N86" s="515"/>
      <c r="O86" s="515"/>
      <c r="P86" s="515"/>
      <c r="Q86" s="515"/>
      <c r="R86" s="515"/>
      <c r="S86" s="515"/>
      <c r="T86" s="515"/>
      <c r="U86" s="515">
        <v>224</v>
      </c>
      <c r="V86" s="512">
        <f t="shared" si="1"/>
        <v>224</v>
      </c>
    </row>
    <row r="87" spans="1:22">
      <c r="A87" s="512">
        <v>302</v>
      </c>
      <c r="B87" s="512">
        <v>3515</v>
      </c>
      <c r="C87" s="512" t="s">
        <v>1531</v>
      </c>
      <c r="D87" s="515"/>
      <c r="E87" s="515">
        <v>29</v>
      </c>
      <c r="F87" s="515">
        <v>29</v>
      </c>
      <c r="G87" s="515">
        <v>29</v>
      </c>
      <c r="H87" s="515">
        <v>29</v>
      </c>
      <c r="I87" s="515">
        <v>29</v>
      </c>
      <c r="J87" s="515">
        <v>28</v>
      </c>
      <c r="K87" s="515">
        <v>28</v>
      </c>
      <c r="L87" s="515">
        <v>26</v>
      </c>
      <c r="M87" s="515"/>
      <c r="N87" s="515"/>
      <c r="O87" s="515"/>
      <c r="P87" s="515"/>
      <c r="Q87" s="515"/>
      <c r="R87" s="515"/>
      <c r="S87" s="515"/>
      <c r="T87" s="515"/>
      <c r="U87" s="515">
        <v>227</v>
      </c>
      <c r="V87" s="512">
        <f t="shared" si="1"/>
        <v>215.4</v>
      </c>
    </row>
    <row r="88" spans="1:22">
      <c r="A88" s="512">
        <v>302</v>
      </c>
      <c r="B88" s="512">
        <v>3516</v>
      </c>
      <c r="C88" s="512" t="s">
        <v>69</v>
      </c>
      <c r="D88" s="515"/>
      <c r="E88" s="515">
        <v>30</v>
      </c>
      <c r="F88" s="515">
        <v>30</v>
      </c>
      <c r="G88" s="515">
        <v>30</v>
      </c>
      <c r="H88" s="515">
        <v>30</v>
      </c>
      <c r="I88" s="515">
        <v>30</v>
      </c>
      <c r="J88" s="515">
        <v>30</v>
      </c>
      <c r="K88" s="515">
        <v>31</v>
      </c>
      <c r="L88" s="515">
        <v>30</v>
      </c>
      <c r="M88" s="515"/>
      <c r="N88" s="515"/>
      <c r="O88" s="515"/>
      <c r="P88" s="515"/>
      <c r="Q88" s="515"/>
      <c r="R88" s="515"/>
      <c r="S88" s="515"/>
      <c r="T88" s="515"/>
      <c r="U88" s="515">
        <v>241</v>
      </c>
      <c r="V88" s="512">
        <f t="shared" si="1"/>
        <v>229</v>
      </c>
    </row>
    <row r="89" spans="1:22">
      <c r="A89" s="512">
        <v>302</v>
      </c>
      <c r="B89" s="512">
        <v>3518</v>
      </c>
      <c r="C89" s="512" t="s">
        <v>116</v>
      </c>
      <c r="D89" s="515"/>
      <c r="E89" s="515">
        <v>42</v>
      </c>
      <c r="F89" s="515">
        <v>57</v>
      </c>
      <c r="G89" s="515">
        <v>55</v>
      </c>
      <c r="H89" s="515">
        <v>56</v>
      </c>
      <c r="I89" s="515">
        <v>80</v>
      </c>
      <c r="J89" s="515">
        <v>58</v>
      </c>
      <c r="K89" s="515">
        <v>57</v>
      </c>
      <c r="L89" s="515">
        <v>57</v>
      </c>
      <c r="M89" s="515"/>
      <c r="N89" s="515"/>
      <c r="O89" s="515"/>
      <c r="P89" s="515"/>
      <c r="Q89" s="515"/>
      <c r="R89" s="515"/>
      <c r="S89" s="515"/>
      <c r="T89" s="515"/>
      <c r="U89" s="515">
        <v>462</v>
      </c>
      <c r="V89" s="512">
        <f t="shared" si="1"/>
        <v>445.2</v>
      </c>
    </row>
    <row r="90" spans="1:22">
      <c r="A90" s="512">
        <v>302</v>
      </c>
      <c r="B90" s="512">
        <v>3519</v>
      </c>
      <c r="C90" s="512" t="s">
        <v>41</v>
      </c>
      <c r="D90" s="515"/>
      <c r="E90" s="515">
        <v>66</v>
      </c>
      <c r="F90" s="515">
        <v>91</v>
      </c>
      <c r="G90" s="515">
        <v>87</v>
      </c>
      <c r="H90" s="515">
        <v>89</v>
      </c>
      <c r="I90" s="515">
        <v>83</v>
      </c>
      <c r="J90" s="515">
        <v>64</v>
      </c>
      <c r="K90" s="515">
        <v>65</v>
      </c>
      <c r="L90" s="515">
        <v>61</v>
      </c>
      <c r="M90" s="515"/>
      <c r="N90" s="515"/>
      <c r="O90" s="515"/>
      <c r="P90" s="515"/>
      <c r="Q90" s="515"/>
      <c r="R90" s="515"/>
      <c r="S90" s="515"/>
      <c r="T90" s="515"/>
      <c r="U90" s="515">
        <v>606</v>
      </c>
      <c r="V90" s="512">
        <f t="shared" si="1"/>
        <v>579.6</v>
      </c>
    </row>
    <row r="91" spans="1:22" s="514" customFormat="1">
      <c r="A91" s="512">
        <v>302</v>
      </c>
      <c r="B91" s="512">
        <v>3520</v>
      </c>
      <c r="C91" s="512" t="s">
        <v>327</v>
      </c>
      <c r="D91" s="515"/>
      <c r="E91" s="515"/>
      <c r="F91" s="515">
        <v>60</v>
      </c>
      <c r="G91" s="515">
        <v>60</v>
      </c>
      <c r="H91" s="515">
        <v>60</v>
      </c>
      <c r="I91" s="515">
        <v>59</v>
      </c>
      <c r="J91" s="515">
        <v>59</v>
      </c>
      <c r="K91" s="515">
        <v>60</v>
      </c>
      <c r="L91" s="515">
        <v>60</v>
      </c>
      <c r="M91" s="515"/>
      <c r="N91" s="515"/>
      <c r="O91" s="515"/>
      <c r="P91" s="515"/>
      <c r="Q91" s="515"/>
      <c r="R91" s="515"/>
      <c r="S91" s="515"/>
      <c r="T91" s="515"/>
      <c r="U91" s="515">
        <v>418</v>
      </c>
      <c r="V91" s="512">
        <f>0.6*(D91+E91)+SUM(F91:T91)</f>
        <v>418</v>
      </c>
    </row>
    <row r="92" spans="1:22">
      <c r="A92" s="512">
        <v>302</v>
      </c>
      <c r="B92" s="512">
        <v>3521</v>
      </c>
      <c r="C92" s="512" t="s">
        <v>1532</v>
      </c>
      <c r="D92" s="515"/>
      <c r="E92" s="515">
        <v>49</v>
      </c>
      <c r="F92" s="515">
        <v>90</v>
      </c>
      <c r="G92" s="515">
        <v>91</v>
      </c>
      <c r="H92" s="515">
        <v>60</v>
      </c>
      <c r="I92" s="515">
        <v>60</v>
      </c>
      <c r="J92" s="515">
        <v>60</v>
      </c>
      <c r="K92" s="515">
        <v>60</v>
      </c>
      <c r="L92" s="515">
        <v>60</v>
      </c>
      <c r="M92" s="515"/>
      <c r="N92" s="515"/>
      <c r="O92" s="515"/>
      <c r="P92" s="515"/>
      <c r="Q92" s="515"/>
      <c r="R92" s="515"/>
      <c r="S92" s="515"/>
      <c r="T92" s="515"/>
      <c r="U92" s="515">
        <v>530</v>
      </c>
      <c r="V92" s="512">
        <f t="shared" si="1"/>
        <v>510.4</v>
      </c>
    </row>
    <row r="93" spans="1:22">
      <c r="A93" s="512">
        <v>302</v>
      </c>
      <c r="B93" s="512">
        <v>3522</v>
      </c>
      <c r="C93" s="512" t="s">
        <v>337</v>
      </c>
      <c r="D93" s="515"/>
      <c r="E93" s="515">
        <v>36</v>
      </c>
      <c r="F93" s="515">
        <v>57</v>
      </c>
      <c r="G93" s="515">
        <v>58</v>
      </c>
      <c r="H93" s="515">
        <v>65</v>
      </c>
      <c r="I93" s="515">
        <v>57</v>
      </c>
      <c r="J93" s="515">
        <v>51</v>
      </c>
      <c r="K93" s="515">
        <v>49</v>
      </c>
      <c r="L93" s="515">
        <v>42</v>
      </c>
      <c r="M93" s="515"/>
      <c r="N93" s="515"/>
      <c r="O93" s="515"/>
      <c r="P93" s="515"/>
      <c r="Q93" s="515"/>
      <c r="R93" s="515"/>
      <c r="S93" s="515"/>
      <c r="T93" s="515"/>
      <c r="U93" s="515">
        <v>415</v>
      </c>
      <c r="V93" s="512">
        <f t="shared" si="1"/>
        <v>400.6</v>
      </c>
    </row>
    <row r="94" spans="1:22">
      <c r="A94" s="512">
        <v>302</v>
      </c>
      <c r="B94" s="512">
        <v>3523</v>
      </c>
      <c r="C94" s="512" t="s">
        <v>350</v>
      </c>
      <c r="D94" s="515"/>
      <c r="E94" s="515">
        <v>57</v>
      </c>
      <c r="F94" s="515">
        <v>87</v>
      </c>
      <c r="G94" s="515">
        <v>89</v>
      </c>
      <c r="H94" s="515">
        <v>89</v>
      </c>
      <c r="I94" s="515">
        <v>60</v>
      </c>
      <c r="J94" s="515">
        <v>60</v>
      </c>
      <c r="K94" s="515">
        <v>60</v>
      </c>
      <c r="L94" s="515">
        <v>59</v>
      </c>
      <c r="M94" s="515"/>
      <c r="N94" s="515"/>
      <c r="O94" s="515"/>
      <c r="P94" s="515"/>
      <c r="Q94" s="515"/>
      <c r="R94" s="515"/>
      <c r="S94" s="515"/>
      <c r="T94" s="515"/>
      <c r="U94" s="515">
        <v>561</v>
      </c>
      <c r="V94" s="512">
        <f t="shared" si="1"/>
        <v>538.20000000000005</v>
      </c>
    </row>
    <row r="95" spans="1:22">
      <c r="A95" s="512">
        <v>302</v>
      </c>
      <c r="B95" s="512">
        <v>3524</v>
      </c>
      <c r="C95" s="512" t="s">
        <v>1533</v>
      </c>
      <c r="D95" s="515"/>
      <c r="E95" s="515">
        <v>29</v>
      </c>
      <c r="F95" s="515">
        <v>31</v>
      </c>
      <c r="G95" s="515">
        <v>30</v>
      </c>
      <c r="H95" s="515">
        <v>29</v>
      </c>
      <c r="I95" s="515">
        <v>32</v>
      </c>
      <c r="J95" s="515">
        <v>29</v>
      </c>
      <c r="K95" s="515">
        <v>29</v>
      </c>
      <c r="L95" s="515">
        <v>24</v>
      </c>
      <c r="M95" s="515"/>
      <c r="N95" s="515"/>
      <c r="O95" s="515"/>
      <c r="P95" s="515"/>
      <c r="Q95" s="515"/>
      <c r="R95" s="515"/>
      <c r="S95" s="515"/>
      <c r="T95" s="515"/>
      <c r="U95" s="515">
        <v>233</v>
      </c>
      <c r="V95" s="512">
        <f t="shared" si="1"/>
        <v>221.4</v>
      </c>
    </row>
    <row r="96" spans="1:22">
      <c r="A96" s="512">
        <v>302</v>
      </c>
      <c r="B96" s="512">
        <v>4000</v>
      </c>
      <c r="C96" s="514" t="s">
        <v>1534</v>
      </c>
      <c r="D96" s="516"/>
      <c r="E96" s="516"/>
      <c r="F96" s="516"/>
      <c r="G96" s="516"/>
      <c r="H96" s="516"/>
      <c r="I96" s="516"/>
      <c r="J96" s="516"/>
      <c r="K96" s="516"/>
      <c r="L96" s="516"/>
      <c r="M96" s="516">
        <v>70</v>
      </c>
      <c r="N96" s="516"/>
      <c r="O96" s="516"/>
      <c r="P96" s="516"/>
      <c r="Q96" s="516"/>
      <c r="R96" s="516"/>
      <c r="S96" s="516"/>
      <c r="T96" s="516"/>
      <c r="U96" s="516">
        <v>70</v>
      </c>
      <c r="V96" s="512">
        <f t="shared" si="1"/>
        <v>70</v>
      </c>
    </row>
    <row r="97" spans="1:22">
      <c r="A97" s="512">
        <v>302</v>
      </c>
      <c r="B97" s="512">
        <v>4001</v>
      </c>
      <c r="C97" s="512" t="s">
        <v>1535</v>
      </c>
      <c r="D97" s="515"/>
      <c r="E97" s="515"/>
      <c r="F97" s="515"/>
      <c r="G97" s="515"/>
      <c r="H97" s="515"/>
      <c r="I97" s="515"/>
      <c r="J97" s="515"/>
      <c r="K97" s="515"/>
      <c r="L97" s="515"/>
      <c r="M97" s="515">
        <v>148</v>
      </c>
      <c r="N97" s="515"/>
      <c r="O97" s="515"/>
      <c r="P97" s="515"/>
      <c r="Q97" s="515"/>
      <c r="R97" s="515"/>
      <c r="S97" s="515"/>
      <c r="T97" s="515"/>
      <c r="U97" s="515">
        <v>148</v>
      </c>
      <c r="V97" s="512">
        <f t="shared" si="1"/>
        <v>148</v>
      </c>
    </row>
    <row r="98" spans="1:22">
      <c r="A98" s="512">
        <v>302</v>
      </c>
      <c r="B98" s="512">
        <v>4003</v>
      </c>
      <c r="C98" s="512" t="s">
        <v>120</v>
      </c>
      <c r="D98" s="515"/>
      <c r="E98" s="515"/>
      <c r="F98" s="515"/>
      <c r="G98" s="515"/>
      <c r="H98" s="515"/>
      <c r="I98" s="515"/>
      <c r="J98" s="515"/>
      <c r="K98" s="515"/>
      <c r="L98" s="515"/>
      <c r="M98" s="515">
        <v>155</v>
      </c>
      <c r="N98" s="515">
        <v>160</v>
      </c>
      <c r="O98" s="515">
        <v>162</v>
      </c>
      <c r="P98" s="515">
        <v>161</v>
      </c>
      <c r="Q98" s="515">
        <v>159</v>
      </c>
      <c r="R98" s="515"/>
      <c r="S98" s="515"/>
      <c r="T98" s="515"/>
      <c r="U98" s="515">
        <v>797</v>
      </c>
      <c r="V98" s="512">
        <f t="shared" si="1"/>
        <v>797</v>
      </c>
    </row>
    <row r="99" spans="1:22">
      <c r="A99" s="512">
        <v>302</v>
      </c>
      <c r="B99" s="512">
        <v>4009</v>
      </c>
      <c r="C99" s="512" t="s">
        <v>407</v>
      </c>
      <c r="D99" s="515"/>
      <c r="E99" s="515"/>
      <c r="F99" s="515"/>
      <c r="G99" s="515"/>
      <c r="H99" s="515"/>
      <c r="I99" s="515"/>
      <c r="J99" s="515"/>
      <c r="K99" s="515"/>
      <c r="L99" s="515"/>
      <c r="M99" s="515">
        <v>98</v>
      </c>
      <c r="N99" s="515">
        <v>91</v>
      </c>
      <c r="O99" s="515">
        <v>140</v>
      </c>
      <c r="P99" s="515">
        <v>118</v>
      </c>
      <c r="Q99" s="515">
        <v>136</v>
      </c>
      <c r="R99" s="515">
        <v>94</v>
      </c>
      <c r="S99" s="515">
        <v>68</v>
      </c>
      <c r="T99" s="515"/>
      <c r="U99" s="515">
        <v>745</v>
      </c>
      <c r="V99" s="512">
        <f t="shared" si="1"/>
        <v>745</v>
      </c>
    </row>
    <row r="100" spans="1:22">
      <c r="A100" s="512">
        <v>302</v>
      </c>
      <c r="B100" s="512">
        <v>4012</v>
      </c>
      <c r="C100" s="512" t="s">
        <v>128</v>
      </c>
      <c r="D100" s="515"/>
      <c r="E100" s="515"/>
      <c r="F100" s="515"/>
      <c r="G100" s="515"/>
      <c r="H100" s="515"/>
      <c r="I100" s="515"/>
      <c r="J100" s="515"/>
      <c r="K100" s="515"/>
      <c r="L100" s="515"/>
      <c r="M100" s="515">
        <v>100</v>
      </c>
      <c r="N100" s="515">
        <v>131</v>
      </c>
      <c r="O100" s="515">
        <v>124</v>
      </c>
      <c r="P100" s="515">
        <v>138</v>
      </c>
      <c r="Q100" s="515">
        <v>142</v>
      </c>
      <c r="R100" s="515">
        <v>69</v>
      </c>
      <c r="S100" s="515">
        <v>44</v>
      </c>
      <c r="T100" s="515"/>
      <c r="U100" s="515">
        <v>748</v>
      </c>
      <c r="V100" s="512">
        <f t="shared" si="1"/>
        <v>748</v>
      </c>
    </row>
    <row r="101" spans="1:22">
      <c r="A101" s="512">
        <v>302</v>
      </c>
      <c r="B101" s="512">
        <v>4208</v>
      </c>
      <c r="C101" s="512" t="s">
        <v>123</v>
      </c>
      <c r="D101" s="515"/>
      <c r="E101" s="515"/>
      <c r="F101" s="515"/>
      <c r="G101" s="515"/>
      <c r="H101" s="515"/>
      <c r="I101" s="515"/>
      <c r="J101" s="515"/>
      <c r="K101" s="515"/>
      <c r="L101" s="515"/>
      <c r="M101" s="515">
        <v>178</v>
      </c>
      <c r="N101" s="515">
        <v>176</v>
      </c>
      <c r="O101" s="515">
        <v>179</v>
      </c>
      <c r="P101" s="515">
        <v>179</v>
      </c>
      <c r="Q101" s="515">
        <v>180</v>
      </c>
      <c r="R101" s="515">
        <v>150</v>
      </c>
      <c r="S101" s="515">
        <v>124</v>
      </c>
      <c r="T101" s="515"/>
      <c r="U101" s="515">
        <v>1166</v>
      </c>
      <c r="V101" s="512">
        <f t="shared" si="1"/>
        <v>1166</v>
      </c>
    </row>
    <row r="102" spans="1:22">
      <c r="A102" s="512">
        <v>302</v>
      </c>
      <c r="B102" s="512">
        <v>4210</v>
      </c>
      <c r="C102" s="512" t="s">
        <v>1536</v>
      </c>
      <c r="D102" s="515"/>
      <c r="E102" s="515"/>
      <c r="F102" s="515"/>
      <c r="G102" s="515"/>
      <c r="H102" s="515"/>
      <c r="I102" s="515"/>
      <c r="J102" s="515"/>
      <c r="K102" s="515"/>
      <c r="L102" s="515"/>
      <c r="M102" s="515">
        <v>174</v>
      </c>
      <c r="N102" s="515">
        <v>176</v>
      </c>
      <c r="O102" s="515">
        <v>172</v>
      </c>
      <c r="P102" s="515">
        <v>179</v>
      </c>
      <c r="Q102" s="515">
        <v>178</v>
      </c>
      <c r="R102" s="515">
        <v>154</v>
      </c>
      <c r="S102" s="515">
        <v>105</v>
      </c>
      <c r="T102" s="515"/>
      <c r="U102" s="515">
        <v>1138</v>
      </c>
      <c r="V102" s="512">
        <f t="shared" si="1"/>
        <v>1138</v>
      </c>
    </row>
    <row r="103" spans="1:22">
      <c r="A103" s="512">
        <v>302</v>
      </c>
      <c r="B103" s="512">
        <v>4211</v>
      </c>
      <c r="C103" s="512" t="s">
        <v>381</v>
      </c>
      <c r="D103" s="515"/>
      <c r="E103" s="515"/>
      <c r="F103" s="515"/>
      <c r="G103" s="515"/>
      <c r="H103" s="515"/>
      <c r="I103" s="515"/>
      <c r="J103" s="515"/>
      <c r="K103" s="515"/>
      <c r="L103" s="515"/>
      <c r="M103" s="515">
        <v>135</v>
      </c>
      <c r="N103" s="515">
        <v>146</v>
      </c>
      <c r="O103" s="515">
        <v>139</v>
      </c>
      <c r="P103" s="515">
        <v>150</v>
      </c>
      <c r="Q103" s="515">
        <v>143</v>
      </c>
      <c r="R103" s="515">
        <v>123</v>
      </c>
      <c r="S103" s="515">
        <v>73</v>
      </c>
      <c r="T103" s="515"/>
      <c r="U103" s="515">
        <v>909</v>
      </c>
      <c r="V103" s="512">
        <f t="shared" si="1"/>
        <v>909</v>
      </c>
    </row>
    <row r="104" spans="1:22">
      <c r="A104" s="512">
        <v>302</v>
      </c>
      <c r="B104" s="512">
        <v>4212</v>
      </c>
      <c r="C104" s="512" t="s">
        <v>1537</v>
      </c>
      <c r="D104" s="515"/>
      <c r="E104" s="515"/>
      <c r="F104" s="515"/>
      <c r="G104" s="515"/>
      <c r="H104" s="515"/>
      <c r="I104" s="515"/>
      <c r="J104" s="515"/>
      <c r="K104" s="515"/>
      <c r="L104" s="515"/>
      <c r="M104" s="515">
        <v>210</v>
      </c>
      <c r="N104" s="515">
        <v>210</v>
      </c>
      <c r="O104" s="515">
        <v>210</v>
      </c>
      <c r="P104" s="515">
        <v>210</v>
      </c>
      <c r="Q104" s="515">
        <v>210</v>
      </c>
      <c r="R104" s="515">
        <v>171</v>
      </c>
      <c r="S104" s="515">
        <v>107</v>
      </c>
      <c r="T104" s="515">
        <v>17</v>
      </c>
      <c r="U104" s="515">
        <v>1345</v>
      </c>
      <c r="V104" s="512">
        <f t="shared" si="1"/>
        <v>1345</v>
      </c>
    </row>
    <row r="105" spans="1:22">
      <c r="A105" s="512">
        <v>302</v>
      </c>
      <c r="B105" s="512">
        <v>4215</v>
      </c>
      <c r="C105" s="512" t="s">
        <v>1538</v>
      </c>
      <c r="D105" s="515"/>
      <c r="E105" s="515"/>
      <c r="F105" s="515"/>
      <c r="G105" s="515"/>
      <c r="H105" s="515"/>
      <c r="I105" s="515"/>
      <c r="J105" s="515"/>
      <c r="K105" s="515"/>
      <c r="L105" s="515"/>
      <c r="M105" s="515">
        <v>210</v>
      </c>
      <c r="N105" s="515">
        <v>208</v>
      </c>
      <c r="O105" s="515">
        <v>180</v>
      </c>
      <c r="P105" s="515">
        <v>176</v>
      </c>
      <c r="Q105" s="515">
        <v>178</v>
      </c>
      <c r="R105" s="515"/>
      <c r="S105" s="515"/>
      <c r="T105" s="515"/>
      <c r="U105" s="515">
        <v>952</v>
      </c>
      <c r="V105" s="512">
        <f t="shared" si="1"/>
        <v>952</v>
      </c>
    </row>
    <row r="106" spans="1:22">
      <c r="A106" s="512">
        <v>302</v>
      </c>
      <c r="B106" s="512">
        <v>4752</v>
      </c>
      <c r="C106" s="512" t="s">
        <v>385</v>
      </c>
      <c r="D106" s="515"/>
      <c r="E106" s="515"/>
      <c r="F106" s="515"/>
      <c r="G106" s="515"/>
      <c r="H106" s="515"/>
      <c r="I106" s="515"/>
      <c r="J106" s="515"/>
      <c r="K106" s="515"/>
      <c r="L106" s="515"/>
      <c r="M106" s="515">
        <v>100</v>
      </c>
      <c r="N106" s="515">
        <v>91</v>
      </c>
      <c r="O106" s="515">
        <v>92</v>
      </c>
      <c r="P106" s="515">
        <v>93</v>
      </c>
      <c r="Q106" s="515">
        <v>92</v>
      </c>
      <c r="R106" s="515">
        <v>129</v>
      </c>
      <c r="S106" s="515">
        <v>119</v>
      </c>
      <c r="T106" s="515"/>
      <c r="U106" s="515">
        <v>716</v>
      </c>
      <c r="V106" s="512">
        <f t="shared" si="1"/>
        <v>716</v>
      </c>
    </row>
    <row r="107" spans="1:22">
      <c r="A107" s="512">
        <v>302</v>
      </c>
      <c r="B107" s="512">
        <v>5200</v>
      </c>
      <c r="C107" s="512" t="s">
        <v>59</v>
      </c>
      <c r="D107" s="515"/>
      <c r="E107" s="515"/>
      <c r="F107" s="515"/>
      <c r="G107" s="515"/>
      <c r="H107" s="515"/>
      <c r="I107" s="515">
        <v>83</v>
      </c>
      <c r="J107" s="515">
        <v>87</v>
      </c>
      <c r="K107" s="515">
        <v>84</v>
      </c>
      <c r="L107" s="515">
        <v>79</v>
      </c>
      <c r="M107" s="515"/>
      <c r="N107" s="515"/>
      <c r="O107" s="515"/>
      <c r="P107" s="515"/>
      <c r="Q107" s="515"/>
      <c r="R107" s="515"/>
      <c r="S107" s="515"/>
      <c r="T107" s="515"/>
      <c r="U107" s="515">
        <v>333</v>
      </c>
      <c r="V107" s="512">
        <f t="shared" si="1"/>
        <v>333</v>
      </c>
    </row>
    <row r="108" spans="1:22">
      <c r="A108" s="512">
        <v>302</v>
      </c>
      <c r="B108" s="512">
        <v>5201</v>
      </c>
      <c r="C108" s="512" t="s">
        <v>355</v>
      </c>
      <c r="D108" s="515"/>
      <c r="E108" s="515"/>
      <c r="F108" s="515">
        <v>59</v>
      </c>
      <c r="G108" s="515">
        <v>61</v>
      </c>
      <c r="H108" s="515">
        <v>60</v>
      </c>
      <c r="I108" s="515">
        <v>60</v>
      </c>
      <c r="J108" s="515">
        <v>60</v>
      </c>
      <c r="K108" s="515">
        <v>60</v>
      </c>
      <c r="L108" s="515">
        <v>60</v>
      </c>
      <c r="M108" s="515"/>
      <c r="N108" s="515"/>
      <c r="O108" s="515"/>
      <c r="P108" s="515"/>
      <c r="Q108" s="515"/>
      <c r="R108" s="515"/>
      <c r="S108" s="515"/>
      <c r="T108" s="515"/>
      <c r="U108" s="515">
        <v>420</v>
      </c>
      <c r="V108" s="512">
        <f t="shared" si="1"/>
        <v>420</v>
      </c>
    </row>
    <row r="109" spans="1:22">
      <c r="A109" s="512">
        <v>302</v>
      </c>
      <c r="B109" s="512">
        <v>5400</v>
      </c>
      <c r="C109" s="514" t="s">
        <v>122</v>
      </c>
      <c r="D109" s="516"/>
      <c r="E109" s="516"/>
      <c r="F109" s="516"/>
      <c r="G109" s="516"/>
      <c r="H109" s="516"/>
      <c r="I109" s="516"/>
      <c r="J109" s="516"/>
      <c r="K109" s="516"/>
      <c r="L109" s="516"/>
      <c r="M109" s="516">
        <v>206</v>
      </c>
      <c r="N109" s="516">
        <v>201</v>
      </c>
      <c r="O109" s="516">
        <v>201</v>
      </c>
      <c r="P109" s="516">
        <v>199</v>
      </c>
      <c r="Q109" s="516">
        <v>199</v>
      </c>
      <c r="R109" s="516">
        <v>145</v>
      </c>
      <c r="S109" s="516">
        <v>108</v>
      </c>
      <c r="T109" s="516">
        <v>18</v>
      </c>
      <c r="U109" s="516">
        <v>1277</v>
      </c>
      <c r="V109" s="512">
        <f t="shared" si="1"/>
        <v>1277</v>
      </c>
    </row>
    <row r="110" spans="1:22">
      <c r="A110" s="512">
        <v>302</v>
      </c>
      <c r="B110" s="512">
        <v>5401</v>
      </c>
      <c r="C110" s="512" t="s">
        <v>1539</v>
      </c>
      <c r="D110" s="515"/>
      <c r="E110" s="515"/>
      <c r="F110" s="515"/>
      <c r="G110" s="515"/>
      <c r="H110" s="515"/>
      <c r="I110" s="515"/>
      <c r="J110" s="515"/>
      <c r="K110" s="515"/>
      <c r="L110" s="515"/>
      <c r="M110" s="515">
        <v>180</v>
      </c>
      <c r="N110" s="515">
        <v>181</v>
      </c>
      <c r="O110" s="515">
        <v>179</v>
      </c>
      <c r="P110" s="515">
        <v>182</v>
      </c>
      <c r="Q110" s="515">
        <v>176</v>
      </c>
      <c r="R110" s="515">
        <v>147</v>
      </c>
      <c r="S110" s="515">
        <v>134</v>
      </c>
      <c r="T110" s="515"/>
      <c r="U110" s="515">
        <v>1179</v>
      </c>
      <c r="V110" s="512">
        <f t="shared" si="1"/>
        <v>1179</v>
      </c>
    </row>
    <row r="111" spans="1:22">
      <c r="A111" s="512">
        <v>302</v>
      </c>
      <c r="B111" s="512">
        <v>5402</v>
      </c>
      <c r="C111" s="512" t="s">
        <v>1540</v>
      </c>
      <c r="D111" s="515"/>
      <c r="E111" s="515"/>
      <c r="F111" s="515"/>
      <c r="G111" s="515"/>
      <c r="H111" s="515"/>
      <c r="I111" s="515"/>
      <c r="J111" s="515"/>
      <c r="K111" s="515"/>
      <c r="L111" s="515"/>
      <c r="M111" s="515">
        <v>243</v>
      </c>
      <c r="N111" s="515">
        <v>245</v>
      </c>
      <c r="O111" s="515">
        <v>264</v>
      </c>
      <c r="P111" s="515">
        <v>245</v>
      </c>
      <c r="Q111" s="515">
        <v>242</v>
      </c>
      <c r="R111" s="515">
        <v>257</v>
      </c>
      <c r="S111" s="515">
        <v>203</v>
      </c>
      <c r="T111" s="515"/>
      <c r="U111" s="515">
        <v>1699</v>
      </c>
      <c r="V111" s="512">
        <f t="shared" si="1"/>
        <v>1699</v>
      </c>
    </row>
    <row r="112" spans="1:22">
      <c r="A112" s="512">
        <v>302</v>
      </c>
      <c r="B112" s="512">
        <v>5403</v>
      </c>
      <c r="C112" s="512" t="s">
        <v>1541</v>
      </c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>
        <v>74</v>
      </c>
      <c r="P112" s="515">
        <v>80</v>
      </c>
      <c r="Q112" s="515">
        <v>113</v>
      </c>
      <c r="R112" s="515">
        <v>21</v>
      </c>
      <c r="S112" s="515">
        <v>34</v>
      </c>
      <c r="T112" s="515"/>
      <c r="U112" s="515">
        <v>322</v>
      </c>
      <c r="V112" s="512">
        <f t="shared" si="1"/>
        <v>322</v>
      </c>
    </row>
    <row r="113" spans="1:22">
      <c r="A113" s="512">
        <v>302</v>
      </c>
      <c r="B113" s="512">
        <v>5404</v>
      </c>
      <c r="C113" s="512" t="s">
        <v>1542</v>
      </c>
      <c r="D113" s="515"/>
      <c r="E113" s="515"/>
      <c r="F113" s="515"/>
      <c r="G113" s="515"/>
      <c r="H113" s="515"/>
      <c r="I113" s="515"/>
      <c r="J113" s="515"/>
      <c r="K113" s="515"/>
      <c r="L113" s="515"/>
      <c r="M113" s="515">
        <v>96</v>
      </c>
      <c r="N113" s="515">
        <v>96</v>
      </c>
      <c r="O113" s="515">
        <v>96</v>
      </c>
      <c r="P113" s="515">
        <v>96</v>
      </c>
      <c r="Q113" s="515">
        <v>92</v>
      </c>
      <c r="R113" s="515">
        <v>152</v>
      </c>
      <c r="S113" s="515">
        <v>122</v>
      </c>
      <c r="T113" s="515"/>
      <c r="U113" s="515">
        <v>750</v>
      </c>
      <c r="V113" s="512">
        <f t="shared" si="1"/>
        <v>750</v>
      </c>
    </row>
    <row r="114" spans="1:22">
      <c r="A114" s="512">
        <v>302</v>
      </c>
      <c r="B114" s="512">
        <v>5405</v>
      </c>
      <c r="C114" s="512" t="s">
        <v>119</v>
      </c>
      <c r="D114" s="515"/>
      <c r="E114" s="515"/>
      <c r="F114" s="515"/>
      <c r="G114" s="515"/>
      <c r="H114" s="515"/>
      <c r="I114" s="515"/>
      <c r="J114" s="515"/>
      <c r="K114" s="515"/>
      <c r="L114" s="515"/>
      <c r="M114" s="515">
        <v>180</v>
      </c>
      <c r="N114" s="515">
        <v>157</v>
      </c>
      <c r="O114" s="515">
        <v>180</v>
      </c>
      <c r="P114" s="515">
        <v>159</v>
      </c>
      <c r="Q114" s="515">
        <v>158</v>
      </c>
      <c r="R114" s="515">
        <v>176</v>
      </c>
      <c r="S114" s="515">
        <v>146</v>
      </c>
      <c r="T114" s="515"/>
      <c r="U114" s="515">
        <v>1156</v>
      </c>
      <c r="V114" s="512">
        <f t="shared" si="1"/>
        <v>1156</v>
      </c>
    </row>
    <row r="115" spans="1:22" ht="15" customHeight="1">
      <c r="A115" s="512">
        <v>302</v>
      </c>
      <c r="B115" s="512">
        <v>5406</v>
      </c>
      <c r="C115" s="512" t="s">
        <v>409</v>
      </c>
      <c r="D115" s="515"/>
      <c r="E115" s="515"/>
      <c r="F115" s="515"/>
      <c r="G115" s="515"/>
      <c r="H115" s="515"/>
      <c r="I115" s="515"/>
      <c r="J115" s="515"/>
      <c r="K115" s="515"/>
      <c r="L115" s="515"/>
      <c r="M115" s="515">
        <v>232</v>
      </c>
      <c r="N115" s="515">
        <v>224</v>
      </c>
      <c r="O115" s="515">
        <v>225</v>
      </c>
      <c r="P115" s="515">
        <v>224</v>
      </c>
      <c r="Q115" s="515">
        <v>224</v>
      </c>
      <c r="R115" s="515">
        <v>188</v>
      </c>
      <c r="S115" s="515">
        <v>146</v>
      </c>
      <c r="T115" s="515"/>
      <c r="U115" s="515">
        <v>1463</v>
      </c>
      <c r="V115" s="512">
        <f t="shared" si="1"/>
        <v>1463</v>
      </c>
    </row>
    <row r="116" spans="1:22">
      <c r="A116" s="512">
        <v>302</v>
      </c>
      <c r="B116" s="512">
        <v>5407</v>
      </c>
      <c r="C116" s="512" t="s">
        <v>1543</v>
      </c>
      <c r="D116" s="515"/>
      <c r="E116" s="515"/>
      <c r="F116" s="515"/>
      <c r="G116" s="515"/>
      <c r="H116" s="515"/>
      <c r="I116" s="515"/>
      <c r="J116" s="515"/>
      <c r="K116" s="515"/>
      <c r="L116" s="515"/>
      <c r="M116" s="515">
        <v>180</v>
      </c>
      <c r="N116" s="515">
        <v>180</v>
      </c>
      <c r="O116" s="515">
        <v>179</v>
      </c>
      <c r="P116" s="515">
        <v>180</v>
      </c>
      <c r="Q116" s="515">
        <v>174</v>
      </c>
      <c r="R116" s="515">
        <v>128</v>
      </c>
      <c r="S116" s="515">
        <v>101</v>
      </c>
      <c r="T116" s="515"/>
      <c r="U116" s="515">
        <v>1122</v>
      </c>
      <c r="V116" s="512">
        <f t="shared" si="1"/>
        <v>1122</v>
      </c>
    </row>
    <row r="117" spans="1:22">
      <c r="A117" s="512">
        <v>302</v>
      </c>
      <c r="B117" s="512">
        <v>5408</v>
      </c>
      <c r="C117" s="512" t="s">
        <v>1544</v>
      </c>
      <c r="D117" s="515"/>
      <c r="E117" s="515"/>
      <c r="F117" s="515"/>
      <c r="G117" s="515"/>
      <c r="H117" s="515"/>
      <c r="I117" s="515"/>
      <c r="J117" s="515"/>
      <c r="K117" s="515"/>
      <c r="L117" s="515"/>
      <c r="M117" s="515">
        <v>71</v>
      </c>
      <c r="N117" s="515">
        <v>92</v>
      </c>
      <c r="O117" s="515">
        <v>110</v>
      </c>
      <c r="P117" s="515">
        <v>132</v>
      </c>
      <c r="Q117" s="515">
        <v>132</v>
      </c>
      <c r="R117" s="515">
        <v>115</v>
      </c>
      <c r="S117" s="515">
        <v>97</v>
      </c>
      <c r="T117" s="515">
        <v>28</v>
      </c>
      <c r="U117" s="515">
        <v>777</v>
      </c>
      <c r="V117" s="512">
        <f t="shared" si="1"/>
        <v>777</v>
      </c>
    </row>
    <row r="118" spans="1:22">
      <c r="A118" s="512">
        <v>302</v>
      </c>
      <c r="B118" s="512">
        <v>5409</v>
      </c>
      <c r="C118" s="512" t="s">
        <v>121</v>
      </c>
      <c r="D118" s="515"/>
      <c r="E118" s="515"/>
      <c r="F118" s="515"/>
      <c r="G118" s="515"/>
      <c r="H118" s="515"/>
      <c r="I118" s="515"/>
      <c r="J118" s="515"/>
      <c r="K118" s="515"/>
      <c r="L118" s="515"/>
      <c r="M118" s="515">
        <v>158</v>
      </c>
      <c r="N118" s="515">
        <v>148</v>
      </c>
      <c r="O118" s="515">
        <v>169</v>
      </c>
      <c r="P118" s="515">
        <v>163</v>
      </c>
      <c r="Q118" s="515">
        <v>160</v>
      </c>
      <c r="R118" s="515">
        <v>129</v>
      </c>
      <c r="S118" s="515">
        <v>112</v>
      </c>
      <c r="T118" s="515"/>
      <c r="U118" s="515">
        <v>1039</v>
      </c>
      <c r="V118" s="512">
        <f>0.6*(D118+E118)+SUM(F118:T118)</f>
        <v>1039</v>
      </c>
    </row>
    <row r="119" spans="1:22">
      <c r="A119" s="512">
        <v>302</v>
      </c>
      <c r="B119" s="512">
        <v>5427</v>
      </c>
      <c r="C119" s="512" t="s">
        <v>1545</v>
      </c>
      <c r="D119" s="515"/>
      <c r="E119" s="515"/>
      <c r="F119" s="515"/>
      <c r="G119" s="515"/>
      <c r="H119" s="515"/>
      <c r="I119" s="515"/>
      <c r="J119" s="515"/>
      <c r="K119" s="515"/>
      <c r="L119" s="515"/>
      <c r="M119" s="515">
        <v>184</v>
      </c>
      <c r="N119" s="515">
        <v>187</v>
      </c>
      <c r="O119" s="515">
        <v>188</v>
      </c>
      <c r="P119" s="515">
        <v>153</v>
      </c>
      <c r="Q119" s="515"/>
      <c r="R119" s="515">
        <v>41</v>
      </c>
      <c r="S119" s="515">
        <v>36</v>
      </c>
      <c r="T119" s="515"/>
      <c r="U119" s="515">
        <v>789</v>
      </c>
      <c r="V119" s="512">
        <f t="shared" ref="V119:V127" si="2">0.6*(D119+E119)+SUM(F119:T119)</f>
        <v>789</v>
      </c>
    </row>
    <row r="120" spans="1:22">
      <c r="A120" s="512">
        <v>302</v>
      </c>
      <c r="B120" s="512">
        <v>5948</v>
      </c>
      <c r="C120" s="512" t="s">
        <v>1546</v>
      </c>
      <c r="D120" s="515"/>
      <c r="E120" s="515">
        <v>26</v>
      </c>
      <c r="F120" s="515">
        <v>30</v>
      </c>
      <c r="G120" s="515">
        <v>28</v>
      </c>
      <c r="H120" s="515">
        <v>28</v>
      </c>
      <c r="I120" s="515">
        <v>28</v>
      </c>
      <c r="J120" s="515">
        <v>28</v>
      </c>
      <c r="K120" s="515">
        <v>28</v>
      </c>
      <c r="L120" s="515">
        <v>27</v>
      </c>
      <c r="M120" s="515"/>
      <c r="N120" s="515"/>
      <c r="O120" s="515"/>
      <c r="P120" s="515"/>
      <c r="Q120" s="515"/>
      <c r="R120" s="515"/>
      <c r="S120" s="515"/>
      <c r="T120" s="515"/>
      <c r="U120" s="515">
        <v>223</v>
      </c>
      <c r="V120" s="512">
        <f t="shared" si="2"/>
        <v>212.6</v>
      </c>
    </row>
    <row r="121" spans="1:22">
      <c r="A121" s="512">
        <v>302</v>
      </c>
      <c r="B121" s="512">
        <v>5949</v>
      </c>
      <c r="C121" s="512" t="s">
        <v>78</v>
      </c>
      <c r="D121" s="515"/>
      <c r="E121" s="515">
        <v>58</v>
      </c>
      <c r="F121" s="515">
        <v>59</v>
      </c>
      <c r="G121" s="515">
        <v>30</v>
      </c>
      <c r="H121" s="515">
        <v>30</v>
      </c>
      <c r="I121" s="515">
        <v>30</v>
      </c>
      <c r="J121" s="515">
        <v>47</v>
      </c>
      <c r="K121" s="515">
        <v>25</v>
      </c>
      <c r="L121" s="515">
        <v>27</v>
      </c>
      <c r="M121" s="515"/>
      <c r="N121" s="515"/>
      <c r="O121" s="515"/>
      <c r="P121" s="515"/>
      <c r="Q121" s="515"/>
      <c r="R121" s="515"/>
      <c r="S121" s="515"/>
      <c r="T121" s="515"/>
      <c r="U121" s="515">
        <v>306</v>
      </c>
      <c r="V121" s="512">
        <f t="shared" si="2"/>
        <v>282.8</v>
      </c>
    </row>
    <row r="122" spans="1:22">
      <c r="A122" s="512">
        <v>302</v>
      </c>
      <c r="B122" s="512">
        <v>6905</v>
      </c>
      <c r="C122" s="512" t="s">
        <v>434</v>
      </c>
      <c r="D122" s="515"/>
      <c r="E122" s="515"/>
      <c r="F122" s="515"/>
      <c r="G122" s="515"/>
      <c r="H122" s="515"/>
      <c r="I122" s="515"/>
      <c r="J122" s="515"/>
      <c r="K122" s="515"/>
      <c r="L122" s="515"/>
      <c r="M122" s="515">
        <v>210</v>
      </c>
      <c r="N122" s="515">
        <v>209</v>
      </c>
      <c r="O122" s="515">
        <v>214</v>
      </c>
      <c r="P122" s="515">
        <v>212</v>
      </c>
      <c r="Q122" s="515">
        <v>215</v>
      </c>
      <c r="R122" s="515">
        <v>300</v>
      </c>
      <c r="S122" s="515">
        <v>147</v>
      </c>
      <c r="T122" s="515">
        <v>7</v>
      </c>
      <c r="U122" s="515">
        <v>1514</v>
      </c>
      <c r="V122" s="512">
        <f t="shared" si="2"/>
        <v>1514</v>
      </c>
    </row>
    <row r="123" spans="1:22">
      <c r="A123" s="512">
        <v>302</v>
      </c>
      <c r="B123" s="512">
        <v>6906</v>
      </c>
      <c r="C123" s="512" t="s">
        <v>435</v>
      </c>
      <c r="D123" s="515"/>
      <c r="E123" s="515"/>
      <c r="F123" s="515"/>
      <c r="G123" s="515"/>
      <c r="H123" s="515"/>
      <c r="I123" s="515"/>
      <c r="J123" s="515"/>
      <c r="K123" s="515"/>
      <c r="L123" s="515"/>
      <c r="M123" s="515">
        <v>180</v>
      </c>
      <c r="N123" s="515">
        <v>178</v>
      </c>
      <c r="O123" s="515">
        <v>180</v>
      </c>
      <c r="P123" s="515">
        <v>179</v>
      </c>
      <c r="Q123" s="515">
        <v>174</v>
      </c>
      <c r="R123" s="515">
        <v>100</v>
      </c>
      <c r="S123" s="515"/>
      <c r="T123" s="515"/>
      <c r="U123" s="515">
        <v>991</v>
      </c>
      <c r="V123" s="512">
        <f t="shared" si="2"/>
        <v>991</v>
      </c>
    </row>
    <row r="124" spans="1:22">
      <c r="A124" s="512">
        <v>302</v>
      </c>
      <c r="B124" s="512">
        <v>7000</v>
      </c>
      <c r="C124" s="512" t="s">
        <v>1547</v>
      </c>
      <c r="D124" s="515"/>
      <c r="E124" s="515"/>
      <c r="F124" s="515"/>
      <c r="G124" s="515"/>
      <c r="H124" s="515"/>
      <c r="I124" s="515"/>
      <c r="J124" s="515"/>
      <c r="K124" s="515"/>
      <c r="L124" s="515"/>
      <c r="M124" s="515">
        <v>24</v>
      </c>
      <c r="N124" s="515">
        <v>25</v>
      </c>
      <c r="O124" s="515">
        <v>24</v>
      </c>
      <c r="P124" s="515">
        <v>22</v>
      </c>
      <c r="Q124" s="515">
        <v>14</v>
      </c>
      <c r="R124" s="515">
        <v>26</v>
      </c>
      <c r="S124" s="515">
        <v>17</v>
      </c>
      <c r="T124" s="515">
        <v>11</v>
      </c>
      <c r="U124" s="515">
        <v>163</v>
      </c>
      <c r="V124" s="512">
        <f t="shared" si="2"/>
        <v>163</v>
      </c>
    </row>
    <row r="125" spans="1:22">
      <c r="A125" s="512">
        <v>302</v>
      </c>
      <c r="B125" s="512">
        <v>7005</v>
      </c>
      <c r="C125" s="512" t="s">
        <v>130</v>
      </c>
      <c r="D125" s="515"/>
      <c r="E125" s="515"/>
      <c r="F125" s="515">
        <v>8</v>
      </c>
      <c r="G125" s="515">
        <v>14</v>
      </c>
      <c r="H125" s="515">
        <v>15</v>
      </c>
      <c r="I125" s="515">
        <v>15</v>
      </c>
      <c r="J125" s="515">
        <v>13</v>
      </c>
      <c r="K125" s="515">
        <v>16</v>
      </c>
      <c r="L125" s="515">
        <v>10</v>
      </c>
      <c r="M125" s="515"/>
      <c r="N125" s="515"/>
      <c r="O125" s="515"/>
      <c r="P125" s="515"/>
      <c r="Q125" s="515"/>
      <c r="R125" s="515"/>
      <c r="S125" s="515"/>
      <c r="T125" s="515"/>
      <c r="U125" s="515">
        <v>91</v>
      </c>
      <c r="V125" s="512">
        <f t="shared" si="2"/>
        <v>91</v>
      </c>
    </row>
    <row r="126" spans="1:22">
      <c r="A126" s="512">
        <v>302</v>
      </c>
      <c r="B126" s="512">
        <v>7009</v>
      </c>
      <c r="C126" s="512" t="s">
        <v>132</v>
      </c>
      <c r="D126" s="515">
        <v>21</v>
      </c>
      <c r="E126" s="515">
        <v>23</v>
      </c>
      <c r="F126" s="515">
        <v>12</v>
      </c>
      <c r="G126" s="515">
        <v>6</v>
      </c>
      <c r="H126" s="515">
        <v>11</v>
      </c>
      <c r="I126" s="515">
        <v>13</v>
      </c>
      <c r="J126" s="515">
        <v>8</v>
      </c>
      <c r="K126" s="515">
        <v>4</v>
      </c>
      <c r="L126" s="515">
        <v>9</v>
      </c>
      <c r="M126" s="515"/>
      <c r="N126" s="515"/>
      <c r="O126" s="515"/>
      <c r="P126" s="515"/>
      <c r="Q126" s="515"/>
      <c r="R126" s="515"/>
      <c r="S126" s="515"/>
      <c r="T126" s="515"/>
      <c r="U126" s="515">
        <v>107</v>
      </c>
      <c r="V126" s="512">
        <f t="shared" si="2"/>
        <v>89.4</v>
      </c>
    </row>
    <row r="127" spans="1:22">
      <c r="A127" s="512">
        <v>302</v>
      </c>
      <c r="B127" s="512">
        <v>7010</v>
      </c>
      <c r="C127" s="512" t="s">
        <v>129</v>
      </c>
      <c r="D127" s="515"/>
      <c r="E127" s="515"/>
      <c r="F127" s="515"/>
      <c r="G127" s="515"/>
      <c r="H127" s="515"/>
      <c r="I127" s="515"/>
      <c r="J127" s="515"/>
      <c r="K127" s="515"/>
      <c r="L127" s="515"/>
      <c r="M127" s="515">
        <v>8</v>
      </c>
      <c r="N127" s="515">
        <v>10</v>
      </c>
      <c r="O127" s="515">
        <v>8</v>
      </c>
      <c r="P127" s="515">
        <v>13</v>
      </c>
      <c r="Q127" s="515">
        <v>12</v>
      </c>
      <c r="R127" s="515">
        <v>5</v>
      </c>
      <c r="S127" s="515">
        <v>6</v>
      </c>
      <c r="T127" s="515">
        <v>5</v>
      </c>
      <c r="U127" s="515">
        <v>67</v>
      </c>
      <c r="V127" s="512">
        <f t="shared" si="2"/>
        <v>67</v>
      </c>
    </row>
    <row r="128" spans="1:22">
      <c r="A128" s="512" t="s">
        <v>688</v>
      </c>
      <c r="D128" s="515">
        <v>470</v>
      </c>
      <c r="E128" s="515">
        <v>2376</v>
      </c>
      <c r="F128" s="515">
        <v>4262</v>
      </c>
      <c r="G128" s="515">
        <v>4380</v>
      </c>
      <c r="H128" s="515">
        <v>4121</v>
      </c>
      <c r="I128" s="515">
        <v>3910</v>
      </c>
      <c r="J128" s="515">
        <v>3829</v>
      </c>
      <c r="K128" s="515">
        <v>3622</v>
      </c>
      <c r="L128" s="515">
        <v>3543</v>
      </c>
      <c r="M128" s="515">
        <v>3730</v>
      </c>
      <c r="N128" s="515">
        <v>3522</v>
      </c>
      <c r="O128" s="515">
        <v>3689</v>
      </c>
      <c r="P128" s="515">
        <v>3643</v>
      </c>
      <c r="Q128" s="515">
        <v>3503</v>
      </c>
      <c r="R128" s="515">
        <v>2820</v>
      </c>
      <c r="S128" s="515">
        <v>2049</v>
      </c>
      <c r="T128" s="515">
        <v>86</v>
      </c>
      <c r="U128" s="515">
        <v>53555</v>
      </c>
    </row>
    <row r="130" spans="1:2">
      <c r="A130" s="517">
        <v>3021103</v>
      </c>
      <c r="B130" s="517"/>
    </row>
    <row r="131" spans="1:2">
      <c r="A131" s="517">
        <v>3021100</v>
      </c>
      <c r="B131" s="517"/>
    </row>
    <row r="132" spans="1:2">
      <c r="A132" s="517">
        <v>3021102</v>
      </c>
      <c r="B132" s="517"/>
    </row>
    <row r="133" spans="1:2">
      <c r="A133" s="517">
        <v>3029998</v>
      </c>
      <c r="B133" s="517"/>
    </row>
    <row r="134" spans="1:2">
      <c r="A134" s="517">
        <v>3029999</v>
      </c>
      <c r="B134" s="517"/>
    </row>
    <row r="135" spans="1:2">
      <c r="A135" s="512" t="s">
        <v>1548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25"/>
  <sheetViews>
    <sheetView workbookViewId="0">
      <selection activeCell="P27" sqref="P27"/>
    </sheetView>
  </sheetViews>
  <sheetFormatPr defaultRowHeight="12.75"/>
  <cols>
    <col min="1" max="1" width="11.7109375" customWidth="1"/>
    <col min="3" max="3" width="4" bestFit="1" customWidth="1"/>
    <col min="4" max="4" width="8.42578125" bestFit="1" customWidth="1"/>
    <col min="5" max="5" width="5.85546875" bestFit="1" customWidth="1"/>
    <col min="6" max="6" width="40.28515625" customWidth="1"/>
    <col min="7" max="7" width="19.7109375" bestFit="1" customWidth="1"/>
    <col min="8" max="8" width="24.5703125" bestFit="1" customWidth="1"/>
    <col min="12" max="12" width="10.42578125" style="571" customWidth="1"/>
    <col min="13" max="23" width="10.42578125" customWidth="1"/>
  </cols>
  <sheetData>
    <row r="1" spans="1:26">
      <c r="A1" t="s">
        <v>1604</v>
      </c>
    </row>
    <row r="3" spans="1:26" ht="114.75">
      <c r="A3" s="570" t="s">
        <v>1641</v>
      </c>
      <c r="B3" s="570" t="s">
        <v>1593</v>
      </c>
      <c r="C3" s="570" t="s">
        <v>1642</v>
      </c>
      <c r="D3" s="570" t="s">
        <v>1643</v>
      </c>
      <c r="E3" s="570" t="s">
        <v>1644</v>
      </c>
      <c r="F3" s="570" t="s">
        <v>133</v>
      </c>
      <c r="G3" s="570" t="s">
        <v>1605</v>
      </c>
      <c r="H3" s="570" t="s">
        <v>1606</v>
      </c>
      <c r="I3" s="570" t="s">
        <v>1607</v>
      </c>
      <c r="J3" s="570"/>
      <c r="K3" s="570" t="s">
        <v>1608</v>
      </c>
      <c r="L3" s="572" t="s">
        <v>1609</v>
      </c>
      <c r="M3" s="570" t="s">
        <v>1610</v>
      </c>
      <c r="N3" s="570" t="s">
        <v>1611</v>
      </c>
      <c r="O3" s="570" t="s">
        <v>1612</v>
      </c>
      <c r="P3" s="570"/>
      <c r="Q3" s="570" t="s">
        <v>1613</v>
      </c>
      <c r="R3" s="570" t="s">
        <v>1614</v>
      </c>
      <c r="S3" s="570" t="s">
        <v>1615</v>
      </c>
      <c r="T3" s="570" t="s">
        <v>1616</v>
      </c>
      <c r="U3" s="570"/>
      <c r="V3" s="570" t="s">
        <v>1617</v>
      </c>
      <c r="W3" s="570" t="s">
        <v>1618</v>
      </c>
      <c r="X3" s="570"/>
      <c r="Y3" s="570"/>
      <c r="Z3" s="570"/>
    </row>
    <row r="4" spans="1:26">
      <c r="A4">
        <v>101255</v>
      </c>
      <c r="B4">
        <v>3021100</v>
      </c>
      <c r="C4">
        <v>302</v>
      </c>
      <c r="D4" t="s">
        <v>1645</v>
      </c>
      <c r="E4">
        <v>1100</v>
      </c>
      <c r="F4" t="s">
        <v>451</v>
      </c>
      <c r="G4" t="s">
        <v>694</v>
      </c>
      <c r="H4" t="s">
        <v>1619</v>
      </c>
      <c r="I4" t="s">
        <v>1620</v>
      </c>
      <c r="K4" t="s">
        <v>1620</v>
      </c>
      <c r="L4" s="571" t="s">
        <v>1620</v>
      </c>
      <c r="M4" t="s">
        <v>1620</v>
      </c>
      <c r="N4" t="s">
        <v>1620</v>
      </c>
      <c r="O4" t="s">
        <v>1620</v>
      </c>
      <c r="Q4" t="s">
        <v>1620</v>
      </c>
      <c r="R4" t="s">
        <v>1620</v>
      </c>
      <c r="S4" t="s">
        <v>1620</v>
      </c>
      <c r="T4" t="s">
        <v>1620</v>
      </c>
      <c r="V4" t="s">
        <v>1620</v>
      </c>
      <c r="W4" t="s">
        <v>1620</v>
      </c>
    </row>
    <row r="5" spans="1:26">
      <c r="A5">
        <v>133749</v>
      </c>
      <c r="B5">
        <v>3021102</v>
      </c>
      <c r="C5">
        <v>302</v>
      </c>
      <c r="D5" t="s">
        <v>1645</v>
      </c>
      <c r="E5">
        <v>1102</v>
      </c>
      <c r="F5" t="s">
        <v>742</v>
      </c>
      <c r="G5" t="s">
        <v>694</v>
      </c>
      <c r="H5" t="s">
        <v>1621</v>
      </c>
      <c r="I5" t="s">
        <v>1620</v>
      </c>
      <c r="K5" t="s">
        <v>1620</v>
      </c>
      <c r="L5" s="571" t="s">
        <v>1620</v>
      </c>
      <c r="M5" t="s">
        <v>1620</v>
      </c>
      <c r="N5" t="s">
        <v>1620</v>
      </c>
      <c r="O5" t="s">
        <v>1620</v>
      </c>
      <c r="Q5" t="s">
        <v>1620</v>
      </c>
      <c r="R5" t="s">
        <v>1620</v>
      </c>
      <c r="S5" t="s">
        <v>1620</v>
      </c>
      <c r="T5" t="s">
        <v>1620</v>
      </c>
      <c r="V5" t="s">
        <v>1620</v>
      </c>
      <c r="W5" t="s">
        <v>1620</v>
      </c>
    </row>
    <row r="6" spans="1:26">
      <c r="A6">
        <v>134676</v>
      </c>
      <c r="B6">
        <v>3021103</v>
      </c>
      <c r="C6">
        <v>302</v>
      </c>
      <c r="D6" t="s">
        <v>1645</v>
      </c>
      <c r="E6">
        <v>1103</v>
      </c>
      <c r="F6" t="s">
        <v>1622</v>
      </c>
      <c r="G6" t="s">
        <v>694</v>
      </c>
      <c r="H6" t="s">
        <v>1619</v>
      </c>
      <c r="I6" t="s">
        <v>1620</v>
      </c>
      <c r="K6" t="s">
        <v>1620</v>
      </c>
      <c r="L6" s="571" t="s">
        <v>1620</v>
      </c>
      <c r="M6" t="s">
        <v>1620</v>
      </c>
      <c r="N6" t="s">
        <v>1620</v>
      </c>
      <c r="O6" t="s">
        <v>1620</v>
      </c>
      <c r="Q6" t="s">
        <v>1620</v>
      </c>
      <c r="R6" t="s">
        <v>1620</v>
      </c>
      <c r="S6" t="s">
        <v>1620</v>
      </c>
      <c r="T6" t="s">
        <v>1620</v>
      </c>
      <c r="V6" t="s">
        <v>1620</v>
      </c>
      <c r="W6" t="s">
        <v>1620</v>
      </c>
    </row>
    <row r="7" spans="1:26">
      <c r="A7">
        <v>136938</v>
      </c>
      <c r="B7">
        <v>3022001</v>
      </c>
      <c r="C7">
        <v>302</v>
      </c>
      <c r="D7" t="s">
        <v>1645</v>
      </c>
      <c r="E7">
        <v>2001</v>
      </c>
      <c r="F7" t="s">
        <v>1485</v>
      </c>
      <c r="G7" t="s">
        <v>1623</v>
      </c>
      <c r="H7" t="s">
        <v>1621</v>
      </c>
      <c r="I7">
        <v>84</v>
      </c>
      <c r="K7">
        <v>84</v>
      </c>
      <c r="L7" s="571" t="s">
        <v>1624</v>
      </c>
      <c r="M7" t="s">
        <v>1624</v>
      </c>
      <c r="N7" t="s">
        <v>1624</v>
      </c>
      <c r="O7" t="s">
        <v>1624</v>
      </c>
      <c r="Q7">
        <v>0</v>
      </c>
      <c r="R7">
        <v>0</v>
      </c>
      <c r="S7">
        <v>0</v>
      </c>
      <c r="T7">
        <v>0</v>
      </c>
      <c r="V7" t="s">
        <v>1624</v>
      </c>
      <c r="W7" t="s">
        <v>1624</v>
      </c>
    </row>
    <row r="8" spans="1:26">
      <c r="A8">
        <v>101258</v>
      </c>
      <c r="B8">
        <v>3022002</v>
      </c>
      <c r="C8">
        <v>302</v>
      </c>
      <c r="D8" t="s">
        <v>1645</v>
      </c>
      <c r="E8">
        <v>2002</v>
      </c>
      <c r="F8" t="s">
        <v>330</v>
      </c>
      <c r="G8" t="s">
        <v>1625</v>
      </c>
      <c r="H8" t="s">
        <v>1621</v>
      </c>
      <c r="I8">
        <v>478</v>
      </c>
      <c r="K8">
        <v>478</v>
      </c>
      <c r="L8" s="571">
        <v>247</v>
      </c>
      <c r="M8">
        <v>51.7</v>
      </c>
      <c r="N8">
        <v>321100</v>
      </c>
      <c r="O8">
        <v>5681</v>
      </c>
      <c r="Q8">
        <v>0</v>
      </c>
      <c r="R8">
        <v>0</v>
      </c>
      <c r="S8">
        <v>0</v>
      </c>
      <c r="T8">
        <v>0</v>
      </c>
      <c r="V8">
        <v>250</v>
      </c>
      <c r="W8">
        <v>327000</v>
      </c>
    </row>
    <row r="9" spans="1:26">
      <c r="A9">
        <v>101259</v>
      </c>
      <c r="B9">
        <v>3022003</v>
      </c>
      <c r="C9">
        <v>302</v>
      </c>
      <c r="D9" t="s">
        <v>1645</v>
      </c>
      <c r="E9">
        <v>2003</v>
      </c>
      <c r="F9" t="s">
        <v>332</v>
      </c>
      <c r="G9" t="s">
        <v>1625</v>
      </c>
      <c r="H9" t="s">
        <v>1621</v>
      </c>
      <c r="I9">
        <v>391</v>
      </c>
      <c r="K9">
        <v>391</v>
      </c>
      <c r="L9" s="571">
        <v>155</v>
      </c>
      <c r="M9">
        <v>39.6</v>
      </c>
      <c r="N9">
        <v>201500</v>
      </c>
      <c r="O9">
        <v>3565</v>
      </c>
      <c r="Q9">
        <v>0</v>
      </c>
      <c r="R9">
        <v>0</v>
      </c>
      <c r="S9">
        <v>0</v>
      </c>
      <c r="T9">
        <v>0</v>
      </c>
      <c r="V9">
        <v>160</v>
      </c>
      <c r="W9">
        <v>205000</v>
      </c>
    </row>
    <row r="10" spans="1:26">
      <c r="A10">
        <v>138272</v>
      </c>
      <c r="B10">
        <v>3022004</v>
      </c>
      <c r="C10">
        <v>302</v>
      </c>
      <c r="D10" t="s">
        <v>1645</v>
      </c>
      <c r="E10">
        <v>2004</v>
      </c>
      <c r="F10" t="s">
        <v>1486</v>
      </c>
      <c r="G10" t="s">
        <v>1623</v>
      </c>
      <c r="H10" t="s">
        <v>1626</v>
      </c>
      <c r="I10">
        <v>47</v>
      </c>
      <c r="K10">
        <v>47</v>
      </c>
      <c r="L10" s="571">
        <v>0</v>
      </c>
      <c r="M10">
        <v>0</v>
      </c>
      <c r="N10">
        <v>0</v>
      </c>
      <c r="O10">
        <v>0</v>
      </c>
      <c r="Q10">
        <v>0</v>
      </c>
      <c r="R10">
        <v>0</v>
      </c>
      <c r="S10">
        <v>0</v>
      </c>
      <c r="T10">
        <v>0</v>
      </c>
      <c r="V10">
        <v>0</v>
      </c>
      <c r="W10">
        <v>0</v>
      </c>
    </row>
    <row r="11" spans="1:26">
      <c r="A11">
        <v>101262</v>
      </c>
      <c r="B11">
        <v>3022007</v>
      </c>
      <c r="C11">
        <v>302</v>
      </c>
      <c r="D11" t="s">
        <v>1645</v>
      </c>
      <c r="E11">
        <v>2007</v>
      </c>
      <c r="F11" t="s">
        <v>43</v>
      </c>
      <c r="G11" t="s">
        <v>1625</v>
      </c>
      <c r="H11" t="s">
        <v>1626</v>
      </c>
      <c r="I11">
        <v>361</v>
      </c>
      <c r="K11">
        <v>361</v>
      </c>
      <c r="L11" s="571">
        <v>53</v>
      </c>
      <c r="M11">
        <v>14.7</v>
      </c>
      <c r="N11">
        <v>68900</v>
      </c>
      <c r="O11">
        <v>1219</v>
      </c>
      <c r="Q11">
        <v>0</v>
      </c>
      <c r="R11">
        <v>0</v>
      </c>
      <c r="S11">
        <v>0</v>
      </c>
      <c r="T11">
        <v>0</v>
      </c>
      <c r="V11">
        <v>50</v>
      </c>
      <c r="W11">
        <v>70000</v>
      </c>
    </row>
    <row r="12" spans="1:26">
      <c r="A12">
        <v>101263</v>
      </c>
      <c r="B12">
        <v>3022008</v>
      </c>
      <c r="C12">
        <v>302</v>
      </c>
      <c r="D12" t="s">
        <v>1645</v>
      </c>
      <c r="E12">
        <v>2008</v>
      </c>
      <c r="F12" t="s">
        <v>333</v>
      </c>
      <c r="G12" t="s">
        <v>1625</v>
      </c>
      <c r="H12" t="s">
        <v>1626</v>
      </c>
      <c r="I12">
        <v>269</v>
      </c>
      <c r="K12">
        <v>269</v>
      </c>
      <c r="L12" s="571">
        <v>50</v>
      </c>
      <c r="M12">
        <v>18.600000000000001</v>
      </c>
      <c r="N12">
        <v>65000</v>
      </c>
      <c r="O12">
        <v>1150</v>
      </c>
      <c r="Q12">
        <v>0</v>
      </c>
      <c r="R12">
        <v>0</v>
      </c>
      <c r="S12">
        <v>0</v>
      </c>
      <c r="T12">
        <v>0</v>
      </c>
      <c r="V12">
        <v>50</v>
      </c>
      <c r="W12">
        <v>66000</v>
      </c>
    </row>
    <row r="13" spans="1:26">
      <c r="A13">
        <v>101264</v>
      </c>
      <c r="B13">
        <v>3022009</v>
      </c>
      <c r="C13">
        <v>302</v>
      </c>
      <c r="D13" t="s">
        <v>1645</v>
      </c>
      <c r="E13">
        <v>2009</v>
      </c>
      <c r="F13" t="s">
        <v>334</v>
      </c>
      <c r="G13" t="s">
        <v>1625</v>
      </c>
      <c r="H13" t="s">
        <v>1619</v>
      </c>
      <c r="I13">
        <v>297</v>
      </c>
      <c r="K13">
        <v>297</v>
      </c>
      <c r="L13" s="571">
        <v>105</v>
      </c>
      <c r="M13">
        <v>35.4</v>
      </c>
      <c r="N13">
        <v>136500</v>
      </c>
      <c r="O13">
        <v>2415</v>
      </c>
      <c r="Q13">
        <v>0</v>
      </c>
      <c r="R13">
        <v>0</v>
      </c>
      <c r="S13">
        <v>0</v>
      </c>
      <c r="T13">
        <v>0</v>
      </c>
      <c r="V13">
        <v>110</v>
      </c>
      <c r="W13">
        <v>139000</v>
      </c>
    </row>
    <row r="14" spans="1:26">
      <c r="A14">
        <v>101265</v>
      </c>
      <c r="B14">
        <v>3022010</v>
      </c>
      <c r="C14">
        <v>302</v>
      </c>
      <c r="D14" t="s">
        <v>1645</v>
      </c>
      <c r="E14">
        <v>2010</v>
      </c>
      <c r="F14" t="s">
        <v>46</v>
      </c>
      <c r="G14" t="s">
        <v>1625</v>
      </c>
      <c r="H14" t="s">
        <v>1626</v>
      </c>
      <c r="I14">
        <v>307</v>
      </c>
      <c r="K14">
        <v>307</v>
      </c>
      <c r="L14" s="571">
        <v>156</v>
      </c>
      <c r="M14">
        <v>50.8</v>
      </c>
      <c r="N14">
        <v>202800</v>
      </c>
      <c r="O14">
        <v>3588</v>
      </c>
      <c r="Q14">
        <v>0</v>
      </c>
      <c r="R14">
        <v>0</v>
      </c>
      <c r="S14">
        <v>0</v>
      </c>
      <c r="T14">
        <v>0</v>
      </c>
      <c r="V14">
        <v>160</v>
      </c>
      <c r="W14">
        <v>206000</v>
      </c>
    </row>
    <row r="15" spans="1:26">
      <c r="A15">
        <v>101266</v>
      </c>
      <c r="B15">
        <v>3022011</v>
      </c>
      <c r="C15">
        <v>302</v>
      </c>
      <c r="D15" t="s">
        <v>1645</v>
      </c>
      <c r="E15">
        <v>2011</v>
      </c>
      <c r="F15" t="s">
        <v>48</v>
      </c>
      <c r="G15" t="s">
        <v>1625</v>
      </c>
      <c r="H15" t="s">
        <v>1619</v>
      </c>
      <c r="I15">
        <v>236</v>
      </c>
      <c r="K15">
        <v>236</v>
      </c>
      <c r="L15" s="571">
        <v>34</v>
      </c>
      <c r="M15">
        <v>14.4</v>
      </c>
      <c r="N15">
        <v>44200</v>
      </c>
      <c r="O15">
        <v>782</v>
      </c>
      <c r="Q15">
        <v>0</v>
      </c>
      <c r="R15">
        <v>0</v>
      </c>
      <c r="S15">
        <v>0</v>
      </c>
      <c r="T15">
        <v>0</v>
      </c>
      <c r="V15">
        <v>30</v>
      </c>
      <c r="W15">
        <v>45000</v>
      </c>
    </row>
    <row r="16" spans="1:26">
      <c r="A16">
        <v>101269</v>
      </c>
      <c r="B16">
        <v>3022014</v>
      </c>
      <c r="C16">
        <v>302</v>
      </c>
      <c r="D16" t="s">
        <v>1645</v>
      </c>
      <c r="E16">
        <v>2014</v>
      </c>
      <c r="F16" t="s">
        <v>338</v>
      </c>
      <c r="G16" t="s">
        <v>1625</v>
      </c>
      <c r="H16" t="s">
        <v>1621</v>
      </c>
      <c r="I16">
        <v>600</v>
      </c>
      <c r="K16">
        <v>600</v>
      </c>
      <c r="L16" s="571">
        <v>166</v>
      </c>
      <c r="M16">
        <v>27.7</v>
      </c>
      <c r="N16">
        <v>215800</v>
      </c>
      <c r="O16">
        <v>3818</v>
      </c>
      <c r="Q16">
        <v>0</v>
      </c>
      <c r="R16">
        <v>0</v>
      </c>
      <c r="S16">
        <v>0</v>
      </c>
      <c r="T16">
        <v>0</v>
      </c>
      <c r="V16">
        <v>170</v>
      </c>
      <c r="W16">
        <v>220000</v>
      </c>
    </row>
    <row r="17" spans="1:23">
      <c r="A17">
        <v>101270</v>
      </c>
      <c r="B17">
        <v>3022015</v>
      </c>
      <c r="C17">
        <v>302</v>
      </c>
      <c r="D17" t="s">
        <v>1645</v>
      </c>
      <c r="E17">
        <v>2015</v>
      </c>
      <c r="F17" t="s">
        <v>339</v>
      </c>
      <c r="G17" t="s">
        <v>1625</v>
      </c>
      <c r="H17" t="s">
        <v>1619</v>
      </c>
      <c r="I17">
        <v>236</v>
      </c>
      <c r="K17">
        <v>236</v>
      </c>
      <c r="L17" s="571">
        <v>98</v>
      </c>
      <c r="M17">
        <v>41.5</v>
      </c>
      <c r="N17">
        <v>127400</v>
      </c>
      <c r="O17">
        <v>2254</v>
      </c>
      <c r="Q17">
        <v>0</v>
      </c>
      <c r="R17">
        <v>0</v>
      </c>
      <c r="S17">
        <v>0</v>
      </c>
      <c r="T17">
        <v>0</v>
      </c>
      <c r="V17">
        <v>100</v>
      </c>
      <c r="W17">
        <v>130000</v>
      </c>
    </row>
    <row r="18" spans="1:23">
      <c r="A18">
        <v>101271</v>
      </c>
      <c r="B18">
        <v>3022016</v>
      </c>
      <c r="C18">
        <v>302</v>
      </c>
      <c r="D18" t="s">
        <v>1645</v>
      </c>
      <c r="E18">
        <v>2016</v>
      </c>
      <c r="F18" t="s">
        <v>53</v>
      </c>
      <c r="G18" t="s">
        <v>1625</v>
      </c>
      <c r="H18" t="s">
        <v>1621</v>
      </c>
      <c r="I18">
        <v>213</v>
      </c>
      <c r="K18">
        <v>213</v>
      </c>
      <c r="L18" s="571">
        <v>39</v>
      </c>
      <c r="M18">
        <v>18.3</v>
      </c>
      <c r="N18">
        <v>50700</v>
      </c>
      <c r="O18">
        <v>897</v>
      </c>
      <c r="Q18">
        <v>0</v>
      </c>
      <c r="R18">
        <v>0</v>
      </c>
      <c r="S18">
        <v>0</v>
      </c>
      <c r="T18">
        <v>0</v>
      </c>
      <c r="V18">
        <v>40</v>
      </c>
      <c r="W18">
        <v>52000</v>
      </c>
    </row>
    <row r="19" spans="1:23">
      <c r="A19">
        <v>101272</v>
      </c>
      <c r="B19">
        <v>3022017</v>
      </c>
      <c r="C19">
        <v>302</v>
      </c>
      <c r="D19" t="s">
        <v>1645</v>
      </c>
      <c r="E19">
        <v>2017</v>
      </c>
      <c r="F19" t="s">
        <v>340</v>
      </c>
      <c r="G19" t="s">
        <v>1625</v>
      </c>
      <c r="H19" t="s">
        <v>1619</v>
      </c>
      <c r="I19">
        <v>413</v>
      </c>
      <c r="K19">
        <v>413</v>
      </c>
      <c r="L19" s="571">
        <v>119</v>
      </c>
      <c r="M19">
        <v>28.8</v>
      </c>
      <c r="N19">
        <v>154700</v>
      </c>
      <c r="O19">
        <v>2737</v>
      </c>
      <c r="Q19">
        <v>0</v>
      </c>
      <c r="R19">
        <v>0</v>
      </c>
      <c r="S19">
        <v>0</v>
      </c>
      <c r="T19">
        <v>0</v>
      </c>
      <c r="V19">
        <v>120</v>
      </c>
      <c r="W19">
        <v>157000</v>
      </c>
    </row>
    <row r="20" spans="1:23">
      <c r="A20">
        <v>139489</v>
      </c>
      <c r="B20">
        <v>3022018</v>
      </c>
      <c r="C20">
        <v>302</v>
      </c>
      <c r="D20" t="s">
        <v>1645</v>
      </c>
      <c r="E20">
        <v>2018</v>
      </c>
      <c r="F20" t="s">
        <v>57</v>
      </c>
      <c r="G20" t="s">
        <v>1623</v>
      </c>
      <c r="H20" t="s">
        <v>1621</v>
      </c>
      <c r="I20">
        <v>381</v>
      </c>
      <c r="K20">
        <v>381</v>
      </c>
      <c r="L20" s="571">
        <v>194</v>
      </c>
      <c r="M20">
        <v>50.9</v>
      </c>
      <c r="N20">
        <v>252200</v>
      </c>
      <c r="O20">
        <v>4462</v>
      </c>
      <c r="Q20">
        <v>0</v>
      </c>
      <c r="R20">
        <v>0</v>
      </c>
      <c r="S20">
        <v>0</v>
      </c>
      <c r="T20">
        <v>0</v>
      </c>
      <c r="V20">
        <v>190</v>
      </c>
      <c r="W20">
        <v>257000</v>
      </c>
    </row>
    <row r="21" spans="1:23">
      <c r="A21">
        <v>101274</v>
      </c>
      <c r="B21">
        <v>3022019</v>
      </c>
      <c r="C21">
        <v>302</v>
      </c>
      <c r="D21" t="s">
        <v>1645</v>
      </c>
      <c r="E21">
        <v>2019</v>
      </c>
      <c r="F21" t="s">
        <v>56</v>
      </c>
      <c r="G21" t="s">
        <v>1625</v>
      </c>
      <c r="H21" t="s">
        <v>1621</v>
      </c>
      <c r="I21">
        <v>299</v>
      </c>
      <c r="K21">
        <v>299</v>
      </c>
      <c r="L21" s="571">
        <v>106</v>
      </c>
      <c r="M21">
        <v>35.5</v>
      </c>
      <c r="N21">
        <v>137800</v>
      </c>
      <c r="O21">
        <v>2438</v>
      </c>
      <c r="Q21">
        <v>0</v>
      </c>
      <c r="R21">
        <v>0</v>
      </c>
      <c r="S21">
        <v>0</v>
      </c>
      <c r="T21">
        <v>0</v>
      </c>
      <c r="V21">
        <v>110</v>
      </c>
      <c r="W21">
        <v>140000</v>
      </c>
    </row>
    <row r="22" spans="1:23">
      <c r="A22">
        <v>139562</v>
      </c>
      <c r="B22">
        <v>3022020</v>
      </c>
      <c r="C22">
        <v>302</v>
      </c>
      <c r="D22" t="s">
        <v>1645</v>
      </c>
      <c r="E22">
        <v>2020</v>
      </c>
      <c r="F22" t="s">
        <v>1492</v>
      </c>
      <c r="G22" t="s">
        <v>1623</v>
      </c>
      <c r="H22" t="s">
        <v>1626</v>
      </c>
      <c r="I22">
        <v>30</v>
      </c>
      <c r="K22">
        <v>30</v>
      </c>
      <c r="L22" s="571">
        <v>0</v>
      </c>
      <c r="M22">
        <v>0</v>
      </c>
      <c r="N22">
        <v>0</v>
      </c>
      <c r="O22">
        <v>0</v>
      </c>
      <c r="Q22">
        <v>0</v>
      </c>
      <c r="R22">
        <v>0</v>
      </c>
      <c r="S22">
        <v>0</v>
      </c>
      <c r="T22">
        <v>0</v>
      </c>
      <c r="V22">
        <v>0</v>
      </c>
      <c r="W22">
        <v>0</v>
      </c>
    </row>
    <row r="23" spans="1:23">
      <c r="A23">
        <v>101275</v>
      </c>
      <c r="B23">
        <v>3022021</v>
      </c>
      <c r="C23">
        <v>302</v>
      </c>
      <c r="D23" t="s">
        <v>1645</v>
      </c>
      <c r="E23">
        <v>2021</v>
      </c>
      <c r="F23" t="s">
        <v>58</v>
      </c>
      <c r="G23" t="s">
        <v>1625</v>
      </c>
      <c r="H23" t="s">
        <v>1621</v>
      </c>
      <c r="I23">
        <v>276</v>
      </c>
      <c r="K23">
        <v>276</v>
      </c>
      <c r="L23" s="571">
        <v>106</v>
      </c>
      <c r="M23">
        <v>38.4</v>
      </c>
      <c r="N23">
        <v>137800</v>
      </c>
      <c r="O23">
        <v>2438</v>
      </c>
      <c r="Q23">
        <v>0</v>
      </c>
      <c r="R23">
        <v>0</v>
      </c>
      <c r="S23">
        <v>0</v>
      </c>
      <c r="T23">
        <v>0</v>
      </c>
      <c r="V23">
        <v>110</v>
      </c>
      <c r="W23">
        <v>140000</v>
      </c>
    </row>
    <row r="24" spans="1:23">
      <c r="A24">
        <v>101276</v>
      </c>
      <c r="B24">
        <v>3022022</v>
      </c>
      <c r="C24">
        <v>302</v>
      </c>
      <c r="D24" t="s">
        <v>1645</v>
      </c>
      <c r="E24">
        <v>2022</v>
      </c>
      <c r="F24" t="s">
        <v>61</v>
      </c>
      <c r="G24" t="s">
        <v>1625</v>
      </c>
      <c r="H24" t="s">
        <v>1621</v>
      </c>
      <c r="I24">
        <v>346</v>
      </c>
      <c r="K24">
        <v>346</v>
      </c>
      <c r="L24" s="571">
        <v>145</v>
      </c>
      <c r="M24">
        <v>41.9</v>
      </c>
      <c r="N24">
        <v>188500</v>
      </c>
      <c r="O24">
        <v>3335</v>
      </c>
      <c r="Q24">
        <v>0</v>
      </c>
      <c r="R24">
        <v>0</v>
      </c>
      <c r="S24">
        <v>0</v>
      </c>
      <c r="T24">
        <v>0</v>
      </c>
      <c r="V24">
        <v>150</v>
      </c>
      <c r="W24">
        <v>192000</v>
      </c>
    </row>
    <row r="25" spans="1:23">
      <c r="A25">
        <v>101277</v>
      </c>
      <c r="B25">
        <v>3022023</v>
      </c>
      <c r="C25">
        <v>302</v>
      </c>
      <c r="D25" t="s">
        <v>1645</v>
      </c>
      <c r="E25">
        <v>2023</v>
      </c>
      <c r="F25" t="s">
        <v>60</v>
      </c>
      <c r="G25" t="s">
        <v>1625</v>
      </c>
      <c r="H25" t="s">
        <v>1621</v>
      </c>
      <c r="I25">
        <v>259</v>
      </c>
      <c r="K25">
        <v>259</v>
      </c>
      <c r="L25" s="571">
        <v>70</v>
      </c>
      <c r="M25">
        <v>27</v>
      </c>
      <c r="N25">
        <v>91000</v>
      </c>
      <c r="O25">
        <v>1610</v>
      </c>
      <c r="Q25">
        <v>0</v>
      </c>
      <c r="R25">
        <v>0</v>
      </c>
      <c r="S25">
        <v>0</v>
      </c>
      <c r="T25">
        <v>0</v>
      </c>
      <c r="V25">
        <v>70</v>
      </c>
      <c r="W25">
        <v>93000</v>
      </c>
    </row>
    <row r="26" spans="1:23">
      <c r="A26">
        <v>101278</v>
      </c>
      <c r="B26">
        <v>3022024</v>
      </c>
      <c r="C26">
        <v>302</v>
      </c>
      <c r="D26" t="s">
        <v>1645</v>
      </c>
      <c r="E26">
        <v>2024</v>
      </c>
      <c r="F26" t="s">
        <v>1627</v>
      </c>
      <c r="G26" t="s">
        <v>1625</v>
      </c>
      <c r="H26" t="s">
        <v>1621</v>
      </c>
      <c r="I26">
        <v>238</v>
      </c>
      <c r="K26">
        <v>238</v>
      </c>
      <c r="L26" s="571">
        <v>84</v>
      </c>
      <c r="M26">
        <v>35.299999999999997</v>
      </c>
      <c r="N26">
        <v>109200</v>
      </c>
      <c r="O26">
        <v>1932</v>
      </c>
      <c r="Q26">
        <v>0</v>
      </c>
      <c r="R26">
        <v>0</v>
      </c>
      <c r="S26">
        <v>0</v>
      </c>
      <c r="T26">
        <v>0</v>
      </c>
      <c r="V26">
        <v>80</v>
      </c>
      <c r="W26">
        <v>111000</v>
      </c>
    </row>
    <row r="27" spans="1:23">
      <c r="A27">
        <v>101279</v>
      </c>
      <c r="B27">
        <v>3022025</v>
      </c>
      <c r="C27">
        <v>302</v>
      </c>
      <c r="D27" t="s">
        <v>1645</v>
      </c>
      <c r="E27">
        <v>2025</v>
      </c>
      <c r="F27" t="s">
        <v>63</v>
      </c>
      <c r="G27" t="s">
        <v>1625</v>
      </c>
      <c r="H27" t="s">
        <v>1619</v>
      </c>
      <c r="I27">
        <v>317</v>
      </c>
      <c r="K27">
        <v>317</v>
      </c>
      <c r="L27" s="571">
        <v>18</v>
      </c>
      <c r="M27">
        <v>5.7</v>
      </c>
      <c r="N27">
        <v>23400</v>
      </c>
      <c r="O27">
        <v>414</v>
      </c>
      <c r="Q27">
        <v>0</v>
      </c>
      <c r="R27">
        <v>0</v>
      </c>
      <c r="S27">
        <v>0</v>
      </c>
      <c r="T27">
        <v>0</v>
      </c>
      <c r="V27">
        <v>20</v>
      </c>
      <c r="W27">
        <v>24000</v>
      </c>
    </row>
    <row r="28" spans="1:23">
      <c r="A28">
        <v>101280</v>
      </c>
      <c r="B28">
        <v>3022026</v>
      </c>
      <c r="C28">
        <v>302</v>
      </c>
      <c r="D28" t="s">
        <v>1645</v>
      </c>
      <c r="E28">
        <v>2026</v>
      </c>
      <c r="F28" t="s">
        <v>343</v>
      </c>
      <c r="G28" t="s">
        <v>1625</v>
      </c>
      <c r="H28" t="s">
        <v>1621</v>
      </c>
      <c r="I28">
        <v>619</v>
      </c>
      <c r="K28">
        <v>619</v>
      </c>
      <c r="L28" s="571">
        <v>130</v>
      </c>
      <c r="M28">
        <v>21</v>
      </c>
      <c r="N28">
        <v>169000</v>
      </c>
      <c r="O28">
        <v>2990</v>
      </c>
      <c r="Q28">
        <v>0</v>
      </c>
      <c r="R28">
        <v>0</v>
      </c>
      <c r="S28">
        <v>0</v>
      </c>
      <c r="T28">
        <v>0</v>
      </c>
      <c r="V28">
        <v>130</v>
      </c>
      <c r="W28">
        <v>172000</v>
      </c>
    </row>
    <row r="29" spans="1:23">
      <c r="A29">
        <v>101281</v>
      </c>
      <c r="B29">
        <v>3022027</v>
      </c>
      <c r="C29">
        <v>302</v>
      </c>
      <c r="D29" t="s">
        <v>1645</v>
      </c>
      <c r="E29">
        <v>2027</v>
      </c>
      <c r="F29" t="s">
        <v>66</v>
      </c>
      <c r="G29" t="s">
        <v>1625</v>
      </c>
      <c r="H29" t="s">
        <v>1626</v>
      </c>
      <c r="I29">
        <v>355</v>
      </c>
      <c r="K29">
        <v>355</v>
      </c>
      <c r="L29" s="571">
        <v>78</v>
      </c>
      <c r="M29">
        <v>22</v>
      </c>
      <c r="N29">
        <v>101400</v>
      </c>
      <c r="O29">
        <v>1794</v>
      </c>
      <c r="Q29">
        <v>0</v>
      </c>
      <c r="R29">
        <v>0</v>
      </c>
      <c r="S29">
        <v>0</v>
      </c>
      <c r="T29">
        <v>0</v>
      </c>
      <c r="V29">
        <v>80</v>
      </c>
      <c r="W29">
        <v>103000</v>
      </c>
    </row>
    <row r="30" spans="1:23">
      <c r="A30">
        <v>101282</v>
      </c>
      <c r="B30">
        <v>3022028</v>
      </c>
      <c r="C30">
        <v>302</v>
      </c>
      <c r="D30" t="s">
        <v>1645</v>
      </c>
      <c r="E30">
        <v>2028</v>
      </c>
      <c r="F30" t="s">
        <v>65</v>
      </c>
      <c r="G30" t="s">
        <v>1625</v>
      </c>
      <c r="H30" t="s">
        <v>1626</v>
      </c>
      <c r="I30">
        <v>268</v>
      </c>
      <c r="K30">
        <v>268</v>
      </c>
      <c r="L30" s="571">
        <v>37</v>
      </c>
      <c r="M30">
        <v>13.8</v>
      </c>
      <c r="N30">
        <v>48100</v>
      </c>
      <c r="O30">
        <v>851</v>
      </c>
      <c r="Q30">
        <v>0</v>
      </c>
      <c r="R30">
        <v>0</v>
      </c>
      <c r="S30">
        <v>0</v>
      </c>
      <c r="T30">
        <v>0</v>
      </c>
      <c r="V30">
        <v>40</v>
      </c>
      <c r="W30">
        <v>49000</v>
      </c>
    </row>
    <row r="31" spans="1:23">
      <c r="A31">
        <v>101283</v>
      </c>
      <c r="B31">
        <v>3022029</v>
      </c>
      <c r="C31">
        <v>302</v>
      </c>
      <c r="D31" t="s">
        <v>1645</v>
      </c>
      <c r="E31">
        <v>2029</v>
      </c>
      <c r="F31" t="s">
        <v>344</v>
      </c>
      <c r="G31" t="s">
        <v>1625</v>
      </c>
      <c r="H31" t="s">
        <v>1621</v>
      </c>
      <c r="I31">
        <v>430</v>
      </c>
      <c r="K31">
        <v>430</v>
      </c>
      <c r="L31" s="571">
        <v>224</v>
      </c>
      <c r="M31">
        <v>52.1</v>
      </c>
      <c r="N31">
        <v>291200</v>
      </c>
      <c r="O31">
        <v>5152</v>
      </c>
      <c r="Q31">
        <v>0</v>
      </c>
      <c r="R31">
        <v>0</v>
      </c>
      <c r="S31">
        <v>0</v>
      </c>
      <c r="T31">
        <v>0</v>
      </c>
      <c r="V31">
        <v>220</v>
      </c>
      <c r="W31">
        <v>296000</v>
      </c>
    </row>
    <row r="32" spans="1:23">
      <c r="A32">
        <v>138649</v>
      </c>
      <c r="B32">
        <v>3022030</v>
      </c>
      <c r="C32">
        <v>302</v>
      </c>
      <c r="D32" t="s">
        <v>1645</v>
      </c>
      <c r="E32">
        <v>2030</v>
      </c>
      <c r="F32" t="s">
        <v>68</v>
      </c>
      <c r="G32" t="s">
        <v>1623</v>
      </c>
      <c r="H32" t="s">
        <v>1619</v>
      </c>
      <c r="I32">
        <v>112</v>
      </c>
      <c r="K32">
        <v>112</v>
      </c>
      <c r="L32" s="571">
        <v>25</v>
      </c>
      <c r="M32">
        <v>22.3</v>
      </c>
      <c r="N32">
        <v>32500</v>
      </c>
      <c r="O32">
        <v>575</v>
      </c>
      <c r="Q32">
        <v>0</v>
      </c>
      <c r="R32">
        <v>0</v>
      </c>
      <c r="S32">
        <v>0</v>
      </c>
      <c r="T32">
        <v>0</v>
      </c>
      <c r="V32">
        <v>30</v>
      </c>
      <c r="W32">
        <v>33000</v>
      </c>
    </row>
    <row r="33" spans="1:23">
      <c r="A33">
        <v>101285</v>
      </c>
      <c r="B33">
        <v>3022031</v>
      </c>
      <c r="C33">
        <v>302</v>
      </c>
      <c r="D33" t="s">
        <v>1645</v>
      </c>
      <c r="E33">
        <v>2031</v>
      </c>
      <c r="F33" t="s">
        <v>345</v>
      </c>
      <c r="G33" t="s">
        <v>1625</v>
      </c>
      <c r="H33" t="s">
        <v>1619</v>
      </c>
      <c r="I33">
        <v>199</v>
      </c>
      <c r="K33">
        <v>199</v>
      </c>
      <c r="L33" s="571">
        <v>87</v>
      </c>
      <c r="M33">
        <v>43.7</v>
      </c>
      <c r="N33">
        <v>113100</v>
      </c>
      <c r="O33">
        <v>2001</v>
      </c>
      <c r="Q33">
        <v>0</v>
      </c>
      <c r="R33">
        <v>0</v>
      </c>
      <c r="S33">
        <v>0</v>
      </c>
      <c r="T33">
        <v>0</v>
      </c>
      <c r="V33">
        <v>90</v>
      </c>
      <c r="W33">
        <v>115000</v>
      </c>
    </row>
    <row r="34" spans="1:23">
      <c r="A34">
        <v>101286</v>
      </c>
      <c r="B34">
        <v>3022032</v>
      </c>
      <c r="C34">
        <v>302</v>
      </c>
      <c r="D34" t="s">
        <v>1645</v>
      </c>
      <c r="E34">
        <v>2032</v>
      </c>
      <c r="F34" t="s">
        <v>346</v>
      </c>
      <c r="G34" t="s">
        <v>1625</v>
      </c>
      <c r="H34" t="s">
        <v>1619</v>
      </c>
      <c r="I34">
        <v>471</v>
      </c>
      <c r="K34">
        <v>471</v>
      </c>
      <c r="L34" s="571">
        <v>120</v>
      </c>
      <c r="M34">
        <v>25.5</v>
      </c>
      <c r="N34">
        <v>156000</v>
      </c>
      <c r="O34">
        <v>2760</v>
      </c>
      <c r="Q34">
        <v>0</v>
      </c>
      <c r="R34">
        <v>0</v>
      </c>
      <c r="S34">
        <v>0</v>
      </c>
      <c r="T34">
        <v>0</v>
      </c>
      <c r="V34">
        <v>120</v>
      </c>
      <c r="W34">
        <v>159000</v>
      </c>
    </row>
    <row r="35" spans="1:23">
      <c r="A35">
        <v>101289</v>
      </c>
      <c r="B35">
        <v>3022036</v>
      </c>
      <c r="C35">
        <v>302</v>
      </c>
      <c r="D35" t="s">
        <v>1645</v>
      </c>
      <c r="E35">
        <v>2036</v>
      </c>
      <c r="F35" t="s">
        <v>1628</v>
      </c>
      <c r="G35" t="s">
        <v>1625</v>
      </c>
      <c r="H35" t="s">
        <v>1619</v>
      </c>
      <c r="I35">
        <v>225</v>
      </c>
      <c r="K35">
        <v>225</v>
      </c>
      <c r="L35" s="571">
        <v>88</v>
      </c>
      <c r="M35">
        <v>39.1</v>
      </c>
      <c r="N35">
        <v>114400</v>
      </c>
      <c r="O35">
        <v>2024</v>
      </c>
      <c r="Q35">
        <v>0</v>
      </c>
      <c r="R35">
        <v>0</v>
      </c>
      <c r="S35">
        <v>0</v>
      </c>
      <c r="T35">
        <v>0</v>
      </c>
      <c r="V35">
        <v>90</v>
      </c>
      <c r="W35">
        <v>116000</v>
      </c>
    </row>
    <row r="36" spans="1:23">
      <c r="A36">
        <v>101290</v>
      </c>
      <c r="B36">
        <v>3022037</v>
      </c>
      <c r="C36">
        <v>302</v>
      </c>
      <c r="D36" t="s">
        <v>1645</v>
      </c>
      <c r="E36">
        <v>2037</v>
      </c>
      <c r="F36" t="s">
        <v>349</v>
      </c>
      <c r="G36" t="s">
        <v>1625</v>
      </c>
      <c r="H36" t="s">
        <v>1626</v>
      </c>
      <c r="I36">
        <v>242</v>
      </c>
      <c r="K36">
        <v>242</v>
      </c>
      <c r="L36" s="571">
        <v>84</v>
      </c>
      <c r="M36">
        <v>34.700000000000003</v>
      </c>
      <c r="N36">
        <v>109200</v>
      </c>
      <c r="O36">
        <v>1932</v>
      </c>
      <c r="Q36">
        <v>0</v>
      </c>
      <c r="R36">
        <v>0</v>
      </c>
      <c r="S36">
        <v>0</v>
      </c>
      <c r="T36">
        <v>0</v>
      </c>
      <c r="V36">
        <v>80</v>
      </c>
      <c r="W36">
        <v>111000</v>
      </c>
    </row>
    <row r="37" spans="1:23">
      <c r="A37">
        <v>139633</v>
      </c>
      <c r="B37">
        <v>3022038</v>
      </c>
      <c r="C37">
        <v>302</v>
      </c>
      <c r="D37" t="s">
        <v>1645</v>
      </c>
      <c r="E37">
        <v>2038</v>
      </c>
      <c r="F37" t="s">
        <v>357</v>
      </c>
      <c r="G37" t="s">
        <v>1623</v>
      </c>
      <c r="H37" t="s">
        <v>1621</v>
      </c>
      <c r="I37">
        <v>393</v>
      </c>
      <c r="K37">
        <v>393</v>
      </c>
      <c r="L37" s="571">
        <v>100</v>
      </c>
      <c r="M37">
        <v>25.4</v>
      </c>
      <c r="N37">
        <v>130000</v>
      </c>
      <c r="O37">
        <v>2300</v>
      </c>
      <c r="Q37">
        <v>0</v>
      </c>
      <c r="R37">
        <v>0</v>
      </c>
      <c r="S37">
        <v>0</v>
      </c>
      <c r="T37">
        <v>0</v>
      </c>
      <c r="V37">
        <v>100</v>
      </c>
      <c r="W37">
        <v>132000</v>
      </c>
    </row>
    <row r="38" spans="1:23">
      <c r="A38">
        <v>139727</v>
      </c>
      <c r="B38">
        <v>3022041</v>
      </c>
      <c r="C38">
        <v>302</v>
      </c>
      <c r="D38" t="s">
        <v>1645</v>
      </c>
      <c r="E38">
        <v>2041</v>
      </c>
      <c r="F38" t="s">
        <v>1603</v>
      </c>
      <c r="G38" t="s">
        <v>1625</v>
      </c>
      <c r="H38" t="s">
        <v>1626</v>
      </c>
      <c r="I38">
        <v>146</v>
      </c>
      <c r="K38">
        <v>146</v>
      </c>
      <c r="L38" s="571" t="s">
        <v>1624</v>
      </c>
      <c r="M38" t="s">
        <v>1624</v>
      </c>
      <c r="N38" t="s">
        <v>1624</v>
      </c>
      <c r="O38" t="s">
        <v>1624</v>
      </c>
      <c r="Q38">
        <v>0</v>
      </c>
      <c r="R38">
        <v>0</v>
      </c>
      <c r="S38">
        <v>0</v>
      </c>
      <c r="T38">
        <v>0</v>
      </c>
      <c r="V38" t="s">
        <v>1624</v>
      </c>
      <c r="W38" t="s">
        <v>1624</v>
      </c>
    </row>
    <row r="39" spans="1:23">
      <c r="A39">
        <v>101293</v>
      </c>
      <c r="B39">
        <v>3022042</v>
      </c>
      <c r="C39">
        <v>302</v>
      </c>
      <c r="D39" t="s">
        <v>1645</v>
      </c>
      <c r="E39">
        <v>2042</v>
      </c>
      <c r="F39" t="s">
        <v>353</v>
      </c>
      <c r="G39" t="s">
        <v>1625</v>
      </c>
      <c r="H39" t="s">
        <v>1619</v>
      </c>
      <c r="I39">
        <v>247</v>
      </c>
      <c r="K39">
        <v>247</v>
      </c>
      <c r="L39" s="571">
        <v>33</v>
      </c>
      <c r="M39">
        <v>13.4</v>
      </c>
      <c r="N39">
        <v>42900</v>
      </c>
      <c r="O39">
        <v>759</v>
      </c>
      <c r="Q39">
        <v>0</v>
      </c>
      <c r="R39">
        <v>0</v>
      </c>
      <c r="S39">
        <v>0</v>
      </c>
      <c r="T39">
        <v>0</v>
      </c>
      <c r="V39">
        <v>30</v>
      </c>
      <c r="W39">
        <v>44000</v>
      </c>
    </row>
    <row r="40" spans="1:23">
      <c r="A40">
        <v>101294</v>
      </c>
      <c r="B40">
        <v>3022043</v>
      </c>
      <c r="C40">
        <v>302</v>
      </c>
      <c r="D40" t="s">
        <v>1645</v>
      </c>
      <c r="E40">
        <v>2043</v>
      </c>
      <c r="F40" t="s">
        <v>83</v>
      </c>
      <c r="G40" t="s">
        <v>1625</v>
      </c>
      <c r="H40" t="s">
        <v>1626</v>
      </c>
      <c r="I40">
        <v>384</v>
      </c>
      <c r="K40">
        <v>384</v>
      </c>
      <c r="L40" s="571">
        <v>83</v>
      </c>
      <c r="M40">
        <v>21.6</v>
      </c>
      <c r="N40">
        <v>107900</v>
      </c>
      <c r="O40">
        <v>1909</v>
      </c>
      <c r="Q40">
        <v>0</v>
      </c>
      <c r="R40">
        <v>0</v>
      </c>
      <c r="S40">
        <v>0</v>
      </c>
      <c r="T40">
        <v>0</v>
      </c>
      <c r="V40">
        <v>80</v>
      </c>
      <c r="W40">
        <v>110000</v>
      </c>
    </row>
    <row r="41" spans="1:23">
      <c r="A41">
        <v>101295</v>
      </c>
      <c r="B41">
        <v>3022044</v>
      </c>
      <c r="C41">
        <v>302</v>
      </c>
      <c r="D41" t="s">
        <v>1645</v>
      </c>
      <c r="E41">
        <v>2044</v>
      </c>
      <c r="F41" t="s">
        <v>82</v>
      </c>
      <c r="G41" t="s">
        <v>1625</v>
      </c>
      <c r="H41" t="s">
        <v>1626</v>
      </c>
      <c r="I41">
        <v>328</v>
      </c>
      <c r="K41">
        <v>328</v>
      </c>
      <c r="L41" s="571">
        <v>63</v>
      </c>
      <c r="M41">
        <v>19.2</v>
      </c>
      <c r="N41">
        <v>81900</v>
      </c>
      <c r="O41">
        <v>1449</v>
      </c>
      <c r="Q41">
        <v>0</v>
      </c>
      <c r="R41">
        <v>0</v>
      </c>
      <c r="S41">
        <v>0</v>
      </c>
      <c r="T41">
        <v>0</v>
      </c>
      <c r="V41">
        <v>60</v>
      </c>
      <c r="W41">
        <v>83000</v>
      </c>
    </row>
    <row r="42" spans="1:23">
      <c r="A42">
        <v>101296</v>
      </c>
      <c r="B42">
        <v>3022045</v>
      </c>
      <c r="C42">
        <v>302</v>
      </c>
      <c r="D42" t="s">
        <v>1645</v>
      </c>
      <c r="E42">
        <v>2045</v>
      </c>
      <c r="F42" t="s">
        <v>354</v>
      </c>
      <c r="G42" t="s">
        <v>1625</v>
      </c>
      <c r="H42" t="s">
        <v>1626</v>
      </c>
      <c r="I42">
        <v>243</v>
      </c>
      <c r="K42">
        <v>243</v>
      </c>
      <c r="L42" s="571">
        <v>62</v>
      </c>
      <c r="M42">
        <v>25.5</v>
      </c>
      <c r="N42">
        <v>80600</v>
      </c>
      <c r="O42">
        <v>1426</v>
      </c>
      <c r="Q42">
        <v>0</v>
      </c>
      <c r="R42">
        <v>0</v>
      </c>
      <c r="S42">
        <v>0</v>
      </c>
      <c r="T42">
        <v>0</v>
      </c>
      <c r="V42">
        <v>60</v>
      </c>
      <c r="W42">
        <v>82000</v>
      </c>
    </row>
    <row r="43" spans="1:23">
      <c r="A43">
        <v>139817</v>
      </c>
      <c r="B43">
        <v>3022047</v>
      </c>
      <c r="C43">
        <v>302</v>
      </c>
      <c r="D43" t="s">
        <v>1645</v>
      </c>
      <c r="E43">
        <v>2047</v>
      </c>
      <c r="F43" t="s">
        <v>373</v>
      </c>
      <c r="G43" t="s">
        <v>1623</v>
      </c>
      <c r="H43" t="s">
        <v>1621</v>
      </c>
      <c r="I43">
        <v>400</v>
      </c>
      <c r="K43">
        <v>400</v>
      </c>
      <c r="L43" s="571">
        <v>144</v>
      </c>
      <c r="M43">
        <v>36</v>
      </c>
      <c r="N43">
        <v>187200</v>
      </c>
      <c r="O43">
        <v>3312</v>
      </c>
      <c r="Q43">
        <v>0</v>
      </c>
      <c r="R43">
        <v>0</v>
      </c>
      <c r="S43">
        <v>0</v>
      </c>
      <c r="T43">
        <v>0</v>
      </c>
      <c r="V43">
        <v>140</v>
      </c>
      <c r="W43">
        <v>191000</v>
      </c>
    </row>
    <row r="44" spans="1:23">
      <c r="A44">
        <v>101297</v>
      </c>
      <c r="B44">
        <v>3022052</v>
      </c>
      <c r="C44">
        <v>302</v>
      </c>
      <c r="D44" t="s">
        <v>1645</v>
      </c>
      <c r="E44">
        <v>2052</v>
      </c>
      <c r="F44" t="s">
        <v>369</v>
      </c>
      <c r="G44" t="s">
        <v>1625</v>
      </c>
      <c r="H44" t="s">
        <v>1626</v>
      </c>
      <c r="I44">
        <v>440</v>
      </c>
      <c r="K44">
        <v>440</v>
      </c>
      <c r="L44" s="571">
        <v>152</v>
      </c>
      <c r="M44">
        <v>34.5</v>
      </c>
      <c r="N44">
        <v>197600</v>
      </c>
      <c r="O44">
        <v>3496</v>
      </c>
      <c r="Q44">
        <v>0</v>
      </c>
      <c r="R44">
        <v>0</v>
      </c>
      <c r="S44">
        <v>0</v>
      </c>
      <c r="T44">
        <v>0</v>
      </c>
      <c r="V44">
        <v>150</v>
      </c>
      <c r="W44">
        <v>201000</v>
      </c>
    </row>
    <row r="45" spans="1:23">
      <c r="A45">
        <v>101298</v>
      </c>
      <c r="B45">
        <v>3022054</v>
      </c>
      <c r="C45">
        <v>302</v>
      </c>
      <c r="D45" t="s">
        <v>1645</v>
      </c>
      <c r="E45">
        <v>2054</v>
      </c>
      <c r="F45" t="s">
        <v>379</v>
      </c>
      <c r="G45" t="s">
        <v>1625</v>
      </c>
      <c r="H45" t="s">
        <v>1619</v>
      </c>
      <c r="I45">
        <v>240</v>
      </c>
      <c r="K45">
        <v>240</v>
      </c>
      <c r="L45" s="571">
        <v>17</v>
      </c>
      <c r="M45">
        <v>7.1</v>
      </c>
      <c r="N45">
        <v>22100</v>
      </c>
      <c r="O45">
        <v>391</v>
      </c>
      <c r="Q45">
        <v>0</v>
      </c>
      <c r="R45">
        <v>0</v>
      </c>
      <c r="S45">
        <v>0</v>
      </c>
      <c r="T45">
        <v>0</v>
      </c>
      <c r="V45">
        <v>20</v>
      </c>
      <c r="W45">
        <v>22000</v>
      </c>
    </row>
    <row r="46" spans="1:23">
      <c r="A46">
        <v>101299</v>
      </c>
      <c r="B46">
        <v>3022055</v>
      </c>
      <c r="C46">
        <v>302</v>
      </c>
      <c r="D46" t="s">
        <v>1645</v>
      </c>
      <c r="E46">
        <v>2055</v>
      </c>
      <c r="F46" t="s">
        <v>376</v>
      </c>
      <c r="G46" t="s">
        <v>1625</v>
      </c>
      <c r="H46" t="s">
        <v>1626</v>
      </c>
      <c r="I46">
        <v>207</v>
      </c>
      <c r="K46">
        <v>207</v>
      </c>
      <c r="L46" s="571">
        <v>77</v>
      </c>
      <c r="M46">
        <v>37.200000000000003</v>
      </c>
      <c r="N46">
        <v>100100</v>
      </c>
      <c r="O46">
        <v>1771</v>
      </c>
      <c r="Q46">
        <v>0</v>
      </c>
      <c r="R46">
        <v>0</v>
      </c>
      <c r="S46">
        <v>0</v>
      </c>
      <c r="T46">
        <v>0</v>
      </c>
      <c r="V46">
        <v>80</v>
      </c>
      <c r="W46">
        <v>102000</v>
      </c>
    </row>
    <row r="47" spans="1:23">
      <c r="A47">
        <v>101300</v>
      </c>
      <c r="B47">
        <v>3022056</v>
      </c>
      <c r="C47">
        <v>302</v>
      </c>
      <c r="D47" t="s">
        <v>1645</v>
      </c>
      <c r="E47">
        <v>2056</v>
      </c>
      <c r="F47" t="s">
        <v>113</v>
      </c>
      <c r="G47" t="s">
        <v>1625</v>
      </c>
      <c r="H47" t="s">
        <v>1619</v>
      </c>
      <c r="I47">
        <v>273</v>
      </c>
      <c r="K47">
        <v>273</v>
      </c>
      <c r="L47" s="571">
        <v>142</v>
      </c>
      <c r="M47">
        <v>52</v>
      </c>
      <c r="N47">
        <v>184600</v>
      </c>
      <c r="O47">
        <v>3266</v>
      </c>
      <c r="Q47">
        <v>0</v>
      </c>
      <c r="R47">
        <v>0</v>
      </c>
      <c r="S47">
        <v>0</v>
      </c>
      <c r="T47">
        <v>0</v>
      </c>
      <c r="V47">
        <v>140</v>
      </c>
      <c r="W47">
        <v>188000</v>
      </c>
    </row>
    <row r="48" spans="1:23">
      <c r="A48">
        <v>101301</v>
      </c>
      <c r="B48">
        <v>3022057</v>
      </c>
      <c r="C48">
        <v>302</v>
      </c>
      <c r="D48" t="s">
        <v>1645</v>
      </c>
      <c r="E48">
        <v>2057</v>
      </c>
      <c r="F48" t="s">
        <v>112</v>
      </c>
      <c r="G48" t="s">
        <v>1625</v>
      </c>
      <c r="H48" t="s">
        <v>1619</v>
      </c>
      <c r="I48">
        <v>193</v>
      </c>
      <c r="K48">
        <v>193</v>
      </c>
      <c r="L48" s="571">
        <v>74</v>
      </c>
      <c r="M48">
        <v>38.299999999999997</v>
      </c>
      <c r="N48">
        <v>96200</v>
      </c>
      <c r="O48">
        <v>1702</v>
      </c>
      <c r="Q48">
        <v>0</v>
      </c>
      <c r="R48">
        <v>0</v>
      </c>
      <c r="S48">
        <v>0</v>
      </c>
      <c r="T48">
        <v>0</v>
      </c>
      <c r="V48">
        <v>70</v>
      </c>
      <c r="W48">
        <v>98000</v>
      </c>
    </row>
    <row r="49" spans="1:23">
      <c r="A49">
        <v>101304</v>
      </c>
      <c r="B49">
        <v>3022060</v>
      </c>
      <c r="C49">
        <v>302</v>
      </c>
      <c r="D49" t="s">
        <v>1645</v>
      </c>
      <c r="E49">
        <v>2060</v>
      </c>
      <c r="F49" t="s">
        <v>378</v>
      </c>
      <c r="G49" t="s">
        <v>1625</v>
      </c>
      <c r="H49" t="s">
        <v>1619</v>
      </c>
      <c r="I49">
        <v>416</v>
      </c>
      <c r="K49">
        <v>416</v>
      </c>
      <c r="L49" s="571">
        <v>189</v>
      </c>
      <c r="M49">
        <v>45.4</v>
      </c>
      <c r="N49">
        <v>245700</v>
      </c>
      <c r="O49">
        <v>4347</v>
      </c>
      <c r="Q49">
        <v>0</v>
      </c>
      <c r="R49">
        <v>0</v>
      </c>
      <c r="S49">
        <v>0</v>
      </c>
      <c r="T49">
        <v>0</v>
      </c>
      <c r="V49">
        <v>190</v>
      </c>
      <c r="W49">
        <v>250000</v>
      </c>
    </row>
    <row r="50" spans="1:23">
      <c r="A50">
        <v>101309</v>
      </c>
      <c r="B50">
        <v>3022067</v>
      </c>
      <c r="C50">
        <v>302</v>
      </c>
      <c r="D50" t="s">
        <v>1645</v>
      </c>
      <c r="E50">
        <v>2067</v>
      </c>
      <c r="F50" t="s">
        <v>335</v>
      </c>
      <c r="G50" t="s">
        <v>1625</v>
      </c>
      <c r="H50" t="s">
        <v>1626</v>
      </c>
      <c r="I50">
        <v>209</v>
      </c>
      <c r="K50">
        <v>209</v>
      </c>
      <c r="L50" s="571">
        <v>64</v>
      </c>
      <c r="M50">
        <v>30.6</v>
      </c>
      <c r="N50">
        <v>83200</v>
      </c>
      <c r="O50">
        <v>1472</v>
      </c>
      <c r="Q50">
        <v>0</v>
      </c>
      <c r="R50">
        <v>0</v>
      </c>
      <c r="S50">
        <v>0</v>
      </c>
      <c r="T50">
        <v>0</v>
      </c>
      <c r="V50">
        <v>60</v>
      </c>
      <c r="W50">
        <v>85000</v>
      </c>
    </row>
    <row r="51" spans="1:23">
      <c r="A51">
        <v>101311</v>
      </c>
      <c r="B51">
        <v>3022070</v>
      </c>
      <c r="C51">
        <v>302</v>
      </c>
      <c r="D51" t="s">
        <v>1645</v>
      </c>
      <c r="E51">
        <v>2070</v>
      </c>
      <c r="F51" t="s">
        <v>370</v>
      </c>
      <c r="G51" t="s">
        <v>1625</v>
      </c>
      <c r="H51" t="s">
        <v>1621</v>
      </c>
      <c r="I51">
        <v>209</v>
      </c>
      <c r="K51">
        <v>209</v>
      </c>
      <c r="L51" s="571">
        <v>81</v>
      </c>
      <c r="M51">
        <v>38.799999999999997</v>
      </c>
      <c r="N51">
        <v>105300</v>
      </c>
      <c r="O51">
        <v>1863</v>
      </c>
      <c r="Q51">
        <v>0</v>
      </c>
      <c r="R51">
        <v>0</v>
      </c>
      <c r="S51">
        <v>0</v>
      </c>
      <c r="T51">
        <v>0</v>
      </c>
      <c r="V51">
        <v>80</v>
      </c>
      <c r="W51">
        <v>107000</v>
      </c>
    </row>
    <row r="52" spans="1:23">
      <c r="A52">
        <v>101312</v>
      </c>
      <c r="B52">
        <v>3022071</v>
      </c>
      <c r="C52">
        <v>302</v>
      </c>
      <c r="D52" t="s">
        <v>1645</v>
      </c>
      <c r="E52">
        <v>2071</v>
      </c>
      <c r="F52" t="s">
        <v>1629</v>
      </c>
      <c r="G52" t="s">
        <v>1625</v>
      </c>
      <c r="H52" t="s">
        <v>1619</v>
      </c>
      <c r="I52">
        <v>292</v>
      </c>
      <c r="K52">
        <v>292</v>
      </c>
      <c r="L52" s="571">
        <v>99</v>
      </c>
      <c r="M52">
        <v>33.9</v>
      </c>
      <c r="N52">
        <v>128700</v>
      </c>
      <c r="O52">
        <v>2277</v>
      </c>
      <c r="Q52">
        <v>0</v>
      </c>
      <c r="R52">
        <v>0</v>
      </c>
      <c r="S52">
        <v>0</v>
      </c>
      <c r="T52">
        <v>0</v>
      </c>
      <c r="V52">
        <v>100</v>
      </c>
      <c r="W52">
        <v>131000</v>
      </c>
    </row>
    <row r="53" spans="1:23">
      <c r="A53">
        <v>101313</v>
      </c>
      <c r="B53">
        <v>3022072</v>
      </c>
      <c r="C53">
        <v>302</v>
      </c>
      <c r="D53" t="s">
        <v>1645</v>
      </c>
      <c r="E53">
        <v>2072</v>
      </c>
      <c r="F53" t="s">
        <v>91</v>
      </c>
      <c r="G53" t="s">
        <v>1625</v>
      </c>
      <c r="H53" t="s">
        <v>1619</v>
      </c>
      <c r="I53">
        <v>325</v>
      </c>
      <c r="K53">
        <v>325</v>
      </c>
      <c r="L53" s="571">
        <v>157</v>
      </c>
      <c r="M53">
        <v>48.3</v>
      </c>
      <c r="N53">
        <v>204100</v>
      </c>
      <c r="O53">
        <v>3611</v>
      </c>
      <c r="Q53">
        <v>0</v>
      </c>
      <c r="R53">
        <v>0</v>
      </c>
      <c r="S53">
        <v>0</v>
      </c>
      <c r="T53">
        <v>0</v>
      </c>
      <c r="V53">
        <v>160</v>
      </c>
      <c r="W53">
        <v>208000</v>
      </c>
    </row>
    <row r="54" spans="1:23">
      <c r="A54">
        <v>101314</v>
      </c>
      <c r="B54">
        <v>3022073</v>
      </c>
      <c r="C54">
        <v>302</v>
      </c>
      <c r="D54" t="s">
        <v>1645</v>
      </c>
      <c r="E54">
        <v>2073</v>
      </c>
      <c r="F54" t="s">
        <v>341</v>
      </c>
      <c r="G54" t="s">
        <v>1625</v>
      </c>
      <c r="H54" t="s">
        <v>1619</v>
      </c>
      <c r="I54">
        <v>657</v>
      </c>
      <c r="K54">
        <v>657</v>
      </c>
      <c r="L54" s="571">
        <v>169</v>
      </c>
      <c r="M54">
        <v>25.7</v>
      </c>
      <c r="N54">
        <v>219700</v>
      </c>
      <c r="O54">
        <v>3887</v>
      </c>
      <c r="Q54">
        <v>0</v>
      </c>
      <c r="R54">
        <v>0</v>
      </c>
      <c r="S54">
        <v>0</v>
      </c>
      <c r="T54">
        <v>0</v>
      </c>
      <c r="V54">
        <v>170</v>
      </c>
      <c r="W54">
        <v>224000</v>
      </c>
    </row>
    <row r="55" spans="1:23">
      <c r="A55">
        <v>131617</v>
      </c>
      <c r="B55">
        <v>3022076</v>
      </c>
      <c r="C55">
        <v>302</v>
      </c>
      <c r="D55" t="s">
        <v>1645</v>
      </c>
      <c r="E55">
        <v>2076</v>
      </c>
      <c r="F55" t="s">
        <v>377</v>
      </c>
      <c r="G55" t="s">
        <v>1625</v>
      </c>
      <c r="H55" t="s">
        <v>1626</v>
      </c>
      <c r="I55">
        <v>436</v>
      </c>
      <c r="K55">
        <v>436</v>
      </c>
      <c r="L55" s="571">
        <v>190</v>
      </c>
      <c r="M55">
        <v>43.6</v>
      </c>
      <c r="N55">
        <v>247000</v>
      </c>
      <c r="O55">
        <v>4370</v>
      </c>
      <c r="Q55">
        <v>0</v>
      </c>
      <c r="R55">
        <v>0</v>
      </c>
      <c r="S55">
        <v>0</v>
      </c>
      <c r="T55">
        <v>0</v>
      </c>
      <c r="V55">
        <v>190</v>
      </c>
      <c r="W55">
        <v>251000</v>
      </c>
    </row>
    <row r="56" spans="1:23">
      <c r="A56">
        <v>131970</v>
      </c>
      <c r="B56">
        <v>3022077</v>
      </c>
      <c r="C56">
        <v>302</v>
      </c>
      <c r="D56" t="s">
        <v>1645</v>
      </c>
      <c r="E56">
        <v>2077</v>
      </c>
      <c r="F56" t="s">
        <v>374</v>
      </c>
      <c r="G56" t="s">
        <v>1625</v>
      </c>
      <c r="H56" t="s">
        <v>1621</v>
      </c>
      <c r="I56">
        <v>508</v>
      </c>
      <c r="K56">
        <v>508</v>
      </c>
      <c r="L56" s="571">
        <v>308</v>
      </c>
      <c r="M56">
        <v>60.6</v>
      </c>
      <c r="N56">
        <v>400400</v>
      </c>
      <c r="O56">
        <v>7084</v>
      </c>
      <c r="Q56">
        <v>0</v>
      </c>
      <c r="R56">
        <v>0</v>
      </c>
      <c r="S56">
        <v>0</v>
      </c>
      <c r="T56">
        <v>0</v>
      </c>
      <c r="V56">
        <v>310</v>
      </c>
      <c r="W56">
        <v>407000</v>
      </c>
    </row>
    <row r="57" spans="1:23">
      <c r="A57">
        <v>133364</v>
      </c>
      <c r="B57">
        <v>3022078</v>
      </c>
      <c r="C57">
        <v>302</v>
      </c>
      <c r="D57" t="s">
        <v>1645</v>
      </c>
      <c r="E57">
        <v>2078</v>
      </c>
      <c r="F57" t="s">
        <v>356</v>
      </c>
      <c r="G57" t="s">
        <v>1625</v>
      </c>
      <c r="H57" t="s">
        <v>1626</v>
      </c>
      <c r="I57">
        <v>215</v>
      </c>
      <c r="K57">
        <v>215</v>
      </c>
      <c r="L57" s="571">
        <v>25</v>
      </c>
      <c r="M57">
        <v>11.6</v>
      </c>
      <c r="N57">
        <v>32500</v>
      </c>
      <c r="O57">
        <v>575</v>
      </c>
      <c r="Q57">
        <v>0</v>
      </c>
      <c r="R57">
        <v>0</v>
      </c>
      <c r="S57">
        <v>0</v>
      </c>
      <c r="T57">
        <v>0</v>
      </c>
      <c r="V57">
        <v>30</v>
      </c>
      <c r="W57">
        <v>33000</v>
      </c>
    </row>
    <row r="58" spans="1:23">
      <c r="A58">
        <v>133365</v>
      </c>
      <c r="B58">
        <v>3022079</v>
      </c>
      <c r="C58">
        <v>302</v>
      </c>
      <c r="D58" t="s">
        <v>1645</v>
      </c>
      <c r="E58">
        <v>2079</v>
      </c>
      <c r="F58" t="s">
        <v>331</v>
      </c>
      <c r="G58" t="s">
        <v>1625</v>
      </c>
      <c r="H58" t="s">
        <v>1630</v>
      </c>
      <c r="I58">
        <v>452</v>
      </c>
      <c r="K58">
        <v>452</v>
      </c>
      <c r="L58" s="571">
        <v>30</v>
      </c>
      <c r="M58">
        <v>6.6</v>
      </c>
      <c r="N58">
        <v>39000</v>
      </c>
      <c r="O58">
        <v>690</v>
      </c>
      <c r="Q58">
        <v>0</v>
      </c>
      <c r="R58">
        <v>0</v>
      </c>
      <c r="S58">
        <v>0</v>
      </c>
      <c r="T58">
        <v>0</v>
      </c>
      <c r="V58">
        <v>30</v>
      </c>
      <c r="W58">
        <v>40000</v>
      </c>
    </row>
    <row r="59" spans="1:23">
      <c r="A59">
        <v>101315</v>
      </c>
      <c r="B59">
        <v>3023300</v>
      </c>
      <c r="C59">
        <v>302</v>
      </c>
      <c r="D59" t="s">
        <v>1645</v>
      </c>
      <c r="E59">
        <v>3300</v>
      </c>
      <c r="F59" t="s">
        <v>1631</v>
      </c>
      <c r="G59" t="s">
        <v>1625</v>
      </c>
      <c r="H59" t="s">
        <v>1626</v>
      </c>
      <c r="I59">
        <v>206</v>
      </c>
      <c r="K59">
        <v>206</v>
      </c>
      <c r="L59" s="571">
        <v>89</v>
      </c>
      <c r="M59">
        <v>43.2</v>
      </c>
      <c r="N59">
        <v>115700</v>
      </c>
      <c r="O59">
        <v>2047</v>
      </c>
      <c r="Q59">
        <v>0</v>
      </c>
      <c r="R59">
        <v>0</v>
      </c>
      <c r="S59">
        <v>0</v>
      </c>
      <c r="T59">
        <v>0</v>
      </c>
      <c r="V59">
        <v>90</v>
      </c>
      <c r="W59">
        <v>118000</v>
      </c>
    </row>
    <row r="60" spans="1:23">
      <c r="A60">
        <v>101316</v>
      </c>
      <c r="B60">
        <v>3023302</v>
      </c>
      <c r="C60">
        <v>302</v>
      </c>
      <c r="D60" t="s">
        <v>1645</v>
      </c>
      <c r="E60">
        <v>3302</v>
      </c>
      <c r="F60" t="s">
        <v>336</v>
      </c>
      <c r="G60" t="s">
        <v>1625</v>
      </c>
      <c r="H60" t="s">
        <v>1619</v>
      </c>
      <c r="I60">
        <v>209</v>
      </c>
      <c r="K60">
        <v>209</v>
      </c>
      <c r="L60" s="571">
        <v>18</v>
      </c>
      <c r="M60">
        <v>8.6</v>
      </c>
      <c r="N60">
        <v>23400</v>
      </c>
      <c r="O60">
        <v>414</v>
      </c>
      <c r="Q60">
        <v>0</v>
      </c>
      <c r="R60">
        <v>0</v>
      </c>
      <c r="S60">
        <v>0</v>
      </c>
      <c r="T60">
        <v>0</v>
      </c>
      <c r="V60">
        <v>20</v>
      </c>
      <c r="W60">
        <v>24000</v>
      </c>
    </row>
    <row r="61" spans="1:23">
      <c r="A61">
        <v>101317</v>
      </c>
      <c r="B61">
        <v>3023304</v>
      </c>
      <c r="C61">
        <v>302</v>
      </c>
      <c r="D61" t="s">
        <v>1645</v>
      </c>
      <c r="E61">
        <v>3304</v>
      </c>
      <c r="F61" t="s">
        <v>347</v>
      </c>
      <c r="G61" t="s">
        <v>1625</v>
      </c>
      <c r="H61" t="s">
        <v>1626</v>
      </c>
      <c r="I61">
        <v>221</v>
      </c>
      <c r="K61">
        <v>221</v>
      </c>
      <c r="L61" s="571">
        <v>59</v>
      </c>
      <c r="M61">
        <v>26.7</v>
      </c>
      <c r="N61">
        <v>76700</v>
      </c>
      <c r="O61">
        <v>1357</v>
      </c>
      <c r="Q61">
        <v>0</v>
      </c>
      <c r="R61">
        <v>0</v>
      </c>
      <c r="S61">
        <v>0</v>
      </c>
      <c r="T61">
        <v>0</v>
      </c>
      <c r="V61">
        <v>60</v>
      </c>
      <c r="W61">
        <v>78000</v>
      </c>
    </row>
    <row r="62" spans="1:23">
      <c r="A62">
        <v>101318</v>
      </c>
      <c r="B62">
        <v>3023305</v>
      </c>
      <c r="C62">
        <v>302</v>
      </c>
      <c r="D62" t="s">
        <v>1645</v>
      </c>
      <c r="E62">
        <v>3305</v>
      </c>
      <c r="F62" t="s">
        <v>352</v>
      </c>
      <c r="G62" t="s">
        <v>1625</v>
      </c>
      <c r="H62" t="s">
        <v>1619</v>
      </c>
      <c r="I62">
        <v>146</v>
      </c>
      <c r="K62">
        <v>146</v>
      </c>
      <c r="L62" s="571">
        <v>7</v>
      </c>
      <c r="M62">
        <v>4.8</v>
      </c>
      <c r="N62">
        <v>9100</v>
      </c>
      <c r="O62">
        <v>161</v>
      </c>
      <c r="Q62">
        <v>0</v>
      </c>
      <c r="R62">
        <v>0</v>
      </c>
      <c r="S62">
        <v>0</v>
      </c>
      <c r="T62">
        <v>0</v>
      </c>
      <c r="V62">
        <v>10</v>
      </c>
      <c r="W62">
        <v>9000</v>
      </c>
    </row>
    <row r="63" spans="1:23">
      <c r="A63">
        <v>101319</v>
      </c>
      <c r="B63">
        <v>3023307</v>
      </c>
      <c r="C63">
        <v>302</v>
      </c>
      <c r="D63" t="s">
        <v>1645</v>
      </c>
      <c r="E63">
        <v>3307</v>
      </c>
      <c r="F63" t="s">
        <v>1632</v>
      </c>
      <c r="G63" t="s">
        <v>1625</v>
      </c>
      <c r="H63" t="s">
        <v>1619</v>
      </c>
      <c r="I63">
        <v>210</v>
      </c>
      <c r="K63">
        <v>210</v>
      </c>
      <c r="L63" s="571">
        <v>32</v>
      </c>
      <c r="M63">
        <v>15.2</v>
      </c>
      <c r="N63">
        <v>41600</v>
      </c>
      <c r="O63">
        <v>736</v>
      </c>
      <c r="Q63">
        <v>0</v>
      </c>
      <c r="R63">
        <v>0</v>
      </c>
      <c r="S63">
        <v>0</v>
      </c>
      <c r="T63">
        <v>0</v>
      </c>
      <c r="V63">
        <v>30</v>
      </c>
      <c r="W63">
        <v>42000</v>
      </c>
    </row>
    <row r="64" spans="1:23">
      <c r="A64">
        <v>101321</v>
      </c>
      <c r="B64">
        <v>3023309</v>
      </c>
      <c r="C64">
        <v>302</v>
      </c>
      <c r="D64" t="s">
        <v>1645</v>
      </c>
      <c r="E64">
        <v>3309</v>
      </c>
      <c r="F64" t="s">
        <v>1633</v>
      </c>
      <c r="G64" t="s">
        <v>1625</v>
      </c>
      <c r="H64" t="s">
        <v>1619</v>
      </c>
      <c r="I64">
        <v>208</v>
      </c>
      <c r="K64">
        <v>208</v>
      </c>
      <c r="L64" s="571">
        <v>38</v>
      </c>
      <c r="M64">
        <v>18.3</v>
      </c>
      <c r="N64">
        <v>49400</v>
      </c>
      <c r="O64">
        <v>874</v>
      </c>
      <c r="Q64">
        <v>0</v>
      </c>
      <c r="R64">
        <v>0</v>
      </c>
      <c r="S64">
        <v>0</v>
      </c>
      <c r="T64">
        <v>0</v>
      </c>
      <c r="V64">
        <v>40</v>
      </c>
      <c r="W64">
        <v>50000</v>
      </c>
    </row>
    <row r="65" spans="1:23">
      <c r="A65">
        <v>101323</v>
      </c>
      <c r="B65">
        <v>3023311</v>
      </c>
      <c r="C65">
        <v>302</v>
      </c>
      <c r="D65" t="s">
        <v>1645</v>
      </c>
      <c r="E65">
        <v>3311</v>
      </c>
      <c r="F65" t="s">
        <v>1634</v>
      </c>
      <c r="G65" t="s">
        <v>1625</v>
      </c>
      <c r="H65" t="s">
        <v>1626</v>
      </c>
      <c r="I65">
        <v>420</v>
      </c>
      <c r="K65">
        <v>420</v>
      </c>
      <c r="L65" s="571">
        <v>30</v>
      </c>
      <c r="M65">
        <v>7.1</v>
      </c>
      <c r="N65">
        <v>39000</v>
      </c>
      <c r="O65">
        <v>690</v>
      </c>
      <c r="Q65">
        <v>0</v>
      </c>
      <c r="R65">
        <v>0</v>
      </c>
      <c r="S65">
        <v>0</v>
      </c>
      <c r="T65">
        <v>0</v>
      </c>
      <c r="V65">
        <v>30</v>
      </c>
      <c r="W65">
        <v>40000</v>
      </c>
    </row>
    <row r="66" spans="1:23">
      <c r="A66">
        <v>101324</v>
      </c>
      <c r="B66">
        <v>3023312</v>
      </c>
      <c r="C66">
        <v>302</v>
      </c>
      <c r="D66" t="s">
        <v>1645</v>
      </c>
      <c r="E66">
        <v>3312</v>
      </c>
      <c r="F66" t="s">
        <v>365</v>
      </c>
      <c r="G66" t="s">
        <v>1625</v>
      </c>
      <c r="H66" t="s">
        <v>1619</v>
      </c>
      <c r="I66">
        <v>214</v>
      </c>
      <c r="K66">
        <v>214</v>
      </c>
      <c r="L66" s="571">
        <v>27</v>
      </c>
      <c r="M66">
        <v>12.6</v>
      </c>
      <c r="N66">
        <v>35100</v>
      </c>
      <c r="O66">
        <v>621</v>
      </c>
      <c r="Q66">
        <v>0</v>
      </c>
      <c r="R66">
        <v>0</v>
      </c>
      <c r="S66">
        <v>0</v>
      </c>
      <c r="T66">
        <v>0</v>
      </c>
      <c r="V66">
        <v>30</v>
      </c>
      <c r="W66">
        <v>36000</v>
      </c>
    </row>
    <row r="67" spans="1:23">
      <c r="A67">
        <v>101325</v>
      </c>
      <c r="B67">
        <v>3023313</v>
      </c>
      <c r="C67">
        <v>302</v>
      </c>
      <c r="D67" t="s">
        <v>1645</v>
      </c>
      <c r="E67">
        <v>3313</v>
      </c>
      <c r="F67" t="s">
        <v>366</v>
      </c>
      <c r="G67" t="s">
        <v>1625</v>
      </c>
      <c r="H67" t="s">
        <v>1619</v>
      </c>
      <c r="I67">
        <v>205</v>
      </c>
      <c r="K67">
        <v>205</v>
      </c>
      <c r="L67" s="571">
        <v>55</v>
      </c>
      <c r="M67">
        <v>26.8</v>
      </c>
      <c r="N67">
        <v>71500</v>
      </c>
      <c r="O67">
        <v>1265</v>
      </c>
      <c r="Q67">
        <v>0</v>
      </c>
      <c r="R67">
        <v>0</v>
      </c>
      <c r="S67">
        <v>0</v>
      </c>
      <c r="T67">
        <v>0</v>
      </c>
      <c r="V67">
        <v>60</v>
      </c>
      <c r="W67">
        <v>73000</v>
      </c>
    </row>
    <row r="68" spans="1:23">
      <c r="A68">
        <v>101326</v>
      </c>
      <c r="B68">
        <v>3023314</v>
      </c>
      <c r="C68">
        <v>302</v>
      </c>
      <c r="D68" t="s">
        <v>1645</v>
      </c>
      <c r="E68">
        <v>3314</v>
      </c>
      <c r="F68" t="s">
        <v>609</v>
      </c>
      <c r="G68" t="s">
        <v>1625</v>
      </c>
      <c r="H68" t="s">
        <v>1621</v>
      </c>
      <c r="I68">
        <v>209</v>
      </c>
      <c r="K68">
        <v>209</v>
      </c>
      <c r="L68" s="571">
        <v>13</v>
      </c>
      <c r="M68">
        <v>6.2</v>
      </c>
      <c r="N68">
        <v>16900</v>
      </c>
      <c r="O68">
        <v>299</v>
      </c>
      <c r="Q68">
        <v>0</v>
      </c>
      <c r="R68">
        <v>0</v>
      </c>
      <c r="S68">
        <v>0</v>
      </c>
      <c r="T68">
        <v>0</v>
      </c>
      <c r="V68">
        <v>10</v>
      </c>
      <c r="W68">
        <v>17000</v>
      </c>
    </row>
    <row r="69" spans="1:23">
      <c r="A69">
        <v>101327</v>
      </c>
      <c r="B69">
        <v>3023315</v>
      </c>
      <c r="C69">
        <v>302</v>
      </c>
      <c r="D69" t="s">
        <v>1645</v>
      </c>
      <c r="E69">
        <v>3315</v>
      </c>
      <c r="F69" t="s">
        <v>1635</v>
      </c>
      <c r="G69" t="s">
        <v>1625</v>
      </c>
      <c r="H69" t="s">
        <v>1619</v>
      </c>
      <c r="I69">
        <v>205</v>
      </c>
      <c r="K69">
        <v>205</v>
      </c>
      <c r="L69" s="571">
        <v>15</v>
      </c>
      <c r="M69">
        <v>7.3</v>
      </c>
      <c r="N69">
        <v>19500</v>
      </c>
      <c r="O69">
        <v>345</v>
      </c>
      <c r="Q69">
        <v>0</v>
      </c>
      <c r="R69">
        <v>0</v>
      </c>
      <c r="S69">
        <v>0</v>
      </c>
      <c r="T69">
        <v>0</v>
      </c>
      <c r="V69">
        <v>20</v>
      </c>
      <c r="W69">
        <v>20000</v>
      </c>
    </row>
    <row r="70" spans="1:23">
      <c r="A70">
        <v>101328</v>
      </c>
      <c r="B70">
        <v>3023316</v>
      </c>
      <c r="C70">
        <v>302</v>
      </c>
      <c r="D70" t="s">
        <v>1645</v>
      </c>
      <c r="E70">
        <v>3316</v>
      </c>
      <c r="F70" t="s">
        <v>375</v>
      </c>
      <c r="G70" t="s">
        <v>1625</v>
      </c>
      <c r="H70" t="s">
        <v>1619</v>
      </c>
      <c r="I70">
        <v>209</v>
      </c>
      <c r="K70">
        <v>209</v>
      </c>
      <c r="L70" s="571">
        <v>17</v>
      </c>
      <c r="M70">
        <v>8.1</v>
      </c>
      <c r="N70">
        <v>22100</v>
      </c>
      <c r="O70">
        <v>391</v>
      </c>
      <c r="Q70">
        <v>0</v>
      </c>
      <c r="R70">
        <v>0</v>
      </c>
      <c r="S70">
        <v>0</v>
      </c>
      <c r="T70">
        <v>0</v>
      </c>
      <c r="V70">
        <v>20</v>
      </c>
      <c r="W70">
        <v>22000</v>
      </c>
    </row>
    <row r="71" spans="1:23">
      <c r="A71">
        <v>101329</v>
      </c>
      <c r="B71">
        <v>3023317</v>
      </c>
      <c r="C71">
        <v>302</v>
      </c>
      <c r="D71" t="s">
        <v>1645</v>
      </c>
      <c r="E71">
        <v>3317</v>
      </c>
      <c r="F71" t="s">
        <v>328</v>
      </c>
      <c r="G71" t="s">
        <v>1625</v>
      </c>
      <c r="H71" t="s">
        <v>1619</v>
      </c>
      <c r="I71">
        <v>238</v>
      </c>
      <c r="K71">
        <v>238</v>
      </c>
      <c r="L71" s="571">
        <v>52</v>
      </c>
      <c r="M71">
        <v>21.8</v>
      </c>
      <c r="N71">
        <v>67600</v>
      </c>
      <c r="O71">
        <v>1196</v>
      </c>
      <c r="Q71">
        <v>0</v>
      </c>
      <c r="R71">
        <v>0</v>
      </c>
      <c r="S71">
        <v>0</v>
      </c>
      <c r="T71">
        <v>0</v>
      </c>
      <c r="V71">
        <v>50</v>
      </c>
      <c r="W71">
        <v>69000</v>
      </c>
    </row>
    <row r="72" spans="1:23">
      <c r="A72">
        <v>101330</v>
      </c>
      <c r="B72">
        <v>3023500</v>
      </c>
      <c r="C72">
        <v>302</v>
      </c>
      <c r="D72" t="s">
        <v>1645</v>
      </c>
      <c r="E72">
        <v>3500</v>
      </c>
      <c r="F72" t="s">
        <v>371</v>
      </c>
      <c r="G72" t="s">
        <v>1625</v>
      </c>
      <c r="H72" t="s">
        <v>1621</v>
      </c>
      <c r="I72">
        <v>176</v>
      </c>
      <c r="K72">
        <v>176</v>
      </c>
      <c r="L72" s="571">
        <v>21</v>
      </c>
      <c r="M72">
        <v>11.9</v>
      </c>
      <c r="N72">
        <v>27300</v>
      </c>
      <c r="O72">
        <v>483</v>
      </c>
      <c r="Q72">
        <v>0</v>
      </c>
      <c r="R72">
        <v>0</v>
      </c>
      <c r="S72">
        <v>0</v>
      </c>
      <c r="T72">
        <v>0</v>
      </c>
      <c r="V72">
        <v>20</v>
      </c>
      <c r="W72">
        <v>28000</v>
      </c>
    </row>
    <row r="73" spans="1:23">
      <c r="A73">
        <v>101331</v>
      </c>
      <c r="B73">
        <v>3023501</v>
      </c>
      <c r="C73">
        <v>302</v>
      </c>
      <c r="D73" t="s">
        <v>1645</v>
      </c>
      <c r="E73">
        <v>3501</v>
      </c>
      <c r="F73" t="s">
        <v>87</v>
      </c>
      <c r="G73" t="s">
        <v>1625</v>
      </c>
      <c r="H73" t="s">
        <v>1626</v>
      </c>
      <c r="I73">
        <v>211</v>
      </c>
      <c r="K73">
        <v>211</v>
      </c>
      <c r="L73" s="571">
        <v>46</v>
      </c>
      <c r="M73">
        <v>21.8</v>
      </c>
      <c r="N73">
        <v>59800</v>
      </c>
      <c r="O73">
        <v>1058</v>
      </c>
      <c r="Q73">
        <v>0</v>
      </c>
      <c r="R73">
        <v>0</v>
      </c>
      <c r="S73">
        <v>0</v>
      </c>
      <c r="T73">
        <v>0</v>
      </c>
      <c r="V73">
        <v>50</v>
      </c>
      <c r="W73">
        <v>61000</v>
      </c>
    </row>
    <row r="74" spans="1:23">
      <c r="A74">
        <v>101332</v>
      </c>
      <c r="B74">
        <v>3023502</v>
      </c>
      <c r="C74">
        <v>302</v>
      </c>
      <c r="D74" t="s">
        <v>1645</v>
      </c>
      <c r="E74">
        <v>3502</v>
      </c>
      <c r="F74" t="s">
        <v>360</v>
      </c>
      <c r="G74" t="s">
        <v>1625</v>
      </c>
      <c r="H74" t="s">
        <v>1626</v>
      </c>
      <c r="I74">
        <v>306</v>
      </c>
      <c r="K74">
        <v>306</v>
      </c>
      <c r="L74" s="571">
        <v>58</v>
      </c>
      <c r="M74">
        <v>19</v>
      </c>
      <c r="N74">
        <v>75400</v>
      </c>
      <c r="O74">
        <v>1334</v>
      </c>
      <c r="Q74">
        <v>0</v>
      </c>
      <c r="R74">
        <v>0</v>
      </c>
      <c r="S74">
        <v>0</v>
      </c>
      <c r="T74">
        <v>0</v>
      </c>
      <c r="V74">
        <v>60</v>
      </c>
      <c r="W74">
        <v>77000</v>
      </c>
    </row>
    <row r="75" spans="1:23">
      <c r="A75">
        <v>101333</v>
      </c>
      <c r="B75">
        <v>3023504</v>
      </c>
      <c r="C75">
        <v>302</v>
      </c>
      <c r="D75" t="s">
        <v>1645</v>
      </c>
      <c r="E75">
        <v>3504</v>
      </c>
      <c r="F75" t="s">
        <v>361</v>
      </c>
      <c r="G75" t="s">
        <v>1625</v>
      </c>
      <c r="H75" t="s">
        <v>1619</v>
      </c>
      <c r="I75">
        <v>424</v>
      </c>
      <c r="K75">
        <v>424</v>
      </c>
      <c r="L75" s="571">
        <v>63</v>
      </c>
      <c r="M75">
        <v>14.9</v>
      </c>
      <c r="N75">
        <v>81900</v>
      </c>
      <c r="O75">
        <v>1449</v>
      </c>
      <c r="Q75">
        <v>0</v>
      </c>
      <c r="R75">
        <v>0</v>
      </c>
      <c r="S75">
        <v>0</v>
      </c>
      <c r="T75">
        <v>0</v>
      </c>
      <c r="V75">
        <v>60</v>
      </c>
      <c r="W75">
        <v>83000</v>
      </c>
    </row>
    <row r="76" spans="1:23">
      <c r="A76">
        <v>101334</v>
      </c>
      <c r="B76">
        <v>3023506</v>
      </c>
      <c r="C76">
        <v>302</v>
      </c>
      <c r="D76" t="s">
        <v>1645</v>
      </c>
      <c r="E76">
        <v>3506</v>
      </c>
      <c r="F76" t="s">
        <v>1523</v>
      </c>
      <c r="G76" t="s">
        <v>1625</v>
      </c>
      <c r="H76" t="s">
        <v>1621</v>
      </c>
      <c r="I76">
        <v>322</v>
      </c>
      <c r="K76">
        <v>322</v>
      </c>
      <c r="L76" s="571">
        <v>49</v>
      </c>
      <c r="M76">
        <v>15.2</v>
      </c>
      <c r="N76">
        <v>63700</v>
      </c>
      <c r="O76">
        <v>1127</v>
      </c>
      <c r="Q76">
        <v>0</v>
      </c>
      <c r="R76">
        <v>0</v>
      </c>
      <c r="S76">
        <v>0</v>
      </c>
      <c r="T76">
        <v>0</v>
      </c>
      <c r="V76">
        <v>50</v>
      </c>
      <c r="W76">
        <v>65000</v>
      </c>
    </row>
    <row r="77" spans="1:23">
      <c r="A77">
        <v>101335</v>
      </c>
      <c r="B77">
        <v>3023507</v>
      </c>
      <c r="C77">
        <v>302</v>
      </c>
      <c r="D77" t="s">
        <v>1645</v>
      </c>
      <c r="E77">
        <v>3507</v>
      </c>
      <c r="F77" t="s">
        <v>1636</v>
      </c>
      <c r="G77" t="s">
        <v>1625</v>
      </c>
      <c r="H77" t="s">
        <v>1626</v>
      </c>
      <c r="I77">
        <v>238</v>
      </c>
      <c r="K77">
        <v>238</v>
      </c>
      <c r="L77" s="571">
        <v>32</v>
      </c>
      <c r="M77">
        <v>13.4</v>
      </c>
      <c r="N77">
        <v>41600</v>
      </c>
      <c r="O77">
        <v>736</v>
      </c>
      <c r="Q77">
        <v>0</v>
      </c>
      <c r="R77">
        <v>0</v>
      </c>
      <c r="S77">
        <v>0</v>
      </c>
      <c r="T77">
        <v>0</v>
      </c>
      <c r="V77">
        <v>30</v>
      </c>
      <c r="W77">
        <v>42000</v>
      </c>
    </row>
    <row r="78" spans="1:23">
      <c r="A78">
        <v>101336</v>
      </c>
      <c r="B78">
        <v>3023508</v>
      </c>
      <c r="C78">
        <v>302</v>
      </c>
      <c r="D78" t="s">
        <v>1645</v>
      </c>
      <c r="E78">
        <v>3508</v>
      </c>
      <c r="F78" t="s">
        <v>362</v>
      </c>
      <c r="G78" t="s">
        <v>1625</v>
      </c>
      <c r="H78" t="s">
        <v>1621</v>
      </c>
      <c r="I78">
        <v>181</v>
      </c>
      <c r="K78">
        <v>181</v>
      </c>
      <c r="L78" s="571">
        <v>17</v>
      </c>
      <c r="M78">
        <v>9.4</v>
      </c>
      <c r="N78">
        <v>22100</v>
      </c>
      <c r="O78">
        <v>391</v>
      </c>
      <c r="Q78">
        <v>0</v>
      </c>
      <c r="R78">
        <v>0</v>
      </c>
      <c r="S78">
        <v>0</v>
      </c>
      <c r="T78">
        <v>0</v>
      </c>
      <c r="V78">
        <v>20</v>
      </c>
      <c r="W78">
        <v>22000</v>
      </c>
    </row>
    <row r="79" spans="1:23">
      <c r="A79">
        <v>101337</v>
      </c>
      <c r="B79">
        <v>3023509</v>
      </c>
      <c r="C79">
        <v>302</v>
      </c>
      <c r="D79" t="s">
        <v>1645</v>
      </c>
      <c r="E79">
        <v>3509</v>
      </c>
      <c r="F79" t="s">
        <v>363</v>
      </c>
      <c r="G79" t="s">
        <v>1625</v>
      </c>
      <c r="H79" t="s">
        <v>1621</v>
      </c>
      <c r="I79">
        <v>253</v>
      </c>
      <c r="K79">
        <v>253</v>
      </c>
      <c r="L79" s="571">
        <v>47</v>
      </c>
      <c r="M79">
        <v>18.600000000000001</v>
      </c>
      <c r="N79">
        <v>61100</v>
      </c>
      <c r="O79">
        <v>1081</v>
      </c>
      <c r="Q79">
        <v>0</v>
      </c>
      <c r="R79">
        <v>0</v>
      </c>
      <c r="S79">
        <v>0</v>
      </c>
      <c r="T79">
        <v>0</v>
      </c>
      <c r="V79">
        <v>50</v>
      </c>
      <c r="W79">
        <v>62000</v>
      </c>
    </row>
    <row r="80" spans="1:23">
      <c r="A80">
        <v>101338</v>
      </c>
      <c r="B80">
        <v>3023510</v>
      </c>
      <c r="C80">
        <v>302</v>
      </c>
      <c r="D80" t="s">
        <v>1645</v>
      </c>
      <c r="E80">
        <v>3510</v>
      </c>
      <c r="F80" t="s">
        <v>359</v>
      </c>
      <c r="G80" t="s">
        <v>1625</v>
      </c>
      <c r="H80" t="s">
        <v>1619</v>
      </c>
      <c r="I80">
        <v>420</v>
      </c>
      <c r="K80">
        <v>420</v>
      </c>
      <c r="L80" s="571">
        <v>43</v>
      </c>
      <c r="M80">
        <v>10.199999999999999</v>
      </c>
      <c r="N80">
        <v>55900</v>
      </c>
      <c r="O80">
        <v>989</v>
      </c>
      <c r="Q80">
        <v>0</v>
      </c>
      <c r="R80">
        <v>0</v>
      </c>
      <c r="S80">
        <v>0</v>
      </c>
      <c r="T80">
        <v>0</v>
      </c>
      <c r="V80">
        <v>40</v>
      </c>
      <c r="W80">
        <v>57000</v>
      </c>
    </row>
    <row r="81" spans="1:23">
      <c r="A81">
        <v>101339</v>
      </c>
      <c r="B81">
        <v>3023511</v>
      </c>
      <c r="C81">
        <v>302</v>
      </c>
      <c r="D81" t="s">
        <v>1645</v>
      </c>
      <c r="E81">
        <v>3511</v>
      </c>
      <c r="F81" t="s">
        <v>40</v>
      </c>
      <c r="G81" t="s">
        <v>1625</v>
      </c>
      <c r="H81" t="s">
        <v>1621</v>
      </c>
      <c r="I81">
        <v>295</v>
      </c>
      <c r="K81">
        <v>295</v>
      </c>
      <c r="L81" s="571">
        <v>88</v>
      </c>
      <c r="M81">
        <v>29.8</v>
      </c>
      <c r="N81">
        <v>114400</v>
      </c>
      <c r="O81">
        <v>2024</v>
      </c>
      <c r="Q81">
        <v>0</v>
      </c>
      <c r="R81">
        <v>0</v>
      </c>
      <c r="S81">
        <v>0</v>
      </c>
      <c r="T81">
        <v>0</v>
      </c>
      <c r="V81">
        <v>90</v>
      </c>
      <c r="W81">
        <v>116000</v>
      </c>
    </row>
    <row r="82" spans="1:23">
      <c r="A82">
        <v>101340</v>
      </c>
      <c r="B82">
        <v>3023512</v>
      </c>
      <c r="C82">
        <v>302</v>
      </c>
      <c r="D82" t="s">
        <v>1645</v>
      </c>
      <c r="E82">
        <v>3512</v>
      </c>
      <c r="F82" t="s">
        <v>358</v>
      </c>
      <c r="G82" t="s">
        <v>1625</v>
      </c>
      <c r="H82" t="s">
        <v>1621</v>
      </c>
      <c r="I82">
        <v>424</v>
      </c>
      <c r="K82">
        <v>424</v>
      </c>
      <c r="L82" s="571">
        <v>19</v>
      </c>
      <c r="M82">
        <v>4.5</v>
      </c>
      <c r="N82">
        <v>24700</v>
      </c>
      <c r="O82">
        <v>437</v>
      </c>
      <c r="Q82">
        <v>0</v>
      </c>
      <c r="R82">
        <v>0</v>
      </c>
      <c r="S82">
        <v>0</v>
      </c>
      <c r="T82">
        <v>0</v>
      </c>
      <c r="V82">
        <v>20</v>
      </c>
      <c r="W82">
        <v>25000</v>
      </c>
    </row>
    <row r="83" spans="1:23">
      <c r="A83">
        <v>101341</v>
      </c>
      <c r="B83">
        <v>3023513</v>
      </c>
      <c r="C83">
        <v>302</v>
      </c>
      <c r="D83" t="s">
        <v>1645</v>
      </c>
      <c r="E83">
        <v>3513</v>
      </c>
      <c r="F83" t="s">
        <v>79</v>
      </c>
      <c r="G83" t="s">
        <v>1625</v>
      </c>
      <c r="H83" t="s">
        <v>1626</v>
      </c>
      <c r="I83">
        <v>396</v>
      </c>
      <c r="K83">
        <v>396</v>
      </c>
      <c r="L83" s="571">
        <v>21</v>
      </c>
      <c r="M83">
        <v>5.3</v>
      </c>
      <c r="N83">
        <v>27300</v>
      </c>
      <c r="O83">
        <v>483</v>
      </c>
      <c r="Q83">
        <v>0</v>
      </c>
      <c r="R83">
        <v>0</v>
      </c>
      <c r="S83">
        <v>0</v>
      </c>
      <c r="T83">
        <v>0</v>
      </c>
      <c r="V83">
        <v>20</v>
      </c>
      <c r="W83">
        <v>28000</v>
      </c>
    </row>
    <row r="84" spans="1:23">
      <c r="A84">
        <v>101342</v>
      </c>
      <c r="B84">
        <v>3023514</v>
      </c>
      <c r="C84">
        <v>302</v>
      </c>
      <c r="D84" t="s">
        <v>1645</v>
      </c>
      <c r="E84">
        <v>3514</v>
      </c>
      <c r="F84" t="s">
        <v>372</v>
      </c>
      <c r="G84" t="s">
        <v>1625</v>
      </c>
      <c r="H84" t="s">
        <v>1621</v>
      </c>
      <c r="I84">
        <v>222</v>
      </c>
      <c r="K84">
        <v>222</v>
      </c>
      <c r="L84" s="571">
        <v>52</v>
      </c>
      <c r="M84">
        <v>23.4</v>
      </c>
      <c r="N84">
        <v>67600</v>
      </c>
      <c r="O84">
        <v>1196</v>
      </c>
      <c r="Q84">
        <v>0</v>
      </c>
      <c r="R84">
        <v>0</v>
      </c>
      <c r="S84">
        <v>0</v>
      </c>
      <c r="T84">
        <v>0</v>
      </c>
      <c r="V84">
        <v>50</v>
      </c>
      <c r="W84">
        <v>69000</v>
      </c>
    </row>
    <row r="85" spans="1:23">
      <c r="A85">
        <v>137303</v>
      </c>
      <c r="B85">
        <v>3023515</v>
      </c>
      <c r="C85">
        <v>302</v>
      </c>
      <c r="D85" t="s">
        <v>1645</v>
      </c>
      <c r="E85">
        <v>3515</v>
      </c>
      <c r="F85" t="s">
        <v>1531</v>
      </c>
      <c r="G85" t="s">
        <v>1623</v>
      </c>
      <c r="H85" t="s">
        <v>1621</v>
      </c>
      <c r="I85">
        <v>199</v>
      </c>
      <c r="K85">
        <v>199</v>
      </c>
      <c r="L85" s="571">
        <v>0</v>
      </c>
      <c r="M85">
        <v>0</v>
      </c>
      <c r="N85">
        <v>0</v>
      </c>
      <c r="O85">
        <v>0</v>
      </c>
      <c r="Q85">
        <v>0</v>
      </c>
      <c r="R85">
        <v>0</v>
      </c>
      <c r="S85">
        <v>0</v>
      </c>
      <c r="T85">
        <v>0</v>
      </c>
      <c r="V85">
        <v>0</v>
      </c>
      <c r="W85">
        <v>0</v>
      </c>
    </row>
    <row r="86" spans="1:23">
      <c r="A86">
        <v>130998</v>
      </c>
      <c r="B86">
        <v>3023516</v>
      </c>
      <c r="C86">
        <v>302</v>
      </c>
      <c r="D86" t="s">
        <v>1645</v>
      </c>
      <c r="E86">
        <v>3516</v>
      </c>
      <c r="F86" t="s">
        <v>69</v>
      </c>
      <c r="G86" t="s">
        <v>1625</v>
      </c>
      <c r="H86" t="s">
        <v>1621</v>
      </c>
      <c r="I86">
        <v>210</v>
      </c>
      <c r="K86">
        <v>210</v>
      </c>
      <c r="L86" s="571">
        <v>17</v>
      </c>
      <c r="M86">
        <v>8.1</v>
      </c>
      <c r="N86">
        <v>22100</v>
      </c>
      <c r="O86">
        <v>391</v>
      </c>
      <c r="Q86">
        <v>0</v>
      </c>
      <c r="R86">
        <v>0</v>
      </c>
      <c r="S86">
        <v>0</v>
      </c>
      <c r="T86">
        <v>0</v>
      </c>
      <c r="V86">
        <v>20</v>
      </c>
      <c r="W86">
        <v>22000</v>
      </c>
    </row>
    <row r="87" spans="1:23">
      <c r="A87">
        <v>134677</v>
      </c>
      <c r="B87">
        <v>3023518</v>
      </c>
      <c r="C87">
        <v>302</v>
      </c>
      <c r="D87" t="s">
        <v>1645</v>
      </c>
      <c r="E87">
        <v>3518</v>
      </c>
      <c r="F87" t="s">
        <v>116</v>
      </c>
      <c r="G87" t="s">
        <v>1625</v>
      </c>
      <c r="H87" t="s">
        <v>1621</v>
      </c>
      <c r="I87">
        <v>426</v>
      </c>
      <c r="K87">
        <v>426</v>
      </c>
      <c r="L87" s="571">
        <v>231</v>
      </c>
      <c r="M87">
        <v>54.2</v>
      </c>
      <c r="N87">
        <v>300300</v>
      </c>
      <c r="O87">
        <v>5313</v>
      </c>
      <c r="Q87">
        <v>0</v>
      </c>
      <c r="R87">
        <v>0</v>
      </c>
      <c r="S87">
        <v>0</v>
      </c>
      <c r="T87">
        <v>0</v>
      </c>
      <c r="V87">
        <v>230</v>
      </c>
      <c r="W87">
        <v>306000</v>
      </c>
    </row>
    <row r="88" spans="1:23">
      <c r="A88">
        <v>140236</v>
      </c>
      <c r="B88">
        <v>3023519</v>
      </c>
      <c r="C88">
        <v>302</v>
      </c>
      <c r="D88" t="s">
        <v>1645</v>
      </c>
      <c r="E88">
        <v>3519</v>
      </c>
      <c r="F88" t="s">
        <v>41</v>
      </c>
      <c r="G88" t="s">
        <v>1623</v>
      </c>
      <c r="H88" t="s">
        <v>1621</v>
      </c>
      <c r="I88">
        <v>554</v>
      </c>
      <c r="K88">
        <v>554</v>
      </c>
      <c r="L88" s="571">
        <v>224</v>
      </c>
      <c r="M88">
        <v>40.4</v>
      </c>
      <c r="N88">
        <v>291200</v>
      </c>
      <c r="O88">
        <v>5152</v>
      </c>
      <c r="Q88">
        <v>0</v>
      </c>
      <c r="R88">
        <v>0</v>
      </c>
      <c r="S88">
        <v>0</v>
      </c>
      <c r="T88">
        <v>0</v>
      </c>
      <c r="V88">
        <v>220</v>
      </c>
      <c r="W88">
        <v>296000</v>
      </c>
    </row>
    <row r="89" spans="1:23">
      <c r="A89">
        <v>135086</v>
      </c>
      <c r="B89">
        <v>3023520</v>
      </c>
      <c r="C89">
        <v>302</v>
      </c>
      <c r="D89" t="s">
        <v>1645</v>
      </c>
      <c r="E89">
        <v>3520</v>
      </c>
      <c r="F89" t="s">
        <v>327</v>
      </c>
      <c r="G89" t="s">
        <v>1625</v>
      </c>
      <c r="H89" t="s">
        <v>1626</v>
      </c>
      <c r="I89">
        <v>420</v>
      </c>
      <c r="K89">
        <v>420</v>
      </c>
      <c r="L89" s="571" t="s">
        <v>1624</v>
      </c>
      <c r="M89" t="s">
        <v>1624</v>
      </c>
      <c r="N89" t="s">
        <v>1624</v>
      </c>
      <c r="O89" t="s">
        <v>1624</v>
      </c>
      <c r="Q89">
        <v>0</v>
      </c>
      <c r="R89">
        <v>0</v>
      </c>
      <c r="S89">
        <v>0</v>
      </c>
      <c r="T89">
        <v>0</v>
      </c>
      <c r="V89" t="s">
        <v>1624</v>
      </c>
      <c r="W89" t="s">
        <v>1624</v>
      </c>
    </row>
    <row r="90" spans="1:23">
      <c r="A90">
        <v>103119</v>
      </c>
      <c r="B90">
        <v>3023521</v>
      </c>
      <c r="C90">
        <v>302</v>
      </c>
      <c r="D90" t="s">
        <v>1645</v>
      </c>
      <c r="E90">
        <v>3521</v>
      </c>
      <c r="F90" t="s">
        <v>364</v>
      </c>
      <c r="G90" t="s">
        <v>1625</v>
      </c>
      <c r="H90" t="s">
        <v>1621</v>
      </c>
      <c r="I90">
        <v>476</v>
      </c>
      <c r="K90">
        <v>476</v>
      </c>
      <c r="L90" s="571">
        <v>117</v>
      </c>
      <c r="M90">
        <v>24.6</v>
      </c>
      <c r="N90">
        <v>152100</v>
      </c>
      <c r="O90">
        <v>2691</v>
      </c>
      <c r="Q90">
        <v>0</v>
      </c>
      <c r="R90">
        <v>0</v>
      </c>
      <c r="S90">
        <v>0</v>
      </c>
      <c r="T90">
        <v>0</v>
      </c>
      <c r="V90">
        <v>120</v>
      </c>
      <c r="W90">
        <v>155000</v>
      </c>
    </row>
    <row r="91" spans="1:23">
      <c r="A91">
        <v>131750</v>
      </c>
      <c r="B91">
        <v>3023522</v>
      </c>
      <c r="C91">
        <v>302</v>
      </c>
      <c r="D91" t="s">
        <v>1645</v>
      </c>
      <c r="E91">
        <v>3522</v>
      </c>
      <c r="F91" t="s">
        <v>337</v>
      </c>
      <c r="G91" t="s">
        <v>1625</v>
      </c>
      <c r="H91" t="s">
        <v>1626</v>
      </c>
      <c r="I91">
        <v>388</v>
      </c>
      <c r="K91">
        <v>388</v>
      </c>
      <c r="L91" s="571">
        <v>235</v>
      </c>
      <c r="M91">
        <v>60.6</v>
      </c>
      <c r="N91">
        <v>305500</v>
      </c>
      <c r="O91">
        <v>5405</v>
      </c>
      <c r="Q91">
        <v>0</v>
      </c>
      <c r="R91">
        <v>0</v>
      </c>
      <c r="S91">
        <v>0</v>
      </c>
      <c r="T91">
        <v>0</v>
      </c>
      <c r="V91">
        <v>240</v>
      </c>
      <c r="W91">
        <v>311000</v>
      </c>
    </row>
    <row r="92" spans="1:23">
      <c r="A92">
        <v>135226</v>
      </c>
      <c r="B92">
        <v>3023523</v>
      </c>
      <c r="C92">
        <v>302</v>
      </c>
      <c r="D92" t="s">
        <v>1645</v>
      </c>
      <c r="E92">
        <v>3523</v>
      </c>
      <c r="F92" t="s">
        <v>350</v>
      </c>
      <c r="G92" t="s">
        <v>1625</v>
      </c>
      <c r="H92" t="s">
        <v>1626</v>
      </c>
      <c r="I92">
        <v>506</v>
      </c>
      <c r="K92">
        <v>506</v>
      </c>
      <c r="L92" s="571">
        <v>151</v>
      </c>
      <c r="M92">
        <v>29.8</v>
      </c>
      <c r="N92">
        <v>196300</v>
      </c>
      <c r="O92">
        <v>3473</v>
      </c>
      <c r="Q92">
        <v>0</v>
      </c>
      <c r="R92">
        <v>0</v>
      </c>
      <c r="S92">
        <v>0</v>
      </c>
      <c r="T92">
        <v>0</v>
      </c>
      <c r="V92">
        <v>150</v>
      </c>
      <c r="W92">
        <v>200000</v>
      </c>
    </row>
    <row r="93" spans="1:23">
      <c r="A93">
        <v>136402</v>
      </c>
      <c r="B93">
        <v>3023524</v>
      </c>
      <c r="C93">
        <v>302</v>
      </c>
      <c r="D93" t="s">
        <v>1645</v>
      </c>
      <c r="E93">
        <v>3524</v>
      </c>
      <c r="F93" t="s">
        <v>1533</v>
      </c>
      <c r="G93" t="s">
        <v>1625</v>
      </c>
      <c r="H93" t="s">
        <v>1621</v>
      </c>
      <c r="I93">
        <v>204</v>
      </c>
      <c r="K93">
        <v>204</v>
      </c>
      <c r="L93" s="571">
        <v>18</v>
      </c>
      <c r="M93">
        <v>8.8000000000000007</v>
      </c>
      <c r="N93">
        <v>23400</v>
      </c>
      <c r="O93">
        <v>414</v>
      </c>
      <c r="Q93">
        <v>0</v>
      </c>
      <c r="R93">
        <v>0</v>
      </c>
      <c r="S93">
        <v>0</v>
      </c>
      <c r="T93">
        <v>0</v>
      </c>
      <c r="V93">
        <v>20</v>
      </c>
      <c r="W93">
        <v>24000</v>
      </c>
    </row>
    <row r="94" spans="1:23">
      <c r="A94">
        <v>139410</v>
      </c>
      <c r="B94">
        <v>3024000</v>
      </c>
      <c r="C94">
        <v>302</v>
      </c>
      <c r="D94" t="s">
        <v>1645</v>
      </c>
      <c r="E94">
        <v>4000</v>
      </c>
      <c r="F94" t="s">
        <v>1534</v>
      </c>
      <c r="G94" t="s">
        <v>1623</v>
      </c>
      <c r="H94" t="s">
        <v>1619</v>
      </c>
      <c r="I94">
        <v>73</v>
      </c>
      <c r="K94">
        <v>0</v>
      </c>
      <c r="L94" s="571">
        <v>0</v>
      </c>
      <c r="M94">
        <v>0</v>
      </c>
      <c r="N94">
        <v>0</v>
      </c>
      <c r="O94">
        <v>0</v>
      </c>
      <c r="Q94">
        <v>73</v>
      </c>
      <c r="R94">
        <v>14</v>
      </c>
      <c r="S94">
        <v>19.2</v>
      </c>
      <c r="T94">
        <v>13090</v>
      </c>
      <c r="V94">
        <v>10</v>
      </c>
      <c r="W94">
        <v>13000</v>
      </c>
    </row>
    <row r="95" spans="1:23">
      <c r="A95">
        <v>139594</v>
      </c>
      <c r="B95">
        <v>3024001</v>
      </c>
      <c r="C95">
        <v>302</v>
      </c>
      <c r="D95" t="s">
        <v>1645</v>
      </c>
      <c r="E95">
        <v>4001</v>
      </c>
      <c r="F95" t="s">
        <v>1535</v>
      </c>
      <c r="G95" t="s">
        <v>1623</v>
      </c>
      <c r="H95" t="s">
        <v>1626</v>
      </c>
      <c r="I95">
        <v>149</v>
      </c>
      <c r="K95">
        <v>0</v>
      </c>
      <c r="L95" s="571">
        <v>0</v>
      </c>
      <c r="M95">
        <v>0</v>
      </c>
      <c r="N95">
        <v>0</v>
      </c>
      <c r="O95">
        <v>0</v>
      </c>
      <c r="Q95">
        <v>149</v>
      </c>
      <c r="R95">
        <v>54</v>
      </c>
      <c r="S95">
        <v>36.200000000000003</v>
      </c>
      <c r="T95">
        <v>50490</v>
      </c>
      <c r="V95">
        <v>50</v>
      </c>
      <c r="W95">
        <v>50000</v>
      </c>
    </row>
    <row r="96" spans="1:23">
      <c r="A96">
        <v>101345</v>
      </c>
      <c r="B96">
        <v>3024003</v>
      </c>
      <c r="C96">
        <v>302</v>
      </c>
      <c r="D96" t="s">
        <v>1645</v>
      </c>
      <c r="E96">
        <v>4003</v>
      </c>
      <c r="F96" t="s">
        <v>120</v>
      </c>
      <c r="G96" t="s">
        <v>1637</v>
      </c>
      <c r="H96" t="s">
        <v>1619</v>
      </c>
      <c r="I96">
        <v>794</v>
      </c>
      <c r="K96">
        <v>0</v>
      </c>
      <c r="L96" s="571">
        <v>0</v>
      </c>
      <c r="M96">
        <v>0</v>
      </c>
      <c r="N96">
        <v>0</v>
      </c>
      <c r="O96">
        <v>0</v>
      </c>
      <c r="Q96">
        <v>794</v>
      </c>
      <c r="R96">
        <v>397</v>
      </c>
      <c r="S96">
        <v>50</v>
      </c>
      <c r="T96">
        <v>371195</v>
      </c>
      <c r="V96">
        <v>400</v>
      </c>
      <c r="W96">
        <v>371000</v>
      </c>
    </row>
    <row r="97" spans="1:23">
      <c r="A97">
        <v>137374</v>
      </c>
      <c r="B97">
        <v>3024009</v>
      </c>
      <c r="C97">
        <v>302</v>
      </c>
      <c r="D97" t="s">
        <v>1645</v>
      </c>
      <c r="E97">
        <v>4009</v>
      </c>
      <c r="F97" t="s">
        <v>407</v>
      </c>
      <c r="G97" t="s">
        <v>1623</v>
      </c>
      <c r="H97" t="s">
        <v>1619</v>
      </c>
      <c r="I97">
        <v>599</v>
      </c>
      <c r="K97">
        <v>0</v>
      </c>
      <c r="L97" s="571">
        <v>0</v>
      </c>
      <c r="M97">
        <v>0</v>
      </c>
      <c r="N97">
        <v>0</v>
      </c>
      <c r="O97">
        <v>0</v>
      </c>
      <c r="Q97">
        <v>599</v>
      </c>
      <c r="R97">
        <v>286.5</v>
      </c>
      <c r="S97">
        <v>47.8</v>
      </c>
      <c r="T97">
        <v>267877.50000000006</v>
      </c>
      <c r="V97">
        <v>290</v>
      </c>
      <c r="W97">
        <v>268000</v>
      </c>
    </row>
    <row r="98" spans="1:23">
      <c r="A98">
        <v>137361</v>
      </c>
      <c r="B98">
        <v>3024012</v>
      </c>
      <c r="C98">
        <v>302</v>
      </c>
      <c r="D98" t="s">
        <v>1645</v>
      </c>
      <c r="E98">
        <v>4012</v>
      </c>
      <c r="F98" t="s">
        <v>128</v>
      </c>
      <c r="G98" t="s">
        <v>1623</v>
      </c>
      <c r="H98" t="s">
        <v>1626</v>
      </c>
      <c r="I98">
        <v>641</v>
      </c>
      <c r="K98">
        <v>0</v>
      </c>
      <c r="L98" s="571">
        <v>0</v>
      </c>
      <c r="M98">
        <v>0</v>
      </c>
      <c r="N98">
        <v>0</v>
      </c>
      <c r="O98">
        <v>0</v>
      </c>
      <c r="Q98">
        <v>641</v>
      </c>
      <c r="R98">
        <v>333</v>
      </c>
      <c r="S98">
        <v>52</v>
      </c>
      <c r="T98">
        <v>311355</v>
      </c>
      <c r="V98">
        <v>330</v>
      </c>
      <c r="W98">
        <v>311000</v>
      </c>
    </row>
    <row r="99" spans="1:23">
      <c r="A99">
        <v>137131</v>
      </c>
      <c r="B99">
        <v>3024208</v>
      </c>
      <c r="C99">
        <v>302</v>
      </c>
      <c r="D99" t="s">
        <v>1645</v>
      </c>
      <c r="E99">
        <v>4208</v>
      </c>
      <c r="F99" t="s">
        <v>123</v>
      </c>
      <c r="G99" t="s">
        <v>1623</v>
      </c>
      <c r="H99" t="s">
        <v>1619</v>
      </c>
      <c r="I99">
        <v>897.5</v>
      </c>
      <c r="K99">
        <v>0</v>
      </c>
      <c r="L99" s="571">
        <v>0</v>
      </c>
      <c r="M99">
        <v>0</v>
      </c>
      <c r="N99">
        <v>0</v>
      </c>
      <c r="O99">
        <v>0</v>
      </c>
      <c r="Q99">
        <v>897.5</v>
      </c>
      <c r="R99">
        <v>227</v>
      </c>
      <c r="S99">
        <v>25.3</v>
      </c>
      <c r="T99">
        <v>212245</v>
      </c>
      <c r="V99">
        <v>230</v>
      </c>
      <c r="W99">
        <v>212000</v>
      </c>
    </row>
    <row r="100" spans="1:23">
      <c r="A100">
        <v>138685</v>
      </c>
      <c r="B100">
        <v>3024210</v>
      </c>
      <c r="C100">
        <v>302</v>
      </c>
      <c r="D100" t="s">
        <v>1645</v>
      </c>
      <c r="E100">
        <v>4210</v>
      </c>
      <c r="F100" t="s">
        <v>52</v>
      </c>
      <c r="G100" t="s">
        <v>1623</v>
      </c>
      <c r="H100" t="s">
        <v>1621</v>
      </c>
      <c r="I100">
        <v>888</v>
      </c>
      <c r="K100">
        <v>0</v>
      </c>
      <c r="L100" s="571">
        <v>0</v>
      </c>
      <c r="M100">
        <v>0</v>
      </c>
      <c r="N100">
        <v>0</v>
      </c>
      <c r="O100">
        <v>0</v>
      </c>
      <c r="Q100">
        <v>888</v>
      </c>
      <c r="R100">
        <v>401</v>
      </c>
      <c r="S100">
        <v>45.2</v>
      </c>
      <c r="T100">
        <v>374935</v>
      </c>
      <c r="V100">
        <v>400</v>
      </c>
      <c r="W100">
        <v>375000</v>
      </c>
    </row>
    <row r="101" spans="1:23">
      <c r="A101">
        <v>137388</v>
      </c>
      <c r="B101">
        <v>3024211</v>
      </c>
      <c r="C101">
        <v>302</v>
      </c>
      <c r="D101" t="s">
        <v>1645</v>
      </c>
      <c r="E101">
        <v>4211</v>
      </c>
      <c r="F101" t="s">
        <v>381</v>
      </c>
      <c r="G101" t="s">
        <v>1623</v>
      </c>
      <c r="H101" t="s">
        <v>1626</v>
      </c>
      <c r="I101">
        <v>714.5</v>
      </c>
      <c r="K101">
        <v>0</v>
      </c>
      <c r="L101" s="571">
        <v>0</v>
      </c>
      <c r="M101">
        <v>0</v>
      </c>
      <c r="N101">
        <v>0</v>
      </c>
      <c r="O101">
        <v>0</v>
      </c>
      <c r="Q101">
        <v>714.5</v>
      </c>
      <c r="R101">
        <v>302.5</v>
      </c>
      <c r="S101">
        <v>42.3</v>
      </c>
      <c r="T101">
        <v>282837.5</v>
      </c>
      <c r="V101">
        <v>300</v>
      </c>
      <c r="W101">
        <v>283000</v>
      </c>
    </row>
    <row r="102" spans="1:23">
      <c r="A102">
        <v>136658</v>
      </c>
      <c r="B102">
        <v>3024212</v>
      </c>
      <c r="C102">
        <v>302</v>
      </c>
      <c r="D102" t="s">
        <v>1645</v>
      </c>
      <c r="E102">
        <v>4212</v>
      </c>
      <c r="F102" t="s">
        <v>1537</v>
      </c>
      <c r="G102" t="s">
        <v>1623</v>
      </c>
      <c r="H102" t="s">
        <v>1619</v>
      </c>
      <c r="I102">
        <v>1046</v>
      </c>
      <c r="K102">
        <v>0</v>
      </c>
      <c r="L102" s="571">
        <v>0</v>
      </c>
      <c r="M102">
        <v>0</v>
      </c>
      <c r="N102">
        <v>0</v>
      </c>
      <c r="O102">
        <v>0</v>
      </c>
      <c r="Q102">
        <v>1046</v>
      </c>
      <c r="R102">
        <v>252.5</v>
      </c>
      <c r="S102">
        <v>24.1</v>
      </c>
      <c r="T102">
        <v>236087.5</v>
      </c>
      <c r="V102">
        <v>250</v>
      </c>
      <c r="W102">
        <v>236000</v>
      </c>
    </row>
    <row r="103" spans="1:23">
      <c r="A103">
        <v>136418</v>
      </c>
      <c r="B103">
        <v>3024215</v>
      </c>
      <c r="C103">
        <v>302</v>
      </c>
      <c r="D103" t="s">
        <v>1645</v>
      </c>
      <c r="E103">
        <v>4215</v>
      </c>
      <c r="F103" t="s">
        <v>1538</v>
      </c>
      <c r="G103" t="s">
        <v>1623</v>
      </c>
      <c r="H103" t="s">
        <v>1626</v>
      </c>
      <c r="I103">
        <v>944</v>
      </c>
      <c r="K103">
        <v>0</v>
      </c>
      <c r="L103" s="571">
        <v>0</v>
      </c>
      <c r="M103">
        <v>0</v>
      </c>
      <c r="N103">
        <v>0</v>
      </c>
      <c r="O103">
        <v>0</v>
      </c>
      <c r="Q103">
        <v>944</v>
      </c>
      <c r="R103">
        <v>367.5</v>
      </c>
      <c r="S103">
        <v>38.9</v>
      </c>
      <c r="T103">
        <v>343612.49999999988</v>
      </c>
      <c r="V103">
        <v>370</v>
      </c>
      <c r="W103">
        <v>344000</v>
      </c>
    </row>
    <row r="104" spans="1:23">
      <c r="A104">
        <v>138051</v>
      </c>
      <c r="B104">
        <v>3024752</v>
      </c>
      <c r="C104">
        <v>302</v>
      </c>
      <c r="D104" t="s">
        <v>1645</v>
      </c>
      <c r="E104">
        <v>4752</v>
      </c>
      <c r="F104" t="s">
        <v>385</v>
      </c>
      <c r="G104" t="s">
        <v>1623</v>
      </c>
      <c r="H104" t="s">
        <v>1626</v>
      </c>
      <c r="I104">
        <v>471</v>
      </c>
      <c r="K104">
        <v>0</v>
      </c>
      <c r="L104" s="571">
        <v>0</v>
      </c>
      <c r="M104">
        <v>0</v>
      </c>
      <c r="N104">
        <v>0</v>
      </c>
      <c r="O104">
        <v>0</v>
      </c>
      <c r="Q104">
        <v>471</v>
      </c>
      <c r="R104">
        <v>24</v>
      </c>
      <c r="S104">
        <v>5.0999999999999996</v>
      </c>
      <c r="T104">
        <v>22440</v>
      </c>
      <c r="V104">
        <v>20</v>
      </c>
      <c r="W104">
        <v>22000</v>
      </c>
    </row>
    <row r="105" spans="1:23">
      <c r="A105">
        <v>101355</v>
      </c>
      <c r="B105">
        <v>3025200</v>
      </c>
      <c r="C105">
        <v>302</v>
      </c>
      <c r="D105" t="s">
        <v>1645</v>
      </c>
      <c r="E105">
        <v>5200</v>
      </c>
      <c r="F105" t="s">
        <v>59</v>
      </c>
      <c r="G105" t="s">
        <v>1625</v>
      </c>
      <c r="H105" t="s">
        <v>1621</v>
      </c>
      <c r="I105">
        <v>342</v>
      </c>
      <c r="K105">
        <v>342</v>
      </c>
      <c r="L105" s="571">
        <v>190</v>
      </c>
      <c r="M105">
        <v>55.6</v>
      </c>
      <c r="N105">
        <v>247000</v>
      </c>
      <c r="O105">
        <v>4370</v>
      </c>
      <c r="Q105">
        <v>0</v>
      </c>
      <c r="R105">
        <v>0</v>
      </c>
      <c r="S105">
        <v>0</v>
      </c>
      <c r="T105">
        <v>0</v>
      </c>
      <c r="V105">
        <v>190</v>
      </c>
      <c r="W105">
        <v>251000</v>
      </c>
    </row>
    <row r="106" spans="1:23">
      <c r="A106">
        <v>101356</v>
      </c>
      <c r="B106">
        <v>3025201</v>
      </c>
      <c r="C106">
        <v>302</v>
      </c>
      <c r="D106" t="s">
        <v>1645</v>
      </c>
      <c r="E106">
        <v>5201</v>
      </c>
      <c r="F106" t="s">
        <v>355</v>
      </c>
      <c r="G106" t="s">
        <v>1625</v>
      </c>
      <c r="H106" t="s">
        <v>1638</v>
      </c>
      <c r="I106">
        <v>418</v>
      </c>
      <c r="K106">
        <v>418</v>
      </c>
      <c r="L106" s="571">
        <v>71</v>
      </c>
      <c r="M106">
        <v>17</v>
      </c>
      <c r="N106">
        <v>92300</v>
      </c>
      <c r="O106">
        <v>1633</v>
      </c>
      <c r="Q106">
        <v>0</v>
      </c>
      <c r="R106">
        <v>0</v>
      </c>
      <c r="S106">
        <v>0</v>
      </c>
      <c r="T106">
        <v>0</v>
      </c>
      <c r="V106">
        <v>70</v>
      </c>
      <c r="W106">
        <v>94000</v>
      </c>
    </row>
    <row r="107" spans="1:23">
      <c r="A107">
        <v>137645</v>
      </c>
      <c r="B107">
        <v>3025400</v>
      </c>
      <c r="C107">
        <v>302</v>
      </c>
      <c r="D107" t="s">
        <v>1645</v>
      </c>
      <c r="E107">
        <v>5400</v>
      </c>
      <c r="F107" t="s">
        <v>122</v>
      </c>
      <c r="G107" t="s">
        <v>1623</v>
      </c>
      <c r="H107" t="s">
        <v>1621</v>
      </c>
      <c r="I107">
        <v>1003.5</v>
      </c>
      <c r="K107">
        <v>0</v>
      </c>
      <c r="L107" s="571">
        <v>0</v>
      </c>
      <c r="M107">
        <v>0</v>
      </c>
      <c r="N107">
        <v>0</v>
      </c>
      <c r="O107">
        <v>0</v>
      </c>
      <c r="Q107">
        <v>1003.5</v>
      </c>
      <c r="R107">
        <v>491.5</v>
      </c>
      <c r="S107">
        <v>49</v>
      </c>
      <c r="T107">
        <v>459552.5</v>
      </c>
      <c r="V107">
        <v>490</v>
      </c>
      <c r="W107">
        <v>460000</v>
      </c>
    </row>
    <row r="108" spans="1:23">
      <c r="A108">
        <v>136290</v>
      </c>
      <c r="B108">
        <v>3025401</v>
      </c>
      <c r="C108">
        <v>302</v>
      </c>
      <c r="D108" t="s">
        <v>1645</v>
      </c>
      <c r="E108">
        <v>5401</v>
      </c>
      <c r="F108" t="s">
        <v>124</v>
      </c>
      <c r="G108" t="s">
        <v>1623</v>
      </c>
      <c r="H108" t="s">
        <v>1619</v>
      </c>
      <c r="I108">
        <v>898</v>
      </c>
      <c r="K108">
        <v>0</v>
      </c>
      <c r="L108" s="571">
        <v>0</v>
      </c>
      <c r="M108">
        <v>0</v>
      </c>
      <c r="N108">
        <v>0</v>
      </c>
      <c r="O108">
        <v>0</v>
      </c>
      <c r="Q108">
        <v>898</v>
      </c>
      <c r="R108">
        <v>53</v>
      </c>
      <c r="S108">
        <v>5.9</v>
      </c>
      <c r="T108">
        <v>49555</v>
      </c>
      <c r="V108">
        <v>50</v>
      </c>
      <c r="W108">
        <v>50000</v>
      </c>
    </row>
    <row r="109" spans="1:23">
      <c r="A109">
        <v>137386</v>
      </c>
      <c r="B109">
        <v>3025402</v>
      </c>
      <c r="C109">
        <v>302</v>
      </c>
      <c r="D109" t="s">
        <v>1645</v>
      </c>
      <c r="E109">
        <v>5402</v>
      </c>
      <c r="F109" t="s">
        <v>408</v>
      </c>
      <c r="G109" t="s">
        <v>1623</v>
      </c>
      <c r="H109" t="s">
        <v>1621</v>
      </c>
      <c r="I109">
        <v>1240.5</v>
      </c>
      <c r="K109">
        <v>0</v>
      </c>
      <c r="L109" s="571">
        <v>0</v>
      </c>
      <c r="M109">
        <v>0</v>
      </c>
      <c r="N109">
        <v>0</v>
      </c>
      <c r="O109">
        <v>0</v>
      </c>
      <c r="Q109">
        <v>1240.5</v>
      </c>
      <c r="R109">
        <v>295.5</v>
      </c>
      <c r="S109">
        <v>23.8</v>
      </c>
      <c r="T109">
        <v>276292.5</v>
      </c>
      <c r="V109">
        <v>300</v>
      </c>
      <c r="W109">
        <v>276000</v>
      </c>
    </row>
    <row r="110" spans="1:23">
      <c r="A110">
        <v>101360</v>
      </c>
      <c r="B110">
        <v>3025403</v>
      </c>
      <c r="C110">
        <v>302</v>
      </c>
      <c r="D110" t="s">
        <v>1645</v>
      </c>
      <c r="E110">
        <v>5403</v>
      </c>
      <c r="F110" t="s">
        <v>383</v>
      </c>
      <c r="G110" t="s">
        <v>1637</v>
      </c>
      <c r="H110" t="s">
        <v>1621</v>
      </c>
      <c r="I110">
        <v>272</v>
      </c>
      <c r="K110">
        <v>0</v>
      </c>
      <c r="L110" s="571">
        <v>0</v>
      </c>
      <c r="M110">
        <v>0</v>
      </c>
      <c r="N110">
        <v>0</v>
      </c>
      <c r="O110">
        <v>0</v>
      </c>
      <c r="Q110">
        <v>272</v>
      </c>
      <c r="R110">
        <v>119</v>
      </c>
      <c r="S110">
        <v>43.8</v>
      </c>
      <c r="T110">
        <v>111265</v>
      </c>
      <c r="V110">
        <v>120</v>
      </c>
      <c r="W110">
        <v>111000</v>
      </c>
    </row>
    <row r="111" spans="1:23">
      <c r="A111">
        <v>101361</v>
      </c>
      <c r="B111">
        <v>3025404</v>
      </c>
      <c r="C111">
        <v>302</v>
      </c>
      <c r="D111" t="s">
        <v>1645</v>
      </c>
      <c r="E111">
        <v>5404</v>
      </c>
      <c r="F111" t="s">
        <v>384</v>
      </c>
      <c r="G111" t="s">
        <v>1637</v>
      </c>
      <c r="H111" t="s">
        <v>1626</v>
      </c>
      <c r="I111">
        <v>476</v>
      </c>
      <c r="K111">
        <v>0</v>
      </c>
      <c r="L111" s="571">
        <v>0</v>
      </c>
      <c r="M111">
        <v>0</v>
      </c>
      <c r="N111">
        <v>0</v>
      </c>
      <c r="O111">
        <v>0</v>
      </c>
      <c r="Q111">
        <v>476</v>
      </c>
      <c r="R111">
        <v>38</v>
      </c>
      <c r="S111">
        <v>8</v>
      </c>
      <c r="T111">
        <v>35530</v>
      </c>
      <c r="V111">
        <v>40</v>
      </c>
      <c r="W111">
        <v>36000</v>
      </c>
    </row>
    <row r="112" spans="1:23">
      <c r="A112">
        <v>101362</v>
      </c>
      <c r="B112">
        <v>3025405</v>
      </c>
      <c r="C112">
        <v>302</v>
      </c>
      <c r="D112" t="s">
        <v>1645</v>
      </c>
      <c r="E112">
        <v>5405</v>
      </c>
      <c r="F112" t="s">
        <v>119</v>
      </c>
      <c r="G112" t="s">
        <v>1637</v>
      </c>
      <c r="H112" t="s">
        <v>1619</v>
      </c>
      <c r="I112">
        <v>834</v>
      </c>
      <c r="K112">
        <v>0</v>
      </c>
      <c r="L112" s="571">
        <v>0</v>
      </c>
      <c r="M112">
        <v>0</v>
      </c>
      <c r="N112">
        <v>0</v>
      </c>
      <c r="O112">
        <v>0</v>
      </c>
      <c r="Q112">
        <v>834</v>
      </c>
      <c r="R112">
        <v>123</v>
      </c>
      <c r="S112">
        <v>14.7</v>
      </c>
      <c r="T112">
        <v>115005</v>
      </c>
      <c r="V112">
        <v>120</v>
      </c>
      <c r="W112">
        <v>115000</v>
      </c>
    </row>
    <row r="113" spans="1:23">
      <c r="A113">
        <v>136308</v>
      </c>
      <c r="B113">
        <v>3025406</v>
      </c>
      <c r="C113">
        <v>302</v>
      </c>
      <c r="D113" t="s">
        <v>1645</v>
      </c>
      <c r="E113">
        <v>5406</v>
      </c>
      <c r="F113" t="s">
        <v>409</v>
      </c>
      <c r="G113" t="s">
        <v>1623</v>
      </c>
      <c r="H113" t="s">
        <v>1619</v>
      </c>
      <c r="I113">
        <v>1128.5</v>
      </c>
      <c r="K113">
        <v>0</v>
      </c>
      <c r="L113" s="571">
        <v>0</v>
      </c>
      <c r="M113">
        <v>0</v>
      </c>
      <c r="N113">
        <v>0</v>
      </c>
      <c r="O113">
        <v>0</v>
      </c>
      <c r="Q113">
        <v>1128.5</v>
      </c>
      <c r="R113">
        <v>200.5</v>
      </c>
      <c r="S113">
        <v>17.8</v>
      </c>
      <c r="T113">
        <v>187467.5</v>
      </c>
      <c r="V113">
        <v>200</v>
      </c>
      <c r="W113">
        <v>187000</v>
      </c>
    </row>
    <row r="114" spans="1:23">
      <c r="A114">
        <v>101364</v>
      </c>
      <c r="B114">
        <v>3025407</v>
      </c>
      <c r="C114">
        <v>302</v>
      </c>
      <c r="D114" t="s">
        <v>1645</v>
      </c>
      <c r="E114">
        <v>5407</v>
      </c>
      <c r="F114" t="s">
        <v>125</v>
      </c>
      <c r="G114" t="s">
        <v>1637</v>
      </c>
      <c r="H114" t="s">
        <v>1621</v>
      </c>
      <c r="I114">
        <v>895</v>
      </c>
      <c r="K114">
        <v>0</v>
      </c>
      <c r="L114" s="571">
        <v>0</v>
      </c>
      <c r="M114">
        <v>0</v>
      </c>
      <c r="N114">
        <v>0</v>
      </c>
      <c r="O114">
        <v>0</v>
      </c>
      <c r="Q114">
        <v>895</v>
      </c>
      <c r="R114">
        <v>245</v>
      </c>
      <c r="S114">
        <v>27.4</v>
      </c>
      <c r="T114">
        <v>229075</v>
      </c>
      <c r="V114">
        <v>250</v>
      </c>
      <c r="W114">
        <v>229000</v>
      </c>
    </row>
    <row r="115" spans="1:23">
      <c r="A115">
        <v>101365</v>
      </c>
      <c r="B115">
        <v>3025408</v>
      </c>
      <c r="C115">
        <v>302</v>
      </c>
      <c r="D115" t="s">
        <v>1645</v>
      </c>
      <c r="E115">
        <v>5408</v>
      </c>
      <c r="F115" t="s">
        <v>380</v>
      </c>
      <c r="G115" t="s">
        <v>1637</v>
      </c>
      <c r="H115" t="s">
        <v>1626</v>
      </c>
      <c r="I115">
        <v>566</v>
      </c>
      <c r="K115">
        <v>0</v>
      </c>
      <c r="L115" s="571">
        <v>0</v>
      </c>
      <c r="M115">
        <v>0</v>
      </c>
      <c r="N115">
        <v>0</v>
      </c>
      <c r="O115">
        <v>0</v>
      </c>
      <c r="Q115">
        <v>566</v>
      </c>
      <c r="R115">
        <v>237</v>
      </c>
      <c r="S115">
        <v>41.9</v>
      </c>
      <c r="T115">
        <v>221595</v>
      </c>
      <c r="V115">
        <v>240</v>
      </c>
      <c r="W115">
        <v>222000</v>
      </c>
    </row>
    <row r="116" spans="1:23">
      <c r="A116">
        <v>137539</v>
      </c>
      <c r="B116">
        <v>3025409</v>
      </c>
      <c r="C116">
        <v>302</v>
      </c>
      <c r="D116" t="s">
        <v>1645</v>
      </c>
      <c r="E116">
        <v>5409</v>
      </c>
      <c r="F116" t="s">
        <v>121</v>
      </c>
      <c r="G116" t="s">
        <v>1623</v>
      </c>
      <c r="H116" t="s">
        <v>1626</v>
      </c>
      <c r="I116">
        <v>805</v>
      </c>
      <c r="K116">
        <v>0</v>
      </c>
      <c r="L116" s="571">
        <v>0</v>
      </c>
      <c r="M116">
        <v>0</v>
      </c>
      <c r="N116">
        <v>0</v>
      </c>
      <c r="O116">
        <v>0</v>
      </c>
      <c r="Q116">
        <v>805</v>
      </c>
      <c r="R116">
        <v>84</v>
      </c>
      <c r="S116">
        <v>10.4</v>
      </c>
      <c r="T116">
        <v>78540</v>
      </c>
      <c r="V116">
        <v>80</v>
      </c>
      <c r="W116">
        <v>79000</v>
      </c>
    </row>
    <row r="117" spans="1:23">
      <c r="A117">
        <v>135747</v>
      </c>
      <c r="B117">
        <v>3025427</v>
      </c>
      <c r="C117">
        <v>302</v>
      </c>
      <c r="D117" t="s">
        <v>1645</v>
      </c>
      <c r="E117">
        <v>5427</v>
      </c>
      <c r="F117" t="s">
        <v>404</v>
      </c>
      <c r="G117" t="s">
        <v>1637</v>
      </c>
      <c r="H117" t="s">
        <v>1619</v>
      </c>
      <c r="I117">
        <v>714</v>
      </c>
      <c r="K117">
        <v>0</v>
      </c>
      <c r="L117" s="571">
        <v>0</v>
      </c>
      <c r="M117">
        <v>0</v>
      </c>
      <c r="N117">
        <v>0</v>
      </c>
      <c r="O117">
        <v>0</v>
      </c>
      <c r="Q117">
        <v>714</v>
      </c>
      <c r="R117">
        <v>74</v>
      </c>
      <c r="S117">
        <v>10.4</v>
      </c>
      <c r="T117">
        <v>69190</v>
      </c>
      <c r="V117">
        <v>70</v>
      </c>
      <c r="W117">
        <v>69000</v>
      </c>
    </row>
    <row r="118" spans="1:23">
      <c r="A118">
        <v>101376</v>
      </c>
      <c r="B118">
        <v>3025948</v>
      </c>
      <c r="C118">
        <v>302</v>
      </c>
      <c r="D118" t="s">
        <v>1645</v>
      </c>
      <c r="E118">
        <v>5948</v>
      </c>
      <c r="F118" t="s">
        <v>351</v>
      </c>
      <c r="G118" t="s">
        <v>1625</v>
      </c>
      <c r="H118" t="s">
        <v>1621</v>
      </c>
      <c r="I118">
        <v>194</v>
      </c>
      <c r="K118">
        <v>194</v>
      </c>
      <c r="L118" s="571">
        <v>14</v>
      </c>
      <c r="M118">
        <v>7.2</v>
      </c>
      <c r="N118">
        <v>18200</v>
      </c>
      <c r="O118">
        <v>322</v>
      </c>
      <c r="Q118">
        <v>0</v>
      </c>
      <c r="R118">
        <v>0</v>
      </c>
      <c r="S118">
        <v>0</v>
      </c>
      <c r="T118">
        <v>0</v>
      </c>
      <c r="V118">
        <v>10</v>
      </c>
      <c r="W118">
        <v>19000</v>
      </c>
    </row>
    <row r="119" spans="1:23">
      <c r="A119">
        <v>131359</v>
      </c>
      <c r="B119">
        <v>3025949</v>
      </c>
      <c r="C119">
        <v>302</v>
      </c>
      <c r="D119" t="s">
        <v>1645</v>
      </c>
      <c r="E119">
        <v>5949</v>
      </c>
      <c r="F119" t="s">
        <v>78</v>
      </c>
      <c r="G119" t="s">
        <v>1625</v>
      </c>
      <c r="H119" t="s">
        <v>1621</v>
      </c>
      <c r="I119">
        <v>248</v>
      </c>
      <c r="K119">
        <v>248</v>
      </c>
      <c r="L119" s="571">
        <v>9</v>
      </c>
      <c r="M119">
        <v>3.6</v>
      </c>
      <c r="N119">
        <v>11700</v>
      </c>
      <c r="O119">
        <v>207</v>
      </c>
      <c r="Q119">
        <v>0</v>
      </c>
      <c r="R119">
        <v>0</v>
      </c>
      <c r="S119">
        <v>0</v>
      </c>
      <c r="T119">
        <v>0</v>
      </c>
      <c r="V119">
        <v>10</v>
      </c>
      <c r="W119">
        <v>12000</v>
      </c>
    </row>
    <row r="120" spans="1:23">
      <c r="A120">
        <v>134798</v>
      </c>
      <c r="B120">
        <v>3026905</v>
      </c>
      <c r="C120">
        <v>302</v>
      </c>
      <c r="D120" t="s">
        <v>1645</v>
      </c>
      <c r="E120">
        <v>6905</v>
      </c>
      <c r="F120" t="s">
        <v>434</v>
      </c>
      <c r="G120" t="s">
        <v>1623</v>
      </c>
      <c r="H120" t="s">
        <v>1621</v>
      </c>
      <c r="I120">
        <v>1046</v>
      </c>
      <c r="K120">
        <v>0</v>
      </c>
      <c r="L120" s="571">
        <v>0</v>
      </c>
      <c r="M120">
        <v>0</v>
      </c>
      <c r="N120">
        <v>0</v>
      </c>
      <c r="O120">
        <v>0</v>
      </c>
      <c r="Q120">
        <v>1046</v>
      </c>
      <c r="R120">
        <v>656</v>
      </c>
      <c r="S120">
        <v>62.7</v>
      </c>
      <c r="T120">
        <v>613360</v>
      </c>
      <c r="V120">
        <v>660</v>
      </c>
      <c r="W120">
        <v>613000</v>
      </c>
    </row>
    <row r="121" spans="1:23">
      <c r="A121">
        <v>135507</v>
      </c>
      <c r="B121">
        <v>3026906</v>
      </c>
      <c r="C121">
        <v>302</v>
      </c>
      <c r="D121" t="s">
        <v>1645</v>
      </c>
      <c r="E121">
        <v>6906</v>
      </c>
      <c r="F121" t="s">
        <v>435</v>
      </c>
      <c r="G121" t="s">
        <v>1623</v>
      </c>
      <c r="H121" t="s">
        <v>1626</v>
      </c>
      <c r="I121">
        <v>892</v>
      </c>
      <c r="K121">
        <v>0</v>
      </c>
      <c r="L121" s="571">
        <v>0</v>
      </c>
      <c r="M121">
        <v>0</v>
      </c>
      <c r="N121">
        <v>0</v>
      </c>
      <c r="O121">
        <v>0</v>
      </c>
      <c r="Q121">
        <v>892</v>
      </c>
      <c r="R121">
        <v>201</v>
      </c>
      <c r="S121">
        <v>22.5</v>
      </c>
      <c r="T121">
        <v>187935</v>
      </c>
      <c r="V121">
        <v>200</v>
      </c>
      <c r="W121">
        <v>188000</v>
      </c>
    </row>
    <row r="122" spans="1:23">
      <c r="A122">
        <v>101394</v>
      </c>
      <c r="B122">
        <v>3027000</v>
      </c>
      <c r="C122">
        <v>302</v>
      </c>
      <c r="D122" t="s">
        <v>1645</v>
      </c>
      <c r="E122">
        <v>7000</v>
      </c>
      <c r="F122" t="s">
        <v>131</v>
      </c>
      <c r="G122" t="s">
        <v>1639</v>
      </c>
      <c r="H122" t="s">
        <v>1626</v>
      </c>
      <c r="I122" t="s">
        <v>1620</v>
      </c>
      <c r="K122" t="s">
        <v>1620</v>
      </c>
      <c r="L122" s="571" t="s">
        <v>1620</v>
      </c>
      <c r="M122" t="s">
        <v>1620</v>
      </c>
      <c r="N122" t="s">
        <v>1620</v>
      </c>
      <c r="O122" t="s">
        <v>1620</v>
      </c>
      <c r="Q122" t="s">
        <v>1620</v>
      </c>
      <c r="R122" t="s">
        <v>1620</v>
      </c>
      <c r="S122" t="s">
        <v>1620</v>
      </c>
      <c r="T122" t="s">
        <v>1620</v>
      </c>
      <c r="V122" t="s">
        <v>1620</v>
      </c>
      <c r="W122" t="s">
        <v>1620</v>
      </c>
    </row>
    <row r="123" spans="1:23">
      <c r="A123">
        <v>101395</v>
      </c>
      <c r="B123">
        <v>3027005</v>
      </c>
      <c r="C123">
        <v>302</v>
      </c>
      <c r="D123" t="s">
        <v>1645</v>
      </c>
      <c r="E123">
        <v>7005</v>
      </c>
      <c r="F123" t="s">
        <v>130</v>
      </c>
      <c r="G123" t="s">
        <v>1639</v>
      </c>
      <c r="H123" t="s">
        <v>1621</v>
      </c>
      <c r="I123" t="s">
        <v>1620</v>
      </c>
      <c r="K123" t="s">
        <v>1620</v>
      </c>
      <c r="L123" s="571" t="s">
        <v>1620</v>
      </c>
      <c r="M123" t="s">
        <v>1620</v>
      </c>
      <c r="N123" t="s">
        <v>1620</v>
      </c>
      <c r="O123" t="s">
        <v>1620</v>
      </c>
      <c r="Q123" t="s">
        <v>1620</v>
      </c>
      <c r="R123" t="s">
        <v>1620</v>
      </c>
      <c r="S123" t="s">
        <v>1620</v>
      </c>
      <c r="T123" t="s">
        <v>1620</v>
      </c>
      <c r="V123" t="s">
        <v>1620</v>
      </c>
      <c r="W123" t="s">
        <v>1620</v>
      </c>
    </row>
    <row r="124" spans="1:23">
      <c r="A124">
        <v>101396</v>
      </c>
      <c r="B124">
        <v>3027009</v>
      </c>
      <c r="C124">
        <v>302</v>
      </c>
      <c r="D124" t="s">
        <v>1645</v>
      </c>
      <c r="E124">
        <v>7009</v>
      </c>
      <c r="F124" t="s">
        <v>1640</v>
      </c>
      <c r="G124" t="s">
        <v>1639</v>
      </c>
      <c r="H124" t="s">
        <v>1619</v>
      </c>
      <c r="I124" t="s">
        <v>1620</v>
      </c>
      <c r="K124" t="s">
        <v>1620</v>
      </c>
      <c r="L124" s="571" t="s">
        <v>1620</v>
      </c>
      <c r="M124" t="s">
        <v>1620</v>
      </c>
      <c r="N124" t="s">
        <v>1620</v>
      </c>
      <c r="O124" t="s">
        <v>1620</v>
      </c>
      <c r="Q124" t="s">
        <v>1620</v>
      </c>
      <c r="R124" t="s">
        <v>1620</v>
      </c>
      <c r="S124" t="s">
        <v>1620</v>
      </c>
      <c r="T124" t="s">
        <v>1620</v>
      </c>
      <c r="V124" t="s">
        <v>1620</v>
      </c>
      <c r="W124" t="s">
        <v>1620</v>
      </c>
    </row>
    <row r="125" spans="1:23">
      <c r="A125">
        <v>101397</v>
      </c>
      <c r="B125">
        <v>3027010</v>
      </c>
      <c r="C125">
        <v>302</v>
      </c>
      <c r="D125" t="s">
        <v>1645</v>
      </c>
      <c r="E125">
        <v>7010</v>
      </c>
      <c r="F125" t="s">
        <v>129</v>
      </c>
      <c r="G125" t="s">
        <v>1639</v>
      </c>
      <c r="H125" t="s">
        <v>1626</v>
      </c>
      <c r="I125" t="s">
        <v>1620</v>
      </c>
      <c r="K125" t="s">
        <v>1620</v>
      </c>
      <c r="L125" s="571" t="s">
        <v>1620</v>
      </c>
      <c r="M125" t="s">
        <v>1620</v>
      </c>
      <c r="N125" t="s">
        <v>1620</v>
      </c>
      <c r="O125" t="s">
        <v>1620</v>
      </c>
      <c r="Q125" t="s">
        <v>1620</v>
      </c>
      <c r="R125" t="s">
        <v>1620</v>
      </c>
      <c r="S125" t="s">
        <v>1620</v>
      </c>
      <c r="T125" t="s">
        <v>1620</v>
      </c>
      <c r="V125" t="s">
        <v>1620</v>
      </c>
      <c r="W125" t="s">
        <v>1620</v>
      </c>
    </row>
  </sheetData>
  <autoFilter ref="A3:Z12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Y142"/>
  <sheetViews>
    <sheetView workbookViewId="0">
      <selection activeCell="B5" sqref="B5"/>
    </sheetView>
  </sheetViews>
  <sheetFormatPr defaultRowHeight="15"/>
  <cols>
    <col min="1" max="2" width="9.7109375" style="512" customWidth="1"/>
    <col min="3" max="3" width="42.85546875" style="512" bestFit="1" customWidth="1"/>
    <col min="4" max="4" width="15.42578125" style="512" bestFit="1" customWidth="1"/>
    <col min="5" max="19" width="5" style="512" bestFit="1" customWidth="1"/>
    <col min="20" max="20" width="4" style="512" bestFit="1" customWidth="1"/>
    <col min="21" max="22" width="11.28515625" style="512" bestFit="1" customWidth="1"/>
    <col min="23" max="23" width="9.140625" style="512"/>
    <col min="24" max="24" width="34.7109375" style="512" customWidth="1"/>
    <col min="25" max="16384" width="9.140625" style="512"/>
  </cols>
  <sheetData>
    <row r="2" spans="1:25">
      <c r="A2" s="512">
        <v>1</v>
      </c>
      <c r="B2" s="512">
        <v>2</v>
      </c>
      <c r="C2" s="512">
        <v>3</v>
      </c>
      <c r="D2" s="512">
        <v>4</v>
      </c>
      <c r="E2" s="512">
        <v>5</v>
      </c>
      <c r="F2" s="512">
        <v>6</v>
      </c>
      <c r="G2" s="512">
        <v>7</v>
      </c>
      <c r="H2" s="512">
        <v>8</v>
      </c>
      <c r="I2" s="512">
        <v>9</v>
      </c>
      <c r="J2" s="512">
        <v>10</v>
      </c>
      <c r="K2" s="512">
        <v>11</v>
      </c>
      <c r="L2" s="512">
        <v>12</v>
      </c>
      <c r="M2" s="512">
        <v>13</v>
      </c>
      <c r="N2" s="512">
        <v>14</v>
      </c>
      <c r="O2" s="512">
        <v>15</v>
      </c>
      <c r="P2" s="512">
        <v>16</v>
      </c>
      <c r="Q2" s="512">
        <v>17</v>
      </c>
      <c r="R2" s="512">
        <v>18</v>
      </c>
      <c r="S2" s="512">
        <v>19</v>
      </c>
      <c r="T2" s="512">
        <v>20</v>
      </c>
      <c r="U2" s="512">
        <v>21</v>
      </c>
    </row>
    <row r="3" spans="1:25">
      <c r="A3" s="512" t="s">
        <v>1587</v>
      </c>
      <c r="D3" s="512" t="s">
        <v>1461</v>
      </c>
    </row>
    <row r="4" spans="1:25" ht="45">
      <c r="A4" s="512" t="s">
        <v>1462</v>
      </c>
      <c r="C4" s="512" t="s">
        <v>1463</v>
      </c>
      <c r="D4" s="512" t="s">
        <v>1464</v>
      </c>
      <c r="E4" s="512" t="s">
        <v>1465</v>
      </c>
      <c r="F4" s="512" t="s">
        <v>1466</v>
      </c>
      <c r="G4" s="512" t="s">
        <v>1467</v>
      </c>
      <c r="H4" s="512" t="s">
        <v>1468</v>
      </c>
      <c r="I4" s="512" t="s">
        <v>1469</v>
      </c>
      <c r="J4" s="512" t="s">
        <v>1470</v>
      </c>
      <c r="K4" s="512" t="s">
        <v>1471</v>
      </c>
      <c r="L4" s="512" t="s">
        <v>1472</v>
      </c>
      <c r="M4" s="512" t="s">
        <v>1473</v>
      </c>
      <c r="N4" s="512" t="s">
        <v>1474</v>
      </c>
      <c r="O4" s="512" t="s">
        <v>1475</v>
      </c>
      <c r="P4" s="512" t="s">
        <v>1476</v>
      </c>
      <c r="Q4" s="512" t="s">
        <v>1477</v>
      </c>
      <c r="R4" s="512" t="s">
        <v>1478</v>
      </c>
      <c r="S4" s="512" t="s">
        <v>1479</v>
      </c>
      <c r="T4" s="512" t="s">
        <v>1480</v>
      </c>
      <c r="U4" s="512" t="s">
        <v>688</v>
      </c>
      <c r="Y4" s="564" t="s">
        <v>1588</v>
      </c>
    </row>
    <row r="5" spans="1:25">
      <c r="A5" s="512">
        <v>3021000</v>
      </c>
      <c r="B5" s="515">
        <v>1000</v>
      </c>
      <c r="C5" s="512" t="s">
        <v>28</v>
      </c>
      <c r="D5" s="515"/>
      <c r="E5" s="515">
        <v>90</v>
      </c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>
        <v>90</v>
      </c>
      <c r="W5" s="512">
        <v>0</v>
      </c>
      <c r="X5" s="512" t="s">
        <v>28</v>
      </c>
      <c r="Y5" s="512">
        <v>0</v>
      </c>
    </row>
    <row r="6" spans="1:25">
      <c r="A6" s="512">
        <v>3021001</v>
      </c>
      <c r="B6" s="515">
        <v>1001</v>
      </c>
      <c r="C6" s="512" t="s">
        <v>1482</v>
      </c>
      <c r="D6" s="515">
        <v>4</v>
      </c>
      <c r="E6" s="515">
        <v>58</v>
      </c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>
        <v>62</v>
      </c>
      <c r="W6" s="512">
        <v>0</v>
      </c>
      <c r="X6" s="512" t="s">
        <v>1482</v>
      </c>
      <c r="Y6" s="512">
        <v>0</v>
      </c>
    </row>
    <row r="7" spans="1:25">
      <c r="A7" s="512">
        <v>3021002</v>
      </c>
      <c r="B7" s="515">
        <v>1002</v>
      </c>
      <c r="C7" s="512" t="s">
        <v>1483</v>
      </c>
      <c r="D7" s="515">
        <v>1</v>
      </c>
      <c r="E7" s="515">
        <v>121</v>
      </c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>
        <v>122</v>
      </c>
      <c r="W7" s="512">
        <v>0</v>
      </c>
      <c r="X7" s="512" t="s">
        <v>1483</v>
      </c>
      <c r="Y7" s="512">
        <v>0</v>
      </c>
    </row>
    <row r="8" spans="1:25">
      <c r="A8" s="512">
        <v>3021003</v>
      </c>
      <c r="B8" s="515">
        <v>1003</v>
      </c>
      <c r="C8" s="512" t="s">
        <v>1484</v>
      </c>
      <c r="D8" s="515">
        <v>4</v>
      </c>
      <c r="E8" s="515">
        <v>124</v>
      </c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>
        <v>128</v>
      </c>
      <c r="W8" s="512">
        <v>0</v>
      </c>
      <c r="X8" s="512" t="s">
        <v>1484</v>
      </c>
      <c r="Y8" s="512">
        <v>0</v>
      </c>
    </row>
    <row r="9" spans="1:25">
      <c r="A9" s="512">
        <v>3021100</v>
      </c>
      <c r="B9" s="515">
        <v>1100</v>
      </c>
      <c r="C9" s="512" t="s">
        <v>451</v>
      </c>
      <c r="D9" s="515"/>
      <c r="E9" s="515"/>
      <c r="F9" s="515"/>
      <c r="G9" s="515"/>
      <c r="H9" s="515"/>
      <c r="I9" s="515"/>
      <c r="J9" s="515"/>
      <c r="K9" s="515"/>
      <c r="L9" s="515"/>
      <c r="M9" s="515"/>
      <c r="N9" s="515">
        <v>2</v>
      </c>
      <c r="O9" s="515">
        <v>14</v>
      </c>
      <c r="P9" s="515">
        <v>19</v>
      </c>
      <c r="Q9" s="515">
        <v>24</v>
      </c>
      <c r="R9" s="515"/>
      <c r="S9" s="515"/>
      <c r="T9" s="515"/>
      <c r="U9" s="515">
        <v>59</v>
      </c>
      <c r="W9" s="512">
        <v>2</v>
      </c>
      <c r="X9" s="512" t="s">
        <v>451</v>
      </c>
      <c r="Y9" s="512">
        <v>0</v>
      </c>
    </row>
    <row r="10" spans="1:25">
      <c r="A10" s="512">
        <v>3021102</v>
      </c>
      <c r="B10" s="515">
        <v>1102</v>
      </c>
      <c r="C10" s="512" t="s">
        <v>742</v>
      </c>
      <c r="D10" s="515"/>
      <c r="E10" s="515"/>
      <c r="F10" s="515"/>
      <c r="G10" s="515"/>
      <c r="H10" s="515"/>
      <c r="I10" s="515"/>
      <c r="J10" s="515"/>
      <c r="K10" s="515"/>
      <c r="L10" s="515"/>
      <c r="M10" s="515"/>
      <c r="N10" s="515"/>
      <c r="O10" s="515">
        <v>4</v>
      </c>
      <c r="P10" s="515">
        <v>3</v>
      </c>
      <c r="Q10" s="515">
        <v>8</v>
      </c>
      <c r="R10" s="515">
        <v>3</v>
      </c>
      <c r="S10" s="515">
        <v>3</v>
      </c>
      <c r="T10" s="515"/>
      <c r="U10" s="515">
        <v>21</v>
      </c>
      <c r="W10" s="512">
        <v>0</v>
      </c>
      <c r="X10" s="512" t="s">
        <v>742</v>
      </c>
      <c r="Y10" s="512">
        <v>0</v>
      </c>
    </row>
    <row r="11" spans="1:25">
      <c r="A11" s="512">
        <v>3021103</v>
      </c>
      <c r="B11" s="515">
        <v>1103</v>
      </c>
      <c r="C11" s="512" t="s">
        <v>452</v>
      </c>
      <c r="D11" s="515"/>
      <c r="E11" s="515"/>
      <c r="F11" s="515">
        <v>1</v>
      </c>
      <c r="G11" s="515"/>
      <c r="H11" s="515"/>
      <c r="I11" s="515"/>
      <c r="J11" s="515">
        <v>1</v>
      </c>
      <c r="K11" s="515">
        <v>1</v>
      </c>
      <c r="L11" s="515">
        <v>2</v>
      </c>
      <c r="M11" s="515">
        <v>1</v>
      </c>
      <c r="N11" s="515"/>
      <c r="O11" s="515"/>
      <c r="P11" s="515">
        <v>2</v>
      </c>
      <c r="Q11" s="515"/>
      <c r="R11" s="515"/>
      <c r="S11" s="515"/>
      <c r="T11" s="515"/>
      <c r="U11" s="515">
        <v>8</v>
      </c>
      <c r="W11" s="512">
        <v>-1</v>
      </c>
      <c r="X11" s="512" t="s">
        <v>452</v>
      </c>
      <c r="Y11" s="512">
        <v>0</v>
      </c>
    </row>
    <row r="12" spans="1:25">
      <c r="A12" s="512">
        <v>3022001</v>
      </c>
      <c r="B12" s="515">
        <v>2001</v>
      </c>
      <c r="C12" s="512" t="s">
        <v>1485</v>
      </c>
      <c r="D12" s="515"/>
      <c r="E12" s="515">
        <v>26</v>
      </c>
      <c r="F12" s="515">
        <v>28</v>
      </c>
      <c r="G12" s="515">
        <v>28</v>
      </c>
      <c r="H12" s="515">
        <v>28</v>
      </c>
      <c r="I12" s="515">
        <v>28</v>
      </c>
      <c r="J12" s="515"/>
      <c r="K12" s="515"/>
      <c r="L12" s="515"/>
      <c r="M12" s="515"/>
      <c r="N12" s="515"/>
      <c r="O12" s="515"/>
      <c r="P12" s="515"/>
      <c r="Q12" s="515"/>
      <c r="R12" s="515"/>
      <c r="S12" s="515"/>
      <c r="T12" s="515"/>
      <c r="U12" s="515">
        <v>138</v>
      </c>
      <c r="W12" s="512">
        <v>0</v>
      </c>
      <c r="X12" s="512" t="s">
        <v>1485</v>
      </c>
      <c r="Y12" s="512">
        <v>0</v>
      </c>
    </row>
    <row r="13" spans="1:25">
      <c r="A13" s="512">
        <v>3022002</v>
      </c>
      <c r="B13" s="515">
        <v>2002</v>
      </c>
      <c r="C13" s="512" t="s">
        <v>37</v>
      </c>
      <c r="D13" s="515"/>
      <c r="E13" s="515">
        <v>58</v>
      </c>
      <c r="F13" s="515">
        <v>59</v>
      </c>
      <c r="G13" s="515">
        <v>60</v>
      </c>
      <c r="H13" s="515">
        <v>60</v>
      </c>
      <c r="I13" s="515">
        <v>88</v>
      </c>
      <c r="J13" s="515">
        <v>88</v>
      </c>
      <c r="K13" s="515">
        <v>60</v>
      </c>
      <c r="L13" s="515">
        <v>60</v>
      </c>
      <c r="M13" s="515"/>
      <c r="N13" s="515"/>
      <c r="O13" s="515"/>
      <c r="P13" s="515"/>
      <c r="Q13" s="515"/>
      <c r="R13" s="515"/>
      <c r="S13" s="515"/>
      <c r="T13" s="515"/>
      <c r="U13" s="515">
        <v>533</v>
      </c>
      <c r="W13" s="512">
        <v>0</v>
      </c>
      <c r="X13" s="512" t="s">
        <v>37</v>
      </c>
      <c r="Y13" s="512">
        <v>483</v>
      </c>
    </row>
    <row r="14" spans="1:25">
      <c r="A14" s="512">
        <v>3022003</v>
      </c>
      <c r="B14" s="515">
        <v>2003</v>
      </c>
      <c r="C14" s="512" t="s">
        <v>332</v>
      </c>
      <c r="D14" s="515">
        <v>34</v>
      </c>
      <c r="E14" s="515">
        <v>10</v>
      </c>
      <c r="F14" s="515">
        <v>52</v>
      </c>
      <c r="G14" s="515">
        <v>59</v>
      </c>
      <c r="H14" s="515">
        <v>59</v>
      </c>
      <c r="I14" s="515">
        <v>57</v>
      </c>
      <c r="J14" s="515">
        <v>53</v>
      </c>
      <c r="K14" s="515">
        <v>59</v>
      </c>
      <c r="L14" s="515">
        <v>57</v>
      </c>
      <c r="M14" s="515"/>
      <c r="N14" s="515"/>
      <c r="O14" s="515"/>
      <c r="P14" s="515"/>
      <c r="Q14" s="515"/>
      <c r="R14" s="515"/>
      <c r="S14" s="515"/>
      <c r="T14" s="515"/>
      <c r="U14" s="515">
        <v>440</v>
      </c>
      <c r="W14" s="512">
        <v>0</v>
      </c>
      <c r="X14" s="512" t="s">
        <v>332</v>
      </c>
      <c r="Y14" s="512">
        <v>375</v>
      </c>
    </row>
    <row r="15" spans="1:25">
      <c r="A15" s="512">
        <v>3022004</v>
      </c>
      <c r="B15" s="515">
        <v>2004</v>
      </c>
      <c r="C15" s="512" t="s">
        <v>1486</v>
      </c>
      <c r="D15" s="515"/>
      <c r="E15" s="515"/>
      <c r="F15" s="515">
        <v>28</v>
      </c>
      <c r="G15" s="515">
        <v>26</v>
      </c>
      <c r="H15" s="515">
        <v>25</v>
      </c>
      <c r="I15" s="515"/>
      <c r="J15" s="515"/>
      <c r="K15" s="515"/>
      <c r="L15" s="515"/>
      <c r="M15" s="515"/>
      <c r="N15" s="515"/>
      <c r="O15" s="515"/>
      <c r="P15" s="515"/>
      <c r="Q15" s="515"/>
      <c r="R15" s="515"/>
      <c r="S15" s="515"/>
      <c r="T15" s="515"/>
      <c r="U15" s="515">
        <v>79</v>
      </c>
      <c r="W15" s="512">
        <v>0</v>
      </c>
      <c r="X15" s="512" t="s">
        <v>1486</v>
      </c>
      <c r="Y15" s="512">
        <v>0</v>
      </c>
    </row>
    <row r="16" spans="1:25">
      <c r="A16" s="512">
        <v>3022007</v>
      </c>
      <c r="B16" s="515">
        <v>2007</v>
      </c>
      <c r="C16" s="512" t="s">
        <v>43</v>
      </c>
      <c r="D16" s="515"/>
      <c r="E16" s="515"/>
      <c r="F16" s="515"/>
      <c r="G16" s="515"/>
      <c r="H16" s="515"/>
      <c r="I16" s="515">
        <v>90</v>
      </c>
      <c r="J16" s="515">
        <v>89</v>
      </c>
      <c r="K16" s="515">
        <v>91</v>
      </c>
      <c r="L16" s="515">
        <v>92</v>
      </c>
      <c r="M16" s="515"/>
      <c r="N16" s="515"/>
      <c r="O16" s="515"/>
      <c r="P16" s="515"/>
      <c r="Q16" s="515"/>
      <c r="R16" s="515"/>
      <c r="S16" s="515"/>
      <c r="T16" s="515"/>
      <c r="U16" s="515">
        <v>362</v>
      </c>
      <c r="W16" s="512">
        <v>0</v>
      </c>
      <c r="X16" s="512" t="s">
        <v>43</v>
      </c>
      <c r="Y16" s="512">
        <v>357</v>
      </c>
    </row>
    <row r="17" spans="1:25">
      <c r="A17" s="512">
        <v>3022008</v>
      </c>
      <c r="B17" s="515">
        <v>2008</v>
      </c>
      <c r="C17" s="512" t="s">
        <v>1487</v>
      </c>
      <c r="D17" s="515"/>
      <c r="E17" s="515">
        <v>52</v>
      </c>
      <c r="F17" s="515">
        <v>90</v>
      </c>
      <c r="G17" s="515">
        <v>90</v>
      </c>
      <c r="H17" s="515">
        <v>90</v>
      </c>
      <c r="I17" s="515"/>
      <c r="J17" s="515"/>
      <c r="K17" s="515"/>
      <c r="L17" s="515"/>
      <c r="M17" s="515"/>
      <c r="N17" s="515"/>
      <c r="O17" s="515"/>
      <c r="P17" s="515"/>
      <c r="Q17" s="515"/>
      <c r="R17" s="515"/>
      <c r="S17" s="515"/>
      <c r="T17" s="515"/>
      <c r="U17" s="515">
        <v>322</v>
      </c>
      <c r="W17" s="512">
        <v>0</v>
      </c>
      <c r="X17" s="512" t="s">
        <v>1487</v>
      </c>
      <c r="Y17" s="512">
        <v>269</v>
      </c>
    </row>
    <row r="18" spans="1:25">
      <c r="A18" s="512">
        <v>3022009</v>
      </c>
      <c r="B18" s="515">
        <v>2009</v>
      </c>
      <c r="C18" s="512" t="s">
        <v>1488</v>
      </c>
      <c r="D18" s="515">
        <v>1</v>
      </c>
      <c r="E18" s="515">
        <v>27</v>
      </c>
      <c r="F18" s="515">
        <v>61</v>
      </c>
      <c r="G18" s="515">
        <v>60</v>
      </c>
      <c r="H18" s="515">
        <v>59</v>
      </c>
      <c r="I18" s="515">
        <v>58</v>
      </c>
      <c r="J18" s="515">
        <v>30</v>
      </c>
      <c r="K18" s="515">
        <v>27</v>
      </c>
      <c r="L18" s="515">
        <v>29</v>
      </c>
      <c r="M18" s="515"/>
      <c r="N18" s="515"/>
      <c r="O18" s="515"/>
      <c r="P18" s="515"/>
      <c r="Q18" s="515"/>
      <c r="R18" s="515"/>
      <c r="S18" s="515"/>
      <c r="T18" s="515"/>
      <c r="U18" s="515">
        <v>352</v>
      </c>
      <c r="W18" s="512">
        <v>0</v>
      </c>
      <c r="X18" s="512" t="s">
        <v>1488</v>
      </c>
      <c r="Y18" s="512">
        <v>298</v>
      </c>
    </row>
    <row r="19" spans="1:25">
      <c r="A19" s="512">
        <v>3022010</v>
      </c>
      <c r="B19" s="515">
        <v>2010</v>
      </c>
      <c r="C19" s="512" t="s">
        <v>1489</v>
      </c>
      <c r="D19" s="515"/>
      <c r="E19" s="515">
        <v>43</v>
      </c>
      <c r="F19" s="515">
        <v>44</v>
      </c>
      <c r="G19" s="515">
        <v>44</v>
      </c>
      <c r="H19" s="515">
        <v>46</v>
      </c>
      <c r="I19" s="515">
        <v>46</v>
      </c>
      <c r="J19" s="515">
        <v>44</v>
      </c>
      <c r="K19" s="515">
        <v>45</v>
      </c>
      <c r="L19" s="515">
        <v>45</v>
      </c>
      <c r="M19" s="515"/>
      <c r="N19" s="515"/>
      <c r="O19" s="515"/>
      <c r="P19" s="515"/>
      <c r="Q19" s="515"/>
      <c r="R19" s="515"/>
      <c r="S19" s="515"/>
      <c r="T19" s="515"/>
      <c r="U19" s="515">
        <v>357</v>
      </c>
      <c r="W19" s="512">
        <v>0</v>
      </c>
      <c r="X19" s="512" t="s">
        <v>1489</v>
      </c>
      <c r="Y19" s="512">
        <v>300</v>
      </c>
    </row>
    <row r="20" spans="1:25">
      <c r="A20" s="512">
        <v>3022011</v>
      </c>
      <c r="B20" s="515">
        <v>2011</v>
      </c>
      <c r="C20" s="512" t="s">
        <v>1490</v>
      </c>
      <c r="D20" s="515"/>
      <c r="E20" s="515"/>
      <c r="F20" s="515">
        <v>30</v>
      </c>
      <c r="G20" s="515">
        <v>29</v>
      </c>
      <c r="H20" s="515">
        <v>30</v>
      </c>
      <c r="I20" s="515">
        <v>55</v>
      </c>
      <c r="J20" s="515">
        <v>30</v>
      </c>
      <c r="K20" s="515">
        <v>30</v>
      </c>
      <c r="L20" s="515">
        <v>30</v>
      </c>
      <c r="M20" s="515"/>
      <c r="N20" s="515"/>
      <c r="O20" s="515"/>
      <c r="P20" s="515"/>
      <c r="Q20" s="515"/>
      <c r="R20" s="515"/>
      <c r="S20" s="515"/>
      <c r="T20" s="515"/>
      <c r="U20" s="515">
        <v>234</v>
      </c>
      <c r="W20" s="512">
        <v>0</v>
      </c>
      <c r="X20" s="512" t="s">
        <v>1490</v>
      </c>
      <c r="Y20" s="512">
        <v>236</v>
      </c>
    </row>
    <row r="21" spans="1:25">
      <c r="A21" s="512">
        <v>3022014</v>
      </c>
      <c r="B21" s="515">
        <v>2014</v>
      </c>
      <c r="C21" s="512" t="s">
        <v>50</v>
      </c>
      <c r="D21" s="515"/>
      <c r="E21" s="515">
        <v>78</v>
      </c>
      <c r="F21" s="515">
        <v>92</v>
      </c>
      <c r="G21" s="515">
        <v>88</v>
      </c>
      <c r="H21" s="515">
        <v>118</v>
      </c>
      <c r="I21" s="515">
        <v>87</v>
      </c>
      <c r="J21" s="515">
        <v>89</v>
      </c>
      <c r="K21" s="515">
        <v>91</v>
      </c>
      <c r="L21" s="515">
        <v>59</v>
      </c>
      <c r="M21" s="515"/>
      <c r="N21" s="515"/>
      <c r="O21" s="515"/>
      <c r="P21" s="515"/>
      <c r="Q21" s="515"/>
      <c r="R21" s="515"/>
      <c r="S21" s="515"/>
      <c r="T21" s="515"/>
      <c r="U21" s="515">
        <v>702</v>
      </c>
      <c r="W21" s="512">
        <v>0</v>
      </c>
      <c r="X21" s="512" t="s">
        <v>50</v>
      </c>
      <c r="Y21" s="512">
        <v>593</v>
      </c>
    </row>
    <row r="22" spans="1:25">
      <c r="A22" s="512">
        <v>3022015</v>
      </c>
      <c r="B22" s="515">
        <v>2015</v>
      </c>
      <c r="C22" s="512" t="s">
        <v>1491</v>
      </c>
      <c r="D22" s="515"/>
      <c r="E22" s="515">
        <v>38</v>
      </c>
      <c r="F22" s="515">
        <v>31</v>
      </c>
      <c r="G22" s="515">
        <v>29</v>
      </c>
      <c r="H22" s="515">
        <v>59</v>
      </c>
      <c r="I22" s="515">
        <v>30</v>
      </c>
      <c r="J22" s="515">
        <v>30</v>
      </c>
      <c r="K22" s="515">
        <v>29</v>
      </c>
      <c r="L22" s="515">
        <v>30</v>
      </c>
      <c r="M22" s="515"/>
      <c r="N22" s="515"/>
      <c r="O22" s="515"/>
      <c r="P22" s="515"/>
      <c r="Q22" s="515"/>
      <c r="R22" s="515"/>
      <c r="S22" s="515"/>
      <c r="T22" s="515"/>
      <c r="U22" s="515">
        <v>276</v>
      </c>
      <c r="W22" s="512">
        <v>0</v>
      </c>
      <c r="X22" s="512" t="s">
        <v>1491</v>
      </c>
      <c r="Y22" s="512">
        <v>227</v>
      </c>
    </row>
    <row r="23" spans="1:25">
      <c r="A23" s="512">
        <v>3022016</v>
      </c>
      <c r="B23" s="515">
        <v>2016</v>
      </c>
      <c r="C23" s="512" t="s">
        <v>53</v>
      </c>
      <c r="D23" s="515"/>
      <c r="E23" s="515"/>
      <c r="F23" s="515">
        <v>30</v>
      </c>
      <c r="G23" s="515">
        <v>30</v>
      </c>
      <c r="H23" s="515">
        <v>30</v>
      </c>
      <c r="I23" s="515">
        <v>32</v>
      </c>
      <c r="J23" s="515">
        <v>31</v>
      </c>
      <c r="K23" s="515">
        <v>30</v>
      </c>
      <c r="L23" s="515">
        <v>30</v>
      </c>
      <c r="M23" s="515"/>
      <c r="N23" s="515"/>
      <c r="O23" s="515"/>
      <c r="P23" s="515"/>
      <c r="Q23" s="515"/>
      <c r="R23" s="515"/>
      <c r="S23" s="515"/>
      <c r="T23" s="515"/>
      <c r="U23" s="515">
        <v>213</v>
      </c>
      <c r="W23" s="512">
        <v>0</v>
      </c>
      <c r="X23" s="512" t="s">
        <v>53</v>
      </c>
      <c r="Y23" s="512">
        <v>214</v>
      </c>
    </row>
    <row r="24" spans="1:25">
      <c r="A24" s="512">
        <v>3022017</v>
      </c>
      <c r="B24" s="515">
        <v>2017</v>
      </c>
      <c r="C24" s="512" t="s">
        <v>340</v>
      </c>
      <c r="D24" s="515"/>
      <c r="E24" s="515"/>
      <c r="F24" s="515">
        <v>56</v>
      </c>
      <c r="G24" s="515">
        <v>60</v>
      </c>
      <c r="H24" s="515">
        <v>60</v>
      </c>
      <c r="I24" s="515">
        <v>58</v>
      </c>
      <c r="J24" s="515">
        <v>59</v>
      </c>
      <c r="K24" s="515">
        <v>59</v>
      </c>
      <c r="L24" s="515">
        <v>60</v>
      </c>
      <c r="M24" s="515"/>
      <c r="N24" s="515"/>
      <c r="O24" s="515"/>
      <c r="P24" s="515"/>
      <c r="Q24" s="515"/>
      <c r="R24" s="515"/>
      <c r="S24" s="515"/>
      <c r="T24" s="515"/>
      <c r="U24" s="515">
        <v>412</v>
      </c>
      <c r="W24" s="512">
        <v>0</v>
      </c>
      <c r="X24" s="512" t="s">
        <v>340</v>
      </c>
      <c r="Y24" s="512">
        <v>413</v>
      </c>
    </row>
    <row r="25" spans="1:25">
      <c r="A25" s="512">
        <v>3022018</v>
      </c>
      <c r="B25" s="515">
        <v>2018</v>
      </c>
      <c r="C25" s="512" t="s">
        <v>57</v>
      </c>
      <c r="D25" s="515"/>
      <c r="E25" s="515"/>
      <c r="F25" s="515"/>
      <c r="G25" s="515"/>
      <c r="H25" s="515"/>
      <c r="I25" s="515">
        <v>90</v>
      </c>
      <c r="J25" s="515">
        <v>89</v>
      </c>
      <c r="K25" s="515">
        <v>119</v>
      </c>
      <c r="L25" s="515">
        <v>89</v>
      </c>
      <c r="M25" s="515"/>
      <c r="N25" s="515"/>
      <c r="O25" s="515"/>
      <c r="P25" s="515"/>
      <c r="Q25" s="515"/>
      <c r="R25" s="515"/>
      <c r="S25" s="515"/>
      <c r="T25" s="515"/>
      <c r="U25" s="515">
        <v>387</v>
      </c>
      <c r="W25" s="512">
        <v>0</v>
      </c>
      <c r="X25" s="512" t="s">
        <v>57</v>
      </c>
      <c r="Y25" s="512">
        <v>382</v>
      </c>
    </row>
    <row r="26" spans="1:25">
      <c r="A26" s="512">
        <v>3022019</v>
      </c>
      <c r="B26" s="515">
        <v>2019</v>
      </c>
      <c r="C26" s="512" t="s">
        <v>56</v>
      </c>
      <c r="D26" s="515"/>
      <c r="E26" s="515">
        <v>60</v>
      </c>
      <c r="F26" s="515">
        <v>86</v>
      </c>
      <c r="G26" s="515">
        <v>88</v>
      </c>
      <c r="H26" s="515">
        <v>118</v>
      </c>
      <c r="I26" s="515"/>
      <c r="J26" s="515"/>
      <c r="K26" s="515"/>
      <c r="L26" s="515"/>
      <c r="M26" s="515"/>
      <c r="N26" s="515"/>
      <c r="O26" s="515"/>
      <c r="P26" s="515"/>
      <c r="Q26" s="515"/>
      <c r="R26" s="515"/>
      <c r="S26" s="515"/>
      <c r="T26" s="515"/>
      <c r="U26" s="515">
        <v>352</v>
      </c>
      <c r="W26" s="512">
        <v>0</v>
      </c>
      <c r="X26" s="512" t="s">
        <v>56</v>
      </c>
      <c r="Y26" s="512">
        <v>300</v>
      </c>
    </row>
    <row r="27" spans="1:25">
      <c r="A27" s="512">
        <v>3022020</v>
      </c>
      <c r="B27" s="515">
        <v>2020</v>
      </c>
      <c r="C27" s="512" t="s">
        <v>1492</v>
      </c>
      <c r="D27" s="515"/>
      <c r="E27" s="515"/>
      <c r="F27" s="515">
        <v>30</v>
      </c>
      <c r="G27" s="515">
        <v>30</v>
      </c>
      <c r="H27" s="515"/>
      <c r="I27" s="515"/>
      <c r="J27" s="515"/>
      <c r="K27" s="515"/>
      <c r="L27" s="515"/>
      <c r="M27" s="515"/>
      <c r="N27" s="515"/>
      <c r="O27" s="515"/>
      <c r="P27" s="515"/>
      <c r="Q27" s="515"/>
      <c r="R27" s="515"/>
      <c r="S27" s="515"/>
      <c r="T27" s="515"/>
      <c r="U27" s="515">
        <v>60</v>
      </c>
      <c r="W27" s="512">
        <v>0</v>
      </c>
      <c r="X27" s="512" t="s">
        <v>1492</v>
      </c>
      <c r="Y27" s="512">
        <v>0</v>
      </c>
    </row>
    <row r="28" spans="1:25">
      <c r="A28" s="512">
        <v>3022021</v>
      </c>
      <c r="B28" s="515">
        <v>2021</v>
      </c>
      <c r="C28" s="512" t="s">
        <v>58</v>
      </c>
      <c r="D28" s="515">
        <v>1</v>
      </c>
      <c r="E28" s="515">
        <v>41</v>
      </c>
      <c r="F28" s="515">
        <v>81</v>
      </c>
      <c r="G28" s="515">
        <v>87</v>
      </c>
      <c r="H28" s="515">
        <v>88</v>
      </c>
      <c r="I28" s="515"/>
      <c r="J28" s="515"/>
      <c r="K28" s="515"/>
      <c r="L28" s="515"/>
      <c r="M28" s="515"/>
      <c r="N28" s="515"/>
      <c r="O28" s="515"/>
      <c r="P28" s="515"/>
      <c r="Q28" s="515"/>
      <c r="R28" s="515"/>
      <c r="S28" s="515"/>
      <c r="T28" s="515"/>
      <c r="U28" s="515">
        <v>298</v>
      </c>
      <c r="W28" s="512">
        <v>0</v>
      </c>
      <c r="X28" s="512" t="s">
        <v>58</v>
      </c>
      <c r="Y28" s="512">
        <v>264.5</v>
      </c>
    </row>
    <row r="29" spans="1:25">
      <c r="A29" s="512">
        <v>3022023</v>
      </c>
      <c r="B29" s="515">
        <v>2023</v>
      </c>
      <c r="C29" s="512" t="s">
        <v>1586</v>
      </c>
      <c r="D29" s="515"/>
      <c r="E29" s="515">
        <v>70</v>
      </c>
      <c r="F29" s="515">
        <v>87</v>
      </c>
      <c r="G29" s="515">
        <v>81</v>
      </c>
      <c r="H29" s="515">
        <v>88</v>
      </c>
      <c r="I29" s="515">
        <v>71</v>
      </c>
      <c r="J29" s="515">
        <v>68</v>
      </c>
      <c r="K29" s="515">
        <v>87</v>
      </c>
      <c r="L29" s="515">
        <v>81</v>
      </c>
      <c r="M29" s="515"/>
      <c r="N29" s="515"/>
      <c r="O29" s="515"/>
      <c r="P29" s="515"/>
      <c r="Q29" s="515"/>
      <c r="R29" s="515"/>
      <c r="S29" s="515"/>
      <c r="T29" s="515"/>
      <c r="U29" s="515">
        <v>633</v>
      </c>
      <c r="W29" s="512">
        <v>0</v>
      </c>
      <c r="X29" s="512" t="s">
        <v>1586</v>
      </c>
      <c r="Y29" s="512">
        <v>263</v>
      </c>
    </row>
    <row r="30" spans="1:25">
      <c r="A30" s="512">
        <v>3022024</v>
      </c>
      <c r="B30" s="515">
        <v>2024</v>
      </c>
      <c r="C30" s="512" t="s">
        <v>1494</v>
      </c>
      <c r="D30" s="515"/>
      <c r="E30" s="515">
        <v>37</v>
      </c>
      <c r="F30" s="515">
        <v>31</v>
      </c>
      <c r="G30" s="515">
        <v>30</v>
      </c>
      <c r="H30" s="515">
        <v>59</v>
      </c>
      <c r="I30" s="515">
        <v>30</v>
      </c>
      <c r="J30" s="515">
        <v>30</v>
      </c>
      <c r="K30" s="515">
        <v>30</v>
      </c>
      <c r="L30" s="515">
        <v>29</v>
      </c>
      <c r="M30" s="515"/>
      <c r="N30" s="515"/>
      <c r="O30" s="515"/>
      <c r="P30" s="515"/>
      <c r="Q30" s="515"/>
      <c r="R30" s="515"/>
      <c r="S30" s="515"/>
      <c r="T30" s="515"/>
      <c r="U30" s="515">
        <v>276</v>
      </c>
      <c r="W30" s="512">
        <v>0</v>
      </c>
      <c r="X30" s="512" t="s">
        <v>1494</v>
      </c>
      <c r="Y30" s="512">
        <v>241</v>
      </c>
    </row>
    <row r="31" spans="1:25">
      <c r="A31" s="512">
        <v>3022025</v>
      </c>
      <c r="B31" s="515">
        <v>2025</v>
      </c>
      <c r="C31" s="512" t="s">
        <v>1495</v>
      </c>
      <c r="D31" s="515"/>
      <c r="E31" s="515"/>
      <c r="F31" s="515">
        <v>46</v>
      </c>
      <c r="G31" s="515">
        <v>46</v>
      </c>
      <c r="H31" s="515">
        <v>45</v>
      </c>
      <c r="I31" s="515">
        <v>45</v>
      </c>
      <c r="J31" s="515">
        <v>46</v>
      </c>
      <c r="K31" s="515">
        <v>45</v>
      </c>
      <c r="L31" s="515">
        <v>44</v>
      </c>
      <c r="M31" s="515"/>
      <c r="N31" s="515"/>
      <c r="O31" s="515"/>
      <c r="P31" s="515"/>
      <c r="Q31" s="515"/>
      <c r="R31" s="515"/>
      <c r="S31" s="515"/>
      <c r="T31" s="515"/>
      <c r="U31" s="515">
        <v>317</v>
      </c>
      <c r="W31" s="512">
        <v>0</v>
      </c>
      <c r="X31" s="512" t="s">
        <v>1495</v>
      </c>
      <c r="Y31" s="512">
        <v>316</v>
      </c>
    </row>
    <row r="32" spans="1:25">
      <c r="A32" s="512">
        <v>3022026</v>
      </c>
      <c r="B32" s="515">
        <v>2026</v>
      </c>
      <c r="C32" s="512" t="s">
        <v>64</v>
      </c>
      <c r="D32" s="515"/>
      <c r="E32" s="515">
        <v>40</v>
      </c>
      <c r="F32" s="515">
        <v>87</v>
      </c>
      <c r="G32" s="515">
        <v>87</v>
      </c>
      <c r="H32" s="515">
        <v>91</v>
      </c>
      <c r="I32" s="515">
        <v>89</v>
      </c>
      <c r="J32" s="515">
        <v>89</v>
      </c>
      <c r="K32" s="515">
        <v>89</v>
      </c>
      <c r="L32" s="515">
        <v>85</v>
      </c>
      <c r="M32" s="515"/>
      <c r="N32" s="515"/>
      <c r="O32" s="515"/>
      <c r="P32" s="515"/>
      <c r="Q32" s="515"/>
      <c r="R32" s="515"/>
      <c r="S32" s="515"/>
      <c r="T32" s="515"/>
      <c r="U32" s="515">
        <v>657</v>
      </c>
      <c r="W32" s="512">
        <v>0</v>
      </c>
      <c r="X32" s="512" t="s">
        <v>64</v>
      </c>
      <c r="Y32" s="512">
        <v>615</v>
      </c>
    </row>
    <row r="33" spans="1:25">
      <c r="A33" s="512">
        <v>3022027</v>
      </c>
      <c r="B33" s="515">
        <v>2027</v>
      </c>
      <c r="C33" s="512" t="s">
        <v>1496</v>
      </c>
      <c r="D33" s="515"/>
      <c r="E33" s="515"/>
      <c r="F33" s="515"/>
      <c r="G33" s="515"/>
      <c r="H33" s="515"/>
      <c r="I33" s="515">
        <v>87</v>
      </c>
      <c r="J33" s="515">
        <v>90</v>
      </c>
      <c r="K33" s="515">
        <v>90</v>
      </c>
      <c r="L33" s="565">
        <f>86+1</f>
        <v>87</v>
      </c>
      <c r="M33" s="565">
        <f>1-1</f>
        <v>0</v>
      </c>
      <c r="N33" s="515"/>
      <c r="O33" s="515"/>
      <c r="P33" s="515"/>
      <c r="Q33" s="515"/>
      <c r="R33" s="515"/>
      <c r="S33" s="515"/>
      <c r="T33" s="515"/>
      <c r="U33" s="515">
        <v>354</v>
      </c>
      <c r="W33" s="512">
        <v>-1</v>
      </c>
      <c r="X33" s="512" t="s">
        <v>1496</v>
      </c>
      <c r="Y33" s="512">
        <v>355</v>
      </c>
    </row>
    <row r="34" spans="1:25">
      <c r="A34" s="512">
        <v>3022028</v>
      </c>
      <c r="B34" s="515">
        <v>2028</v>
      </c>
      <c r="C34" s="512" t="s">
        <v>65</v>
      </c>
      <c r="D34" s="515"/>
      <c r="E34" s="515"/>
      <c r="F34" s="515">
        <v>79</v>
      </c>
      <c r="G34" s="515">
        <v>91</v>
      </c>
      <c r="H34" s="515">
        <v>88</v>
      </c>
      <c r="I34" s="515"/>
      <c r="J34" s="515"/>
      <c r="K34" s="515"/>
      <c r="L34" s="515"/>
      <c r="M34" s="515"/>
      <c r="N34" s="515"/>
      <c r="O34" s="515"/>
      <c r="P34" s="515"/>
      <c r="Q34" s="515"/>
      <c r="R34" s="515"/>
      <c r="S34" s="515"/>
      <c r="T34" s="515"/>
      <c r="U34" s="515">
        <v>258</v>
      </c>
      <c r="W34" s="512">
        <v>0</v>
      </c>
      <c r="X34" s="512" t="s">
        <v>65</v>
      </c>
      <c r="Y34" s="512">
        <v>270</v>
      </c>
    </row>
    <row r="35" spans="1:25">
      <c r="A35" s="512">
        <v>3022029</v>
      </c>
      <c r="B35" s="515">
        <v>2029</v>
      </c>
      <c r="C35" s="512" t="s">
        <v>344</v>
      </c>
      <c r="D35" s="515"/>
      <c r="E35" s="515">
        <v>44</v>
      </c>
      <c r="F35" s="515">
        <v>61</v>
      </c>
      <c r="G35" s="515">
        <v>60</v>
      </c>
      <c r="H35" s="515">
        <v>62</v>
      </c>
      <c r="I35" s="515">
        <v>60</v>
      </c>
      <c r="J35" s="515">
        <v>58</v>
      </c>
      <c r="K35" s="515">
        <v>59</v>
      </c>
      <c r="L35" s="515">
        <v>60</v>
      </c>
      <c r="M35" s="515"/>
      <c r="N35" s="515"/>
      <c r="O35" s="515"/>
      <c r="P35" s="515"/>
      <c r="Q35" s="515"/>
      <c r="R35" s="515"/>
      <c r="S35" s="515"/>
      <c r="T35" s="515"/>
      <c r="U35" s="515">
        <v>464</v>
      </c>
      <c r="W35" s="512">
        <v>0</v>
      </c>
      <c r="X35" s="512" t="s">
        <v>344</v>
      </c>
      <c r="Y35" s="512">
        <v>432</v>
      </c>
    </row>
    <row r="36" spans="1:25">
      <c r="A36" s="512">
        <v>3022030</v>
      </c>
      <c r="B36" s="515">
        <v>2030</v>
      </c>
      <c r="C36" s="512" t="s">
        <v>1497</v>
      </c>
      <c r="D36" s="515"/>
      <c r="E36" s="515"/>
      <c r="F36" s="515">
        <v>28</v>
      </c>
      <c r="G36" s="515">
        <v>54</v>
      </c>
      <c r="H36" s="515">
        <v>27</v>
      </c>
      <c r="I36" s="515"/>
      <c r="J36" s="515"/>
      <c r="K36" s="515"/>
      <c r="L36" s="515"/>
      <c r="M36" s="515"/>
      <c r="N36" s="515"/>
      <c r="O36" s="515"/>
      <c r="P36" s="515"/>
      <c r="Q36" s="515"/>
      <c r="R36" s="515"/>
      <c r="S36" s="515"/>
      <c r="T36" s="515"/>
      <c r="U36" s="515">
        <v>109</v>
      </c>
      <c r="W36" s="512">
        <v>0</v>
      </c>
      <c r="X36" s="512" t="s">
        <v>1497</v>
      </c>
      <c r="Y36" s="512">
        <v>113</v>
      </c>
    </row>
    <row r="37" spans="1:25">
      <c r="A37" s="512">
        <v>3022031</v>
      </c>
      <c r="B37" s="515">
        <v>2031</v>
      </c>
      <c r="C37" s="512" t="s">
        <v>1498</v>
      </c>
      <c r="D37" s="515">
        <v>37</v>
      </c>
      <c r="E37" s="515"/>
      <c r="F37" s="515">
        <v>30</v>
      </c>
      <c r="G37" s="515">
        <v>30</v>
      </c>
      <c r="H37" s="515">
        <v>29</v>
      </c>
      <c r="I37" s="515">
        <v>30</v>
      </c>
      <c r="J37" s="515">
        <v>30</v>
      </c>
      <c r="K37" s="515">
        <v>27</v>
      </c>
      <c r="L37" s="515">
        <v>27</v>
      </c>
      <c r="M37" s="515"/>
      <c r="N37" s="515"/>
      <c r="O37" s="515"/>
      <c r="P37" s="515"/>
      <c r="Q37" s="515"/>
      <c r="R37" s="515"/>
      <c r="S37" s="515"/>
      <c r="T37" s="515"/>
      <c r="U37" s="515">
        <v>240</v>
      </c>
      <c r="W37" s="512">
        <v>0</v>
      </c>
      <c r="X37" s="512" t="s">
        <v>1498</v>
      </c>
      <c r="Y37" s="512">
        <v>197</v>
      </c>
    </row>
    <row r="38" spans="1:25">
      <c r="A38" s="512">
        <v>3022032</v>
      </c>
      <c r="B38" s="515">
        <v>2032</v>
      </c>
      <c r="C38" s="512" t="s">
        <v>71</v>
      </c>
      <c r="D38" s="515"/>
      <c r="E38" s="515">
        <v>55</v>
      </c>
      <c r="F38" s="515">
        <v>61</v>
      </c>
      <c r="G38" s="515">
        <v>60</v>
      </c>
      <c r="H38" s="515">
        <v>90</v>
      </c>
      <c r="I38" s="515">
        <v>60</v>
      </c>
      <c r="J38" s="515">
        <v>89</v>
      </c>
      <c r="K38" s="515">
        <v>60</v>
      </c>
      <c r="L38" s="515">
        <v>58</v>
      </c>
      <c r="M38" s="515"/>
      <c r="N38" s="515"/>
      <c r="O38" s="515"/>
      <c r="P38" s="515"/>
      <c r="Q38" s="515"/>
      <c r="R38" s="515"/>
      <c r="S38" s="515"/>
      <c r="T38" s="515"/>
      <c r="U38" s="515">
        <v>533</v>
      </c>
      <c r="W38" s="512">
        <v>0</v>
      </c>
      <c r="X38" s="512" t="s">
        <v>71</v>
      </c>
      <c r="Y38" s="512">
        <v>479</v>
      </c>
    </row>
    <row r="39" spans="1:25">
      <c r="A39" s="512">
        <v>3022036</v>
      </c>
      <c r="B39" s="515">
        <v>2036</v>
      </c>
      <c r="C39" s="512" t="s">
        <v>74</v>
      </c>
      <c r="D39" s="515">
        <v>8</v>
      </c>
      <c r="E39" s="515">
        <v>23</v>
      </c>
      <c r="F39" s="515">
        <v>50</v>
      </c>
      <c r="G39" s="515">
        <v>57</v>
      </c>
      <c r="H39" s="515">
        <v>31</v>
      </c>
      <c r="I39" s="515">
        <v>28</v>
      </c>
      <c r="J39" s="515">
        <v>30</v>
      </c>
      <c r="K39" s="515">
        <v>28</v>
      </c>
      <c r="L39" s="515">
        <v>24</v>
      </c>
      <c r="M39" s="515"/>
      <c r="N39" s="515"/>
      <c r="O39" s="515"/>
      <c r="P39" s="515"/>
      <c r="Q39" s="515"/>
      <c r="R39" s="515"/>
      <c r="S39" s="515"/>
      <c r="T39" s="515"/>
      <c r="U39" s="515">
        <v>279</v>
      </c>
      <c r="W39" s="512">
        <v>0</v>
      </c>
      <c r="X39" s="512" t="s">
        <v>74</v>
      </c>
      <c r="Y39" s="512">
        <v>203</v>
      </c>
    </row>
    <row r="40" spans="1:25">
      <c r="A40" s="512">
        <v>3022037</v>
      </c>
      <c r="B40" s="515">
        <v>2037</v>
      </c>
      <c r="C40" s="512" t="s">
        <v>349</v>
      </c>
      <c r="D40" s="515"/>
      <c r="E40" s="515">
        <v>42</v>
      </c>
      <c r="F40" s="515">
        <v>58</v>
      </c>
      <c r="G40" s="515">
        <v>31</v>
      </c>
      <c r="H40" s="515">
        <v>30</v>
      </c>
      <c r="I40" s="515">
        <v>60</v>
      </c>
      <c r="J40" s="515">
        <v>30</v>
      </c>
      <c r="K40" s="515">
        <v>30</v>
      </c>
      <c r="L40" s="515">
        <v>30</v>
      </c>
      <c r="M40" s="515"/>
      <c r="N40" s="515"/>
      <c r="O40" s="515"/>
      <c r="P40" s="515"/>
      <c r="Q40" s="515"/>
      <c r="R40" s="515"/>
      <c r="S40" s="515"/>
      <c r="T40" s="515"/>
      <c r="U40" s="515">
        <v>311</v>
      </c>
      <c r="W40" s="512">
        <v>0</v>
      </c>
      <c r="X40" s="512" t="s">
        <v>349</v>
      </c>
      <c r="Y40" s="512">
        <v>243</v>
      </c>
    </row>
    <row r="41" spans="1:25">
      <c r="A41" s="512">
        <v>3022038</v>
      </c>
      <c r="B41" s="515">
        <v>2038</v>
      </c>
      <c r="C41" s="512" t="s">
        <v>357</v>
      </c>
      <c r="D41" s="515"/>
      <c r="E41" s="515">
        <v>37</v>
      </c>
      <c r="F41" s="515">
        <v>50</v>
      </c>
      <c r="G41" s="515">
        <v>55</v>
      </c>
      <c r="H41" s="515">
        <v>58</v>
      </c>
      <c r="I41" s="515">
        <v>60</v>
      </c>
      <c r="J41" s="515">
        <v>52</v>
      </c>
      <c r="K41" s="515">
        <v>59</v>
      </c>
      <c r="L41" s="515">
        <v>53</v>
      </c>
      <c r="M41" s="515"/>
      <c r="N41" s="515"/>
      <c r="O41" s="515"/>
      <c r="P41" s="515"/>
      <c r="Q41" s="515"/>
      <c r="R41" s="515"/>
      <c r="S41" s="515"/>
      <c r="T41" s="515"/>
      <c r="U41" s="515">
        <v>424</v>
      </c>
      <c r="W41" s="512">
        <v>0</v>
      </c>
      <c r="X41" s="512" t="s">
        <v>357</v>
      </c>
      <c r="Y41" s="512">
        <v>397</v>
      </c>
    </row>
    <row r="42" spans="1:25">
      <c r="A42" s="512">
        <v>3022041</v>
      </c>
      <c r="B42" s="515">
        <v>2041</v>
      </c>
      <c r="C42" s="512" t="s">
        <v>1499</v>
      </c>
      <c r="D42" s="515"/>
      <c r="E42" s="515"/>
      <c r="F42" s="515">
        <v>30</v>
      </c>
      <c r="G42" s="515">
        <v>30</v>
      </c>
      <c r="H42" s="515">
        <v>30</v>
      </c>
      <c r="I42" s="515">
        <v>28</v>
      </c>
      <c r="J42" s="515">
        <v>24</v>
      </c>
      <c r="K42" s="515">
        <v>23</v>
      </c>
      <c r="L42" s="515">
        <v>9</v>
      </c>
      <c r="M42" s="515"/>
      <c r="N42" s="515"/>
      <c r="O42" s="515"/>
      <c r="P42" s="515"/>
      <c r="Q42" s="515"/>
      <c r="R42" s="515"/>
      <c r="S42" s="515"/>
      <c r="T42" s="515"/>
      <c r="U42" s="515">
        <v>174</v>
      </c>
      <c r="W42" s="512">
        <v>0</v>
      </c>
      <c r="X42" s="512" t="s">
        <v>1499</v>
      </c>
      <c r="Y42" s="512">
        <v>146</v>
      </c>
    </row>
    <row r="43" spans="1:25">
      <c r="A43" s="512">
        <v>3022042</v>
      </c>
      <c r="B43" s="515">
        <v>2042</v>
      </c>
      <c r="C43" s="512" t="s">
        <v>81</v>
      </c>
      <c r="D43" s="515"/>
      <c r="E43" s="515"/>
      <c r="F43" s="515">
        <v>58</v>
      </c>
      <c r="G43" s="515">
        <v>31</v>
      </c>
      <c r="H43" s="515">
        <v>31</v>
      </c>
      <c r="I43" s="515">
        <v>30</v>
      </c>
      <c r="J43" s="515">
        <v>59</v>
      </c>
      <c r="K43" s="515">
        <v>31</v>
      </c>
      <c r="L43" s="515">
        <v>29</v>
      </c>
      <c r="M43" s="515"/>
      <c r="N43" s="515"/>
      <c r="O43" s="515"/>
      <c r="P43" s="515"/>
      <c r="Q43" s="515"/>
      <c r="R43" s="515"/>
      <c r="S43" s="515"/>
      <c r="T43" s="515"/>
      <c r="U43" s="515">
        <v>269</v>
      </c>
      <c r="W43" s="512">
        <v>0</v>
      </c>
      <c r="X43" s="512" t="s">
        <v>81</v>
      </c>
      <c r="Y43" s="512">
        <v>244</v>
      </c>
    </row>
    <row r="44" spans="1:25">
      <c r="A44" s="512">
        <v>3022043</v>
      </c>
      <c r="B44" s="515">
        <v>2043</v>
      </c>
      <c r="C44" s="512" t="s">
        <v>83</v>
      </c>
      <c r="D44" s="515"/>
      <c r="E44" s="515"/>
      <c r="F44" s="515"/>
      <c r="G44" s="515"/>
      <c r="H44" s="515"/>
      <c r="I44" s="515">
        <v>89</v>
      </c>
      <c r="J44" s="515">
        <v>86</v>
      </c>
      <c r="K44" s="515">
        <v>119</v>
      </c>
      <c r="L44" s="515">
        <v>87</v>
      </c>
      <c r="M44" s="515"/>
      <c r="N44" s="515"/>
      <c r="O44" s="515"/>
      <c r="P44" s="515"/>
      <c r="Q44" s="515"/>
      <c r="R44" s="515"/>
      <c r="S44" s="515"/>
      <c r="T44" s="515"/>
      <c r="U44" s="515">
        <v>381</v>
      </c>
      <c r="W44" s="512">
        <v>0</v>
      </c>
      <c r="X44" s="512" t="s">
        <v>83</v>
      </c>
      <c r="Y44" s="512">
        <v>386</v>
      </c>
    </row>
    <row r="45" spans="1:25">
      <c r="A45" s="512">
        <v>3022044</v>
      </c>
      <c r="B45" s="515">
        <v>2044</v>
      </c>
      <c r="C45" s="512" t="s">
        <v>82</v>
      </c>
      <c r="D45" s="515"/>
      <c r="E45" s="515"/>
      <c r="F45" s="515">
        <v>119</v>
      </c>
      <c r="G45" s="515">
        <v>121</v>
      </c>
      <c r="H45" s="515">
        <v>119</v>
      </c>
      <c r="I45" s="515"/>
      <c r="J45" s="515"/>
      <c r="K45" s="515"/>
      <c r="L45" s="515"/>
      <c r="M45" s="515"/>
      <c r="N45" s="515"/>
      <c r="O45" s="515"/>
      <c r="P45" s="515"/>
      <c r="Q45" s="515"/>
      <c r="R45" s="515"/>
      <c r="S45" s="515"/>
      <c r="T45" s="515"/>
      <c r="U45" s="515">
        <v>359</v>
      </c>
      <c r="W45" s="512">
        <v>0</v>
      </c>
      <c r="X45" s="512" t="s">
        <v>82</v>
      </c>
      <c r="Y45" s="512">
        <v>329</v>
      </c>
    </row>
    <row r="46" spans="1:25">
      <c r="A46" s="512">
        <v>3022045</v>
      </c>
      <c r="B46" s="515">
        <v>2045</v>
      </c>
      <c r="C46" s="512" t="s">
        <v>84</v>
      </c>
      <c r="D46" s="515"/>
      <c r="E46" s="515">
        <v>46</v>
      </c>
      <c r="F46" s="515">
        <v>30</v>
      </c>
      <c r="G46" s="515">
        <v>58</v>
      </c>
      <c r="H46" s="515">
        <v>30</v>
      </c>
      <c r="I46" s="515">
        <v>29</v>
      </c>
      <c r="J46" s="515">
        <v>30</v>
      </c>
      <c r="K46" s="515">
        <v>28</v>
      </c>
      <c r="L46" s="515">
        <v>31</v>
      </c>
      <c r="M46" s="515"/>
      <c r="N46" s="515"/>
      <c r="O46" s="515"/>
      <c r="P46" s="515"/>
      <c r="Q46" s="515"/>
      <c r="R46" s="515"/>
      <c r="S46" s="515"/>
      <c r="T46" s="515"/>
      <c r="U46" s="515">
        <v>282</v>
      </c>
      <c r="W46" s="512">
        <v>0</v>
      </c>
      <c r="X46" s="512" t="s">
        <v>84</v>
      </c>
      <c r="Y46" s="512">
        <v>240</v>
      </c>
    </row>
    <row r="47" spans="1:25">
      <c r="A47" s="512">
        <v>3022047</v>
      </c>
      <c r="B47" s="515">
        <v>2047</v>
      </c>
      <c r="C47" s="512" t="s">
        <v>373</v>
      </c>
      <c r="D47" s="515">
        <v>17</v>
      </c>
      <c r="E47" s="515">
        <v>61</v>
      </c>
      <c r="F47" s="515">
        <v>61</v>
      </c>
      <c r="G47" s="515">
        <v>61</v>
      </c>
      <c r="H47" s="515">
        <v>62</v>
      </c>
      <c r="I47" s="515">
        <v>56</v>
      </c>
      <c r="J47" s="515">
        <v>61</v>
      </c>
      <c r="K47" s="515">
        <v>61</v>
      </c>
      <c r="L47" s="515">
        <v>61</v>
      </c>
      <c r="M47" s="515"/>
      <c r="N47" s="515"/>
      <c r="O47" s="515"/>
      <c r="P47" s="515"/>
      <c r="Q47" s="515"/>
      <c r="R47" s="515"/>
      <c r="S47" s="515"/>
      <c r="T47" s="515"/>
      <c r="U47" s="515">
        <v>501</v>
      </c>
      <c r="W47" s="512">
        <v>0</v>
      </c>
      <c r="X47" s="512" t="s">
        <v>373</v>
      </c>
      <c r="Y47" s="512">
        <v>389</v>
      </c>
    </row>
    <row r="48" spans="1:25">
      <c r="A48" s="512">
        <v>3022048</v>
      </c>
      <c r="B48" s="515">
        <v>2048</v>
      </c>
      <c r="C48" s="512" t="s">
        <v>1589</v>
      </c>
      <c r="D48" s="515"/>
      <c r="E48" s="515"/>
      <c r="F48" s="515">
        <v>49</v>
      </c>
      <c r="G48" s="515"/>
      <c r="H48" s="515"/>
      <c r="I48" s="515"/>
      <c r="J48" s="515"/>
      <c r="K48" s="515"/>
      <c r="L48" s="515"/>
      <c r="M48" s="515"/>
      <c r="N48" s="515"/>
      <c r="O48" s="515"/>
      <c r="P48" s="515"/>
      <c r="Q48" s="515"/>
      <c r="R48" s="515"/>
      <c r="S48" s="515"/>
      <c r="T48" s="515"/>
      <c r="U48" s="515">
        <v>49</v>
      </c>
      <c r="W48" s="512">
        <v>0</v>
      </c>
      <c r="X48" s="512" t="s">
        <v>1589</v>
      </c>
      <c r="Y48" s="512">
        <v>0</v>
      </c>
    </row>
    <row r="49" spans="1:25">
      <c r="A49" s="512">
        <v>3022052</v>
      </c>
      <c r="B49" s="515">
        <v>2052</v>
      </c>
      <c r="C49" s="512" t="s">
        <v>369</v>
      </c>
      <c r="D49" s="515"/>
      <c r="E49" s="515">
        <v>24</v>
      </c>
      <c r="F49" s="515">
        <v>60</v>
      </c>
      <c r="G49" s="515">
        <v>82</v>
      </c>
      <c r="H49" s="515">
        <v>88</v>
      </c>
      <c r="I49" s="515">
        <v>57</v>
      </c>
      <c r="J49" s="515">
        <v>59</v>
      </c>
      <c r="K49" s="515">
        <v>60</v>
      </c>
      <c r="L49" s="515">
        <v>52</v>
      </c>
      <c r="M49" s="515"/>
      <c r="N49" s="515"/>
      <c r="O49" s="515"/>
      <c r="P49" s="515"/>
      <c r="Q49" s="515"/>
      <c r="R49" s="515"/>
      <c r="S49" s="515"/>
      <c r="T49" s="515"/>
      <c r="U49" s="515">
        <v>482</v>
      </c>
      <c r="W49" s="512">
        <v>0</v>
      </c>
      <c r="X49" s="512" t="s">
        <v>369</v>
      </c>
      <c r="Y49" s="512">
        <v>420</v>
      </c>
    </row>
    <row r="50" spans="1:25">
      <c r="A50" s="512">
        <v>3022054</v>
      </c>
      <c r="B50" s="515">
        <v>2054</v>
      </c>
      <c r="C50" s="512" t="s">
        <v>1500</v>
      </c>
      <c r="D50" s="515"/>
      <c r="E50" s="515"/>
      <c r="F50" s="515">
        <v>30</v>
      </c>
      <c r="G50" s="515">
        <v>30</v>
      </c>
      <c r="H50" s="515">
        <v>30</v>
      </c>
      <c r="I50" s="515">
        <v>61</v>
      </c>
      <c r="J50" s="515">
        <v>30</v>
      </c>
      <c r="K50" s="515">
        <v>30</v>
      </c>
      <c r="L50" s="515">
        <v>29</v>
      </c>
      <c r="M50" s="515"/>
      <c r="N50" s="515"/>
      <c r="O50" s="515"/>
      <c r="P50" s="515"/>
      <c r="Q50" s="515"/>
      <c r="R50" s="515"/>
      <c r="S50" s="515"/>
      <c r="T50" s="515"/>
      <c r="U50" s="515">
        <v>240</v>
      </c>
      <c r="W50" s="512">
        <v>0</v>
      </c>
      <c r="X50" s="512" t="s">
        <v>1500</v>
      </c>
      <c r="Y50" s="512">
        <v>241</v>
      </c>
    </row>
    <row r="51" spans="1:25">
      <c r="A51" s="512">
        <v>3022055</v>
      </c>
      <c r="B51" s="515">
        <v>2055</v>
      </c>
      <c r="C51" s="512" t="s">
        <v>111</v>
      </c>
      <c r="D51" s="515"/>
      <c r="E51" s="515">
        <v>26</v>
      </c>
      <c r="F51" s="515">
        <v>24</v>
      </c>
      <c r="G51" s="515">
        <v>30</v>
      </c>
      <c r="H51" s="515">
        <v>29</v>
      </c>
      <c r="I51" s="515">
        <v>30</v>
      </c>
      <c r="J51" s="515">
        <v>45</v>
      </c>
      <c r="K51" s="515">
        <v>30</v>
      </c>
      <c r="L51" s="515">
        <v>24</v>
      </c>
      <c r="M51" s="515"/>
      <c r="N51" s="515"/>
      <c r="O51" s="515"/>
      <c r="P51" s="515"/>
      <c r="Q51" s="515"/>
      <c r="R51" s="515"/>
      <c r="S51" s="515"/>
      <c r="T51" s="515"/>
      <c r="U51" s="515">
        <v>238</v>
      </c>
      <c r="W51" s="512">
        <v>0</v>
      </c>
      <c r="X51" s="512" t="s">
        <v>111</v>
      </c>
      <c r="Y51" s="512">
        <v>209</v>
      </c>
    </row>
    <row r="52" spans="1:25">
      <c r="A52" s="512">
        <v>3022057</v>
      </c>
      <c r="B52" s="515">
        <v>2057</v>
      </c>
      <c r="C52" s="512" t="s">
        <v>1590</v>
      </c>
      <c r="D52" s="515">
        <v>29</v>
      </c>
      <c r="E52" s="515">
        <v>5</v>
      </c>
      <c r="F52" s="515">
        <v>57</v>
      </c>
      <c r="G52" s="515">
        <v>59</v>
      </c>
      <c r="H52" s="515">
        <v>81</v>
      </c>
      <c r="I52" s="515">
        <v>68</v>
      </c>
      <c r="J52" s="515">
        <v>75</v>
      </c>
      <c r="K52" s="515">
        <v>68</v>
      </c>
      <c r="L52" s="515">
        <v>60</v>
      </c>
      <c r="M52" s="515"/>
      <c r="N52" s="515"/>
      <c r="O52" s="515"/>
      <c r="P52" s="515"/>
      <c r="Q52" s="515"/>
      <c r="R52" s="515"/>
      <c r="S52" s="515"/>
      <c r="T52" s="515"/>
      <c r="U52" s="515">
        <v>502</v>
      </c>
      <c r="W52" s="512">
        <v>0</v>
      </c>
      <c r="X52" s="512" t="s">
        <v>1590</v>
      </c>
      <c r="Y52" s="512">
        <v>206</v>
      </c>
    </row>
    <row r="53" spans="1:25">
      <c r="A53" s="512">
        <v>3022060</v>
      </c>
      <c r="B53" s="515">
        <v>2060</v>
      </c>
      <c r="C53" s="512" t="s">
        <v>1502</v>
      </c>
      <c r="D53" s="515"/>
      <c r="E53" s="515">
        <v>50</v>
      </c>
      <c r="F53" s="515">
        <v>61</v>
      </c>
      <c r="G53" s="515">
        <v>59</v>
      </c>
      <c r="H53" s="515">
        <v>60</v>
      </c>
      <c r="I53" s="515">
        <v>60</v>
      </c>
      <c r="J53" s="515">
        <v>59</v>
      </c>
      <c r="K53" s="515">
        <v>59</v>
      </c>
      <c r="L53" s="515">
        <v>59</v>
      </c>
      <c r="M53" s="515"/>
      <c r="N53" s="515"/>
      <c r="O53" s="515"/>
      <c r="P53" s="515"/>
      <c r="Q53" s="515"/>
      <c r="R53" s="515"/>
      <c r="S53" s="515"/>
      <c r="T53" s="515"/>
      <c r="U53" s="515">
        <v>467</v>
      </c>
      <c r="W53" s="512">
        <v>0</v>
      </c>
      <c r="X53" s="512" t="s">
        <v>1502</v>
      </c>
      <c r="Y53" s="512">
        <v>410</v>
      </c>
    </row>
    <row r="54" spans="1:25">
      <c r="A54" s="512">
        <v>3022067</v>
      </c>
      <c r="B54" s="515">
        <v>2067</v>
      </c>
      <c r="C54" s="512" t="s">
        <v>335</v>
      </c>
      <c r="D54" s="515"/>
      <c r="E54" s="515"/>
      <c r="F54" s="515">
        <v>40</v>
      </c>
      <c r="G54" s="515">
        <v>30</v>
      </c>
      <c r="H54" s="515">
        <v>30</v>
      </c>
      <c r="I54" s="515">
        <v>29</v>
      </c>
      <c r="J54" s="515">
        <v>29</v>
      </c>
      <c r="K54" s="515">
        <v>31</v>
      </c>
      <c r="L54" s="515">
        <v>30</v>
      </c>
      <c r="M54" s="515"/>
      <c r="N54" s="515"/>
      <c r="O54" s="515"/>
      <c r="P54" s="515"/>
      <c r="Q54" s="515"/>
      <c r="R54" s="515"/>
      <c r="S54" s="515"/>
      <c r="T54" s="515"/>
      <c r="U54" s="515">
        <v>219</v>
      </c>
      <c r="W54" s="512">
        <v>0</v>
      </c>
      <c r="X54" s="512" t="s">
        <v>335</v>
      </c>
      <c r="Y54" s="512">
        <v>206</v>
      </c>
    </row>
    <row r="55" spans="1:25">
      <c r="A55" s="512">
        <v>3022070</v>
      </c>
      <c r="B55" s="515">
        <v>2070</v>
      </c>
      <c r="C55" s="512" t="s">
        <v>370</v>
      </c>
      <c r="D55" s="515">
        <v>39</v>
      </c>
      <c r="E55" s="515">
        <v>6</v>
      </c>
      <c r="F55" s="515">
        <v>31</v>
      </c>
      <c r="G55" s="515">
        <v>31</v>
      </c>
      <c r="H55" s="515">
        <v>29</v>
      </c>
      <c r="I55" s="515">
        <v>29</v>
      </c>
      <c r="J55" s="515">
        <v>29</v>
      </c>
      <c r="K55" s="515">
        <v>30</v>
      </c>
      <c r="L55" s="515">
        <v>30</v>
      </c>
      <c r="M55" s="515"/>
      <c r="N55" s="515"/>
      <c r="O55" s="515"/>
      <c r="P55" s="515"/>
      <c r="Q55" s="515"/>
      <c r="R55" s="515"/>
      <c r="S55" s="515"/>
      <c r="T55" s="515"/>
      <c r="U55" s="515">
        <v>254</v>
      </c>
      <c r="W55" s="512">
        <v>0</v>
      </c>
      <c r="X55" s="512" t="s">
        <v>370</v>
      </c>
      <c r="Y55" s="512">
        <v>205</v>
      </c>
    </row>
    <row r="56" spans="1:25">
      <c r="A56" s="512">
        <v>3022071</v>
      </c>
      <c r="B56" s="515">
        <v>2071</v>
      </c>
      <c r="C56" s="512" t="s">
        <v>1503</v>
      </c>
      <c r="D56" s="515"/>
      <c r="E56" s="515">
        <v>60</v>
      </c>
      <c r="F56" s="515">
        <v>91</v>
      </c>
      <c r="G56" s="515">
        <v>87</v>
      </c>
      <c r="H56" s="515">
        <v>109</v>
      </c>
      <c r="I56" s="515"/>
      <c r="J56" s="515"/>
      <c r="K56" s="515"/>
      <c r="L56" s="515"/>
      <c r="M56" s="515"/>
      <c r="N56" s="515"/>
      <c r="O56" s="515"/>
      <c r="P56" s="515"/>
      <c r="Q56" s="515"/>
      <c r="R56" s="515"/>
      <c r="S56" s="515"/>
      <c r="T56" s="515"/>
      <c r="U56" s="515">
        <v>347</v>
      </c>
      <c r="W56" s="512">
        <v>0</v>
      </c>
      <c r="X56" s="512" t="s">
        <v>1503</v>
      </c>
      <c r="Y56" s="512">
        <v>290</v>
      </c>
    </row>
    <row r="57" spans="1:25">
      <c r="A57" s="512">
        <v>3022072</v>
      </c>
      <c r="B57" s="515">
        <v>2072</v>
      </c>
      <c r="C57" s="512" t="s">
        <v>91</v>
      </c>
      <c r="D57" s="515"/>
      <c r="E57" s="515"/>
      <c r="F57" s="515"/>
      <c r="G57" s="515"/>
      <c r="H57" s="515"/>
      <c r="I57" s="515">
        <v>86</v>
      </c>
      <c r="J57" s="515">
        <v>83</v>
      </c>
      <c r="K57" s="515">
        <v>80</v>
      </c>
      <c r="L57" s="515">
        <v>85</v>
      </c>
      <c r="M57" s="515"/>
      <c r="N57" s="515"/>
      <c r="O57" s="515"/>
      <c r="P57" s="515"/>
      <c r="Q57" s="515"/>
      <c r="R57" s="515"/>
      <c r="S57" s="515"/>
      <c r="T57" s="515"/>
      <c r="U57" s="515">
        <v>334</v>
      </c>
      <c r="W57" s="512">
        <v>0</v>
      </c>
      <c r="X57" s="512" t="s">
        <v>91</v>
      </c>
      <c r="Y57" s="512">
        <v>316</v>
      </c>
    </row>
    <row r="58" spans="1:25">
      <c r="A58" s="512">
        <v>3022073</v>
      </c>
      <c r="B58" s="515">
        <v>2073</v>
      </c>
      <c r="C58" s="512" t="s">
        <v>1504</v>
      </c>
      <c r="D58" s="515"/>
      <c r="E58" s="515"/>
      <c r="F58" s="515">
        <v>89</v>
      </c>
      <c r="G58" s="515">
        <v>91</v>
      </c>
      <c r="H58" s="515">
        <v>90</v>
      </c>
      <c r="I58" s="515">
        <v>112</v>
      </c>
      <c r="J58" s="515">
        <v>90</v>
      </c>
      <c r="K58" s="515">
        <v>90</v>
      </c>
      <c r="L58" s="515">
        <v>90</v>
      </c>
      <c r="M58" s="515"/>
      <c r="N58" s="515"/>
      <c r="O58" s="515"/>
      <c r="P58" s="515"/>
      <c r="Q58" s="515"/>
      <c r="R58" s="515"/>
      <c r="S58" s="515"/>
      <c r="T58" s="515"/>
      <c r="U58" s="515">
        <v>652</v>
      </c>
      <c r="W58" s="512">
        <v>0</v>
      </c>
      <c r="X58" s="512" t="s">
        <v>1504</v>
      </c>
      <c r="Y58" s="512">
        <v>654</v>
      </c>
    </row>
    <row r="59" spans="1:25">
      <c r="A59" s="512">
        <v>3022076</v>
      </c>
      <c r="B59" s="515">
        <v>2076</v>
      </c>
      <c r="C59" s="512" t="s">
        <v>1505</v>
      </c>
      <c r="D59" s="515">
        <v>1</v>
      </c>
      <c r="E59" s="515">
        <v>46</v>
      </c>
      <c r="F59" s="515">
        <v>59</v>
      </c>
      <c r="G59" s="515">
        <v>59</v>
      </c>
      <c r="H59" s="515">
        <v>61</v>
      </c>
      <c r="I59" s="515">
        <v>59</v>
      </c>
      <c r="J59" s="515">
        <v>59</v>
      </c>
      <c r="K59" s="515">
        <v>78</v>
      </c>
      <c r="L59" s="515">
        <v>58</v>
      </c>
      <c r="M59" s="515"/>
      <c r="N59" s="515"/>
      <c r="O59" s="515"/>
      <c r="P59" s="515"/>
      <c r="Q59" s="515"/>
      <c r="R59" s="515"/>
      <c r="S59" s="515"/>
      <c r="T59" s="515"/>
      <c r="U59" s="515">
        <v>480</v>
      </c>
      <c r="W59" s="512">
        <v>0</v>
      </c>
      <c r="X59" s="512" t="s">
        <v>1505</v>
      </c>
      <c r="Y59" s="512">
        <v>433</v>
      </c>
    </row>
    <row r="60" spans="1:25">
      <c r="A60" s="512">
        <v>3022077</v>
      </c>
      <c r="B60" s="515">
        <v>2077</v>
      </c>
      <c r="C60" s="512" t="s">
        <v>374</v>
      </c>
      <c r="D60" s="515"/>
      <c r="E60" s="515">
        <v>76</v>
      </c>
      <c r="F60" s="515">
        <v>137</v>
      </c>
      <c r="G60" s="515">
        <v>114</v>
      </c>
      <c r="H60" s="515">
        <v>91</v>
      </c>
      <c r="I60" s="515">
        <v>84</v>
      </c>
      <c r="J60" s="515">
        <v>83</v>
      </c>
      <c r="K60" s="515">
        <v>62</v>
      </c>
      <c r="L60" s="515">
        <v>60</v>
      </c>
      <c r="M60" s="515"/>
      <c r="N60" s="515"/>
      <c r="O60" s="515"/>
      <c r="P60" s="515"/>
      <c r="Q60" s="515"/>
      <c r="R60" s="515"/>
      <c r="S60" s="515"/>
      <c r="T60" s="515"/>
      <c r="U60" s="515">
        <v>707</v>
      </c>
      <c r="W60" s="512">
        <v>0</v>
      </c>
      <c r="X60" s="512" t="s">
        <v>374</v>
      </c>
      <c r="Y60" s="512">
        <v>506</v>
      </c>
    </row>
    <row r="61" spans="1:25">
      <c r="A61" s="512">
        <v>3022078</v>
      </c>
      <c r="B61" s="515">
        <v>2078</v>
      </c>
      <c r="C61" s="512" t="s">
        <v>88</v>
      </c>
      <c r="D61" s="515"/>
      <c r="E61" s="515"/>
      <c r="F61" s="515">
        <v>38</v>
      </c>
      <c r="G61" s="515">
        <v>49</v>
      </c>
      <c r="H61" s="515">
        <v>33</v>
      </c>
      <c r="I61" s="515">
        <v>34</v>
      </c>
      <c r="J61" s="515">
        <v>27</v>
      </c>
      <c r="K61" s="515">
        <v>33</v>
      </c>
      <c r="L61" s="515">
        <v>23</v>
      </c>
      <c r="M61" s="515"/>
      <c r="N61" s="515"/>
      <c r="O61" s="515"/>
      <c r="P61" s="515"/>
      <c r="Q61" s="515"/>
      <c r="R61" s="515"/>
      <c r="S61" s="515"/>
      <c r="T61" s="515"/>
      <c r="U61" s="515">
        <v>237</v>
      </c>
      <c r="W61" s="512">
        <v>0</v>
      </c>
      <c r="X61" s="512" t="s">
        <v>88</v>
      </c>
      <c r="Y61" s="512">
        <v>214</v>
      </c>
    </row>
    <row r="62" spans="1:25">
      <c r="A62" s="512">
        <v>3022079</v>
      </c>
      <c r="B62" s="515">
        <v>2079</v>
      </c>
      <c r="C62" s="512" t="s">
        <v>38</v>
      </c>
      <c r="D62" s="515"/>
      <c r="E62" s="515">
        <v>58</v>
      </c>
      <c r="F62" s="515">
        <v>73</v>
      </c>
      <c r="G62" s="515">
        <v>59</v>
      </c>
      <c r="H62" s="515">
        <v>82</v>
      </c>
      <c r="I62" s="515">
        <v>58</v>
      </c>
      <c r="J62" s="515">
        <v>60</v>
      </c>
      <c r="K62" s="515">
        <v>60</v>
      </c>
      <c r="L62" s="515">
        <v>60</v>
      </c>
      <c r="M62" s="515"/>
      <c r="N62" s="515"/>
      <c r="O62" s="515"/>
      <c r="P62" s="515"/>
      <c r="Q62" s="515"/>
      <c r="R62" s="515"/>
      <c r="S62" s="515"/>
      <c r="T62" s="515"/>
      <c r="U62" s="515">
        <v>510</v>
      </c>
      <c r="W62" s="512">
        <v>0</v>
      </c>
      <c r="X62" s="512" t="s">
        <v>38</v>
      </c>
      <c r="Y62" s="512">
        <v>451</v>
      </c>
    </row>
    <row r="63" spans="1:25">
      <c r="A63" s="512">
        <v>3023300</v>
      </c>
      <c r="B63" s="515">
        <v>3300</v>
      </c>
      <c r="C63" s="512" t="s">
        <v>1506</v>
      </c>
      <c r="D63" s="515"/>
      <c r="E63" s="515"/>
      <c r="F63" s="515">
        <v>29</v>
      </c>
      <c r="G63" s="515">
        <v>30</v>
      </c>
      <c r="H63" s="515">
        <v>30</v>
      </c>
      <c r="I63" s="515">
        <v>30</v>
      </c>
      <c r="J63" s="515">
        <v>31</v>
      </c>
      <c r="K63" s="515">
        <v>29</v>
      </c>
      <c r="L63" s="515">
        <v>30</v>
      </c>
      <c r="M63" s="515"/>
      <c r="N63" s="515"/>
      <c r="O63" s="515"/>
      <c r="P63" s="515"/>
      <c r="Q63" s="515"/>
      <c r="R63" s="515"/>
      <c r="S63" s="515"/>
      <c r="T63" s="515"/>
      <c r="U63" s="515">
        <v>209</v>
      </c>
      <c r="W63" s="512">
        <v>0</v>
      </c>
      <c r="X63" s="512" t="s">
        <v>1506</v>
      </c>
      <c r="Y63" s="512">
        <v>209</v>
      </c>
    </row>
    <row r="64" spans="1:25">
      <c r="A64" s="512">
        <v>3023302</v>
      </c>
      <c r="B64" s="515">
        <v>3302</v>
      </c>
      <c r="C64" s="512" t="s">
        <v>1507</v>
      </c>
      <c r="D64" s="515">
        <v>16</v>
      </c>
      <c r="E64" s="515">
        <v>5</v>
      </c>
      <c r="F64" s="515">
        <v>27</v>
      </c>
      <c r="G64" s="515">
        <v>29</v>
      </c>
      <c r="H64" s="515">
        <v>30</v>
      </c>
      <c r="I64" s="515">
        <v>26</v>
      </c>
      <c r="J64" s="515">
        <v>30</v>
      </c>
      <c r="K64" s="515">
        <v>27</v>
      </c>
      <c r="L64" s="515">
        <v>28</v>
      </c>
      <c r="M64" s="515"/>
      <c r="N64" s="515"/>
      <c r="O64" s="515"/>
      <c r="P64" s="515"/>
      <c r="Q64" s="515"/>
      <c r="R64" s="515"/>
      <c r="S64" s="515"/>
      <c r="T64" s="515"/>
      <c r="U64" s="515">
        <v>218</v>
      </c>
      <c r="W64" s="512">
        <v>0</v>
      </c>
      <c r="X64" s="512" t="s">
        <v>1507</v>
      </c>
      <c r="Y64" s="512">
        <v>209</v>
      </c>
    </row>
    <row r="65" spans="1:25">
      <c r="A65" s="512">
        <v>3023304</v>
      </c>
      <c r="B65" s="515">
        <v>3304</v>
      </c>
      <c r="C65" s="512" t="s">
        <v>1508</v>
      </c>
      <c r="D65" s="515"/>
      <c r="E65" s="515">
        <v>33</v>
      </c>
      <c r="F65" s="515">
        <v>30</v>
      </c>
      <c r="G65" s="515">
        <v>49</v>
      </c>
      <c r="H65" s="515">
        <v>30</v>
      </c>
      <c r="I65" s="515">
        <v>31</v>
      </c>
      <c r="J65" s="515">
        <v>30</v>
      </c>
      <c r="K65" s="515">
        <v>30</v>
      </c>
      <c r="L65" s="515">
        <v>28</v>
      </c>
      <c r="M65" s="515"/>
      <c r="N65" s="515"/>
      <c r="O65" s="515"/>
      <c r="P65" s="515"/>
      <c r="Q65" s="515"/>
      <c r="R65" s="515"/>
      <c r="S65" s="515"/>
      <c r="T65" s="515"/>
      <c r="U65" s="515">
        <v>261</v>
      </c>
      <c r="W65" s="512">
        <v>0</v>
      </c>
      <c r="X65" s="512" t="s">
        <v>1508</v>
      </c>
      <c r="Y65" s="512">
        <v>223</v>
      </c>
    </row>
    <row r="66" spans="1:25">
      <c r="A66" s="512">
        <v>3023305</v>
      </c>
      <c r="B66" s="515">
        <v>3305</v>
      </c>
      <c r="C66" s="512" t="s">
        <v>1509</v>
      </c>
      <c r="D66" s="515"/>
      <c r="E66" s="515"/>
      <c r="F66" s="515">
        <v>19</v>
      </c>
      <c r="G66" s="515">
        <v>20</v>
      </c>
      <c r="H66" s="515">
        <v>21</v>
      </c>
      <c r="I66" s="515">
        <v>19</v>
      </c>
      <c r="J66" s="515">
        <v>24</v>
      </c>
      <c r="K66" s="515">
        <v>21</v>
      </c>
      <c r="L66" s="515">
        <v>22</v>
      </c>
      <c r="M66" s="515"/>
      <c r="N66" s="515"/>
      <c r="O66" s="515"/>
      <c r="P66" s="515"/>
      <c r="Q66" s="515"/>
      <c r="R66" s="515"/>
      <c r="S66" s="515"/>
      <c r="T66" s="515"/>
      <c r="U66" s="515">
        <v>146</v>
      </c>
      <c r="W66" s="512">
        <v>0</v>
      </c>
      <c r="X66" s="512" t="s">
        <v>1509</v>
      </c>
      <c r="Y66" s="512">
        <v>144</v>
      </c>
    </row>
    <row r="67" spans="1:25">
      <c r="A67" s="512">
        <v>3023307</v>
      </c>
      <c r="B67" s="515">
        <v>3307</v>
      </c>
      <c r="C67" s="512" t="s">
        <v>1510</v>
      </c>
      <c r="D67" s="515"/>
      <c r="E67" s="515">
        <v>24</v>
      </c>
      <c r="F67" s="515">
        <v>30</v>
      </c>
      <c r="G67" s="515">
        <v>30</v>
      </c>
      <c r="H67" s="515">
        <v>30</v>
      </c>
      <c r="I67" s="515">
        <v>30</v>
      </c>
      <c r="J67" s="515">
        <v>31</v>
      </c>
      <c r="K67" s="515">
        <v>30</v>
      </c>
      <c r="L67" s="515">
        <v>30</v>
      </c>
      <c r="M67" s="515"/>
      <c r="N67" s="515"/>
      <c r="O67" s="515"/>
      <c r="P67" s="515"/>
      <c r="Q67" s="515"/>
      <c r="R67" s="515"/>
      <c r="S67" s="515"/>
      <c r="T67" s="515"/>
      <c r="U67" s="515">
        <v>235</v>
      </c>
      <c r="W67" s="512">
        <v>0</v>
      </c>
      <c r="X67" s="512" t="s">
        <v>1510</v>
      </c>
      <c r="Y67" s="512">
        <v>210</v>
      </c>
    </row>
    <row r="68" spans="1:25">
      <c r="A68" s="512">
        <v>3023309</v>
      </c>
      <c r="B68" s="515">
        <v>3309</v>
      </c>
      <c r="C68" s="512" t="s">
        <v>1511</v>
      </c>
      <c r="D68" s="515">
        <v>1</v>
      </c>
      <c r="E68" s="515">
        <v>24</v>
      </c>
      <c r="F68" s="515">
        <v>30</v>
      </c>
      <c r="G68" s="515">
        <v>30</v>
      </c>
      <c r="H68" s="515">
        <v>30</v>
      </c>
      <c r="I68" s="515">
        <v>30</v>
      </c>
      <c r="J68" s="515">
        <v>30</v>
      </c>
      <c r="K68" s="515">
        <v>29</v>
      </c>
      <c r="L68" s="515">
        <v>31</v>
      </c>
      <c r="M68" s="515"/>
      <c r="N68" s="515"/>
      <c r="O68" s="515"/>
      <c r="P68" s="515"/>
      <c r="Q68" s="515"/>
      <c r="R68" s="515"/>
      <c r="S68" s="515"/>
      <c r="T68" s="515"/>
      <c r="U68" s="515">
        <v>235</v>
      </c>
      <c r="W68" s="512">
        <v>0</v>
      </c>
      <c r="X68" s="512" t="s">
        <v>1511</v>
      </c>
      <c r="Y68" s="512">
        <v>210</v>
      </c>
    </row>
    <row r="69" spans="1:25">
      <c r="A69" s="512">
        <v>3023311</v>
      </c>
      <c r="B69" s="515">
        <v>3311</v>
      </c>
      <c r="C69" s="512" t="s">
        <v>1512</v>
      </c>
      <c r="D69" s="515">
        <v>53</v>
      </c>
      <c r="E69" s="515"/>
      <c r="F69" s="515">
        <v>59</v>
      </c>
      <c r="G69" s="515">
        <v>60</v>
      </c>
      <c r="H69" s="515">
        <v>60</v>
      </c>
      <c r="I69" s="515">
        <v>60</v>
      </c>
      <c r="J69" s="515">
        <v>60</v>
      </c>
      <c r="K69" s="515">
        <v>60</v>
      </c>
      <c r="L69" s="515">
        <v>60</v>
      </c>
      <c r="M69" s="515"/>
      <c r="N69" s="515"/>
      <c r="O69" s="515"/>
      <c r="P69" s="515"/>
      <c r="Q69" s="515"/>
      <c r="R69" s="515"/>
      <c r="S69" s="515"/>
      <c r="T69" s="515"/>
      <c r="U69" s="515">
        <v>472</v>
      </c>
      <c r="W69" s="512">
        <v>0</v>
      </c>
      <c r="X69" s="512" t="s">
        <v>1512</v>
      </c>
      <c r="Y69" s="512">
        <v>421</v>
      </c>
    </row>
    <row r="70" spans="1:25">
      <c r="A70" s="512">
        <v>3023312</v>
      </c>
      <c r="B70" s="515">
        <v>3312</v>
      </c>
      <c r="C70" s="512" t="s">
        <v>1513</v>
      </c>
      <c r="D70" s="515"/>
      <c r="E70" s="515"/>
      <c r="F70" s="515">
        <v>30</v>
      </c>
      <c r="G70" s="515">
        <v>30</v>
      </c>
      <c r="H70" s="515">
        <v>31</v>
      </c>
      <c r="I70" s="515">
        <v>30</v>
      </c>
      <c r="J70" s="515">
        <v>32</v>
      </c>
      <c r="K70" s="515">
        <v>31</v>
      </c>
      <c r="L70" s="515">
        <v>31</v>
      </c>
      <c r="M70" s="515"/>
      <c r="N70" s="515"/>
      <c r="O70" s="515"/>
      <c r="P70" s="515"/>
      <c r="Q70" s="515"/>
      <c r="R70" s="515"/>
      <c r="S70" s="515"/>
      <c r="T70" s="515"/>
      <c r="U70" s="515">
        <v>215</v>
      </c>
      <c r="W70" s="512">
        <v>0</v>
      </c>
      <c r="X70" s="512" t="s">
        <v>1513</v>
      </c>
      <c r="Y70" s="512">
        <v>215</v>
      </c>
    </row>
    <row r="71" spans="1:25">
      <c r="A71" s="512">
        <v>3023313</v>
      </c>
      <c r="B71" s="515">
        <v>3313</v>
      </c>
      <c r="C71" s="512" t="s">
        <v>1514</v>
      </c>
      <c r="D71" s="515">
        <v>9</v>
      </c>
      <c r="E71" s="515">
        <v>12</v>
      </c>
      <c r="F71" s="515">
        <v>30</v>
      </c>
      <c r="G71" s="515">
        <v>30</v>
      </c>
      <c r="H71" s="515">
        <v>28</v>
      </c>
      <c r="I71" s="515">
        <v>29</v>
      </c>
      <c r="J71" s="515">
        <v>28</v>
      </c>
      <c r="K71" s="515">
        <v>29</v>
      </c>
      <c r="L71" s="515">
        <v>30</v>
      </c>
      <c r="M71" s="515"/>
      <c r="N71" s="515"/>
      <c r="O71" s="515"/>
      <c r="P71" s="515"/>
      <c r="Q71" s="515"/>
      <c r="R71" s="515"/>
      <c r="S71" s="515"/>
      <c r="T71" s="515"/>
      <c r="U71" s="515">
        <v>225</v>
      </c>
      <c r="W71" s="512">
        <v>0</v>
      </c>
      <c r="X71" s="512" t="s">
        <v>1514</v>
      </c>
      <c r="Y71" s="512">
        <v>205</v>
      </c>
    </row>
    <row r="72" spans="1:25">
      <c r="A72" s="512">
        <v>3023314</v>
      </c>
      <c r="B72" s="515">
        <v>3314</v>
      </c>
      <c r="C72" s="512" t="s">
        <v>1515</v>
      </c>
      <c r="D72" s="515"/>
      <c r="E72" s="515"/>
      <c r="F72" s="515">
        <v>30</v>
      </c>
      <c r="G72" s="515">
        <v>30</v>
      </c>
      <c r="H72" s="515">
        <v>31</v>
      </c>
      <c r="I72" s="515">
        <v>30</v>
      </c>
      <c r="J72" s="515">
        <v>30</v>
      </c>
      <c r="K72" s="515">
        <v>30</v>
      </c>
      <c r="L72" s="515">
        <v>30</v>
      </c>
      <c r="M72" s="515"/>
      <c r="N72" s="515"/>
      <c r="O72" s="515"/>
      <c r="P72" s="515"/>
      <c r="Q72" s="515"/>
      <c r="R72" s="515"/>
      <c r="S72" s="515"/>
      <c r="T72" s="515"/>
      <c r="U72" s="515">
        <v>211</v>
      </c>
      <c r="W72" s="512">
        <v>0</v>
      </c>
      <c r="X72" s="512" t="s">
        <v>1515</v>
      </c>
      <c r="Y72" s="512">
        <v>210</v>
      </c>
    </row>
    <row r="73" spans="1:25">
      <c r="A73" s="512">
        <v>3023315</v>
      </c>
      <c r="B73" s="515">
        <v>3315</v>
      </c>
      <c r="C73" s="512" t="s">
        <v>1516</v>
      </c>
      <c r="D73" s="515"/>
      <c r="E73" s="515"/>
      <c r="F73" s="515">
        <v>30</v>
      </c>
      <c r="G73" s="515">
        <v>30</v>
      </c>
      <c r="H73" s="515">
        <v>30</v>
      </c>
      <c r="I73" s="515">
        <v>27</v>
      </c>
      <c r="J73" s="515">
        <v>28</v>
      </c>
      <c r="K73" s="515">
        <v>30</v>
      </c>
      <c r="L73" s="515">
        <v>30</v>
      </c>
      <c r="M73" s="515"/>
      <c r="N73" s="515"/>
      <c r="O73" s="515"/>
      <c r="P73" s="515"/>
      <c r="Q73" s="515"/>
      <c r="R73" s="515"/>
      <c r="S73" s="515"/>
      <c r="T73" s="515"/>
      <c r="U73" s="515">
        <v>205</v>
      </c>
      <c r="W73" s="512">
        <v>0</v>
      </c>
      <c r="X73" s="512" t="s">
        <v>1516</v>
      </c>
      <c r="Y73" s="512">
        <v>199</v>
      </c>
    </row>
    <row r="74" spans="1:25">
      <c r="A74" s="512">
        <v>3023316</v>
      </c>
      <c r="B74" s="515">
        <v>3316</v>
      </c>
      <c r="C74" s="512" t="s">
        <v>1517</v>
      </c>
      <c r="D74" s="515"/>
      <c r="E74" s="515"/>
      <c r="F74" s="515">
        <v>30</v>
      </c>
      <c r="G74" s="515">
        <v>30</v>
      </c>
      <c r="H74" s="515">
        <v>30</v>
      </c>
      <c r="I74" s="515">
        <v>30</v>
      </c>
      <c r="J74" s="515">
        <v>30</v>
      </c>
      <c r="K74" s="515">
        <v>30</v>
      </c>
      <c r="L74" s="515">
        <v>30</v>
      </c>
      <c r="M74" s="515"/>
      <c r="N74" s="515"/>
      <c r="O74" s="515"/>
      <c r="P74" s="515"/>
      <c r="Q74" s="515"/>
      <c r="R74" s="515"/>
      <c r="S74" s="515"/>
      <c r="T74" s="515"/>
      <c r="U74" s="515">
        <v>210</v>
      </c>
      <c r="W74" s="512">
        <v>0</v>
      </c>
      <c r="X74" s="512" t="s">
        <v>1517</v>
      </c>
      <c r="Y74" s="512">
        <v>210</v>
      </c>
    </row>
    <row r="75" spans="1:25">
      <c r="A75" s="512">
        <v>3023317</v>
      </c>
      <c r="B75" s="515">
        <v>3317</v>
      </c>
      <c r="C75" s="512" t="s">
        <v>1518</v>
      </c>
      <c r="D75" s="515"/>
      <c r="E75" s="515">
        <v>28</v>
      </c>
      <c r="F75" s="515">
        <v>30</v>
      </c>
      <c r="G75" s="515">
        <v>57</v>
      </c>
      <c r="H75" s="515">
        <v>30</v>
      </c>
      <c r="I75" s="515">
        <v>30</v>
      </c>
      <c r="J75" s="515">
        <v>31</v>
      </c>
      <c r="K75" s="515">
        <v>30</v>
      </c>
      <c r="L75" s="515">
        <v>30</v>
      </c>
      <c r="M75" s="515"/>
      <c r="N75" s="515"/>
      <c r="O75" s="515"/>
      <c r="P75" s="515"/>
      <c r="Q75" s="515"/>
      <c r="R75" s="515"/>
      <c r="S75" s="515"/>
      <c r="T75" s="515"/>
      <c r="U75" s="515">
        <v>266</v>
      </c>
      <c r="W75" s="512">
        <v>0</v>
      </c>
      <c r="X75" s="512" t="s">
        <v>1518</v>
      </c>
      <c r="Y75" s="512">
        <v>237</v>
      </c>
    </row>
    <row r="76" spans="1:25">
      <c r="A76" s="512">
        <v>3023500</v>
      </c>
      <c r="B76" s="515">
        <v>3500</v>
      </c>
      <c r="C76" s="512" t="s">
        <v>1519</v>
      </c>
      <c r="D76" s="515"/>
      <c r="E76" s="515">
        <v>37</v>
      </c>
      <c r="F76" s="515">
        <v>60</v>
      </c>
      <c r="G76" s="515">
        <v>58</v>
      </c>
      <c r="H76" s="515">
        <v>59</v>
      </c>
      <c r="I76" s="515"/>
      <c r="J76" s="515"/>
      <c r="K76" s="515"/>
      <c r="L76" s="515"/>
      <c r="M76" s="515"/>
      <c r="N76" s="515"/>
      <c r="O76" s="515"/>
      <c r="P76" s="515"/>
      <c r="Q76" s="515"/>
      <c r="R76" s="515"/>
      <c r="S76" s="515"/>
      <c r="T76" s="515"/>
      <c r="U76" s="515">
        <v>214</v>
      </c>
      <c r="W76" s="512">
        <v>0</v>
      </c>
      <c r="X76" s="512" t="s">
        <v>1519</v>
      </c>
      <c r="Y76" s="512">
        <v>177</v>
      </c>
    </row>
    <row r="77" spans="1:25">
      <c r="A77" s="512">
        <v>3023501</v>
      </c>
      <c r="B77" s="515">
        <v>3501</v>
      </c>
      <c r="C77" s="512" t="s">
        <v>1520</v>
      </c>
      <c r="D77" s="515"/>
      <c r="E77" s="515">
        <v>21</v>
      </c>
      <c r="F77" s="515">
        <v>30</v>
      </c>
      <c r="G77" s="515">
        <v>30</v>
      </c>
      <c r="H77" s="515">
        <v>31</v>
      </c>
      <c r="I77" s="515">
        <v>30</v>
      </c>
      <c r="J77" s="515">
        <v>30</v>
      </c>
      <c r="K77" s="515">
        <v>30</v>
      </c>
      <c r="L77" s="515">
        <v>30</v>
      </c>
      <c r="M77" s="515"/>
      <c r="N77" s="515"/>
      <c r="O77" s="515"/>
      <c r="P77" s="515"/>
      <c r="Q77" s="515"/>
      <c r="R77" s="515"/>
      <c r="S77" s="515"/>
      <c r="T77" s="515"/>
      <c r="U77" s="515">
        <v>232</v>
      </c>
      <c r="W77" s="512">
        <v>0</v>
      </c>
      <c r="X77" s="512" t="s">
        <v>1520</v>
      </c>
      <c r="Y77" s="512">
        <v>211</v>
      </c>
    </row>
    <row r="78" spans="1:25">
      <c r="A78" s="512">
        <v>3023502</v>
      </c>
      <c r="B78" s="515">
        <v>3502</v>
      </c>
      <c r="C78" s="512" t="s">
        <v>1521</v>
      </c>
      <c r="D78" s="515"/>
      <c r="E78" s="515">
        <v>43</v>
      </c>
      <c r="F78" s="515">
        <v>45</v>
      </c>
      <c r="G78" s="515">
        <v>45</v>
      </c>
      <c r="H78" s="515">
        <v>45</v>
      </c>
      <c r="I78" s="515">
        <v>44</v>
      </c>
      <c r="J78" s="515">
        <v>46</v>
      </c>
      <c r="K78" s="515">
        <v>44</v>
      </c>
      <c r="L78" s="515">
        <v>43</v>
      </c>
      <c r="M78" s="515"/>
      <c r="N78" s="515"/>
      <c r="O78" s="515"/>
      <c r="P78" s="515"/>
      <c r="Q78" s="515"/>
      <c r="R78" s="515"/>
      <c r="S78" s="515"/>
      <c r="T78" s="515"/>
      <c r="U78" s="515">
        <v>355</v>
      </c>
      <c r="W78" s="512">
        <v>0</v>
      </c>
      <c r="X78" s="512" t="s">
        <v>1521</v>
      </c>
      <c r="Y78" s="512">
        <v>306</v>
      </c>
    </row>
    <row r="79" spans="1:25">
      <c r="A79" s="512">
        <v>3023504</v>
      </c>
      <c r="B79" s="515">
        <v>3504</v>
      </c>
      <c r="C79" s="512" t="s">
        <v>1522</v>
      </c>
      <c r="D79" s="515">
        <v>5</v>
      </c>
      <c r="E79" s="515">
        <v>39</v>
      </c>
      <c r="F79" s="515">
        <v>60</v>
      </c>
      <c r="G79" s="515">
        <v>60</v>
      </c>
      <c r="H79" s="515">
        <v>90</v>
      </c>
      <c r="I79" s="515">
        <v>60</v>
      </c>
      <c r="J79" s="515">
        <v>60</v>
      </c>
      <c r="K79" s="515">
        <v>60</v>
      </c>
      <c r="L79" s="515">
        <v>45</v>
      </c>
      <c r="M79" s="515"/>
      <c r="N79" s="515"/>
      <c r="O79" s="515"/>
      <c r="P79" s="515"/>
      <c r="Q79" s="515"/>
      <c r="R79" s="515"/>
      <c r="S79" s="515"/>
      <c r="T79" s="515"/>
      <c r="U79" s="515">
        <v>479</v>
      </c>
      <c r="W79" s="512">
        <v>0</v>
      </c>
      <c r="X79" s="512" t="s">
        <v>1522</v>
      </c>
      <c r="Y79" s="512">
        <v>424</v>
      </c>
    </row>
    <row r="80" spans="1:25">
      <c r="A80" s="512">
        <v>3023506</v>
      </c>
      <c r="B80" s="515">
        <v>3506</v>
      </c>
      <c r="C80" s="512" t="s">
        <v>1523</v>
      </c>
      <c r="D80" s="515"/>
      <c r="E80" s="515"/>
      <c r="F80" s="515">
        <v>45</v>
      </c>
      <c r="G80" s="515">
        <v>59</v>
      </c>
      <c r="H80" s="515">
        <v>45</v>
      </c>
      <c r="I80" s="515">
        <v>44</v>
      </c>
      <c r="J80" s="515">
        <v>45</v>
      </c>
      <c r="K80" s="515">
        <v>44</v>
      </c>
      <c r="L80" s="515">
        <v>41</v>
      </c>
      <c r="M80" s="515"/>
      <c r="N80" s="515"/>
      <c r="O80" s="515"/>
      <c r="P80" s="515"/>
      <c r="Q80" s="515"/>
      <c r="R80" s="515"/>
      <c r="S80" s="515"/>
      <c r="T80" s="515"/>
      <c r="U80" s="515">
        <v>323</v>
      </c>
      <c r="W80" s="512">
        <v>0</v>
      </c>
      <c r="X80" s="512" t="s">
        <v>1523</v>
      </c>
      <c r="Y80" s="512">
        <v>324</v>
      </c>
    </row>
    <row r="81" spans="1:25">
      <c r="A81" s="512">
        <v>3023507</v>
      </c>
      <c r="B81" s="515">
        <v>3507</v>
      </c>
      <c r="C81" s="512" t="s">
        <v>1524</v>
      </c>
      <c r="D81" s="515"/>
      <c r="E81" s="515"/>
      <c r="F81" s="515">
        <v>30</v>
      </c>
      <c r="G81" s="515">
        <v>30</v>
      </c>
      <c r="H81" s="515">
        <v>60</v>
      </c>
      <c r="I81" s="515">
        <v>32</v>
      </c>
      <c r="J81" s="515">
        <v>29</v>
      </c>
      <c r="K81" s="515">
        <v>30</v>
      </c>
      <c r="L81" s="515">
        <v>29</v>
      </c>
      <c r="M81" s="515"/>
      <c r="N81" s="515"/>
      <c r="O81" s="515"/>
      <c r="P81" s="515"/>
      <c r="Q81" s="515"/>
      <c r="R81" s="515"/>
      <c r="S81" s="515"/>
      <c r="T81" s="515"/>
      <c r="U81" s="515">
        <v>240</v>
      </c>
      <c r="W81" s="512">
        <v>0</v>
      </c>
      <c r="X81" s="512" t="s">
        <v>1524</v>
      </c>
      <c r="Y81" s="512">
        <v>239</v>
      </c>
    </row>
    <row r="82" spans="1:25">
      <c r="A82" s="512">
        <v>3023509</v>
      </c>
      <c r="B82" s="515">
        <v>3509</v>
      </c>
      <c r="C82" s="512" t="s">
        <v>1591</v>
      </c>
      <c r="D82" s="515"/>
      <c r="E82" s="515">
        <v>51</v>
      </c>
      <c r="F82" s="515">
        <v>60</v>
      </c>
      <c r="G82" s="515">
        <v>59</v>
      </c>
      <c r="H82" s="515">
        <v>60</v>
      </c>
      <c r="I82" s="515">
        <v>64</v>
      </c>
      <c r="J82" s="515">
        <v>66</v>
      </c>
      <c r="K82" s="515">
        <v>64</v>
      </c>
      <c r="L82" s="515">
        <v>62</v>
      </c>
      <c r="M82" s="515"/>
      <c r="N82" s="515"/>
      <c r="O82" s="515"/>
      <c r="P82" s="515"/>
      <c r="Q82" s="515"/>
      <c r="R82" s="515"/>
      <c r="S82" s="515"/>
      <c r="T82" s="515"/>
      <c r="U82" s="515">
        <v>486</v>
      </c>
      <c r="W82" s="512">
        <v>0</v>
      </c>
      <c r="X82" s="512" t="s">
        <v>1591</v>
      </c>
      <c r="Y82" s="512">
        <v>435</v>
      </c>
    </row>
    <row r="83" spans="1:25">
      <c r="A83" s="512">
        <v>3023510</v>
      </c>
      <c r="B83" s="515">
        <v>3510</v>
      </c>
      <c r="C83" s="512" t="s">
        <v>1527</v>
      </c>
      <c r="D83" s="515"/>
      <c r="E83" s="515"/>
      <c r="F83" s="515">
        <v>61</v>
      </c>
      <c r="G83" s="515">
        <v>60</v>
      </c>
      <c r="H83" s="515">
        <v>60</v>
      </c>
      <c r="I83" s="515">
        <v>60</v>
      </c>
      <c r="J83" s="515">
        <v>60</v>
      </c>
      <c r="K83" s="515">
        <v>59</v>
      </c>
      <c r="L83" s="515">
        <v>60</v>
      </c>
      <c r="M83" s="515"/>
      <c r="N83" s="515"/>
      <c r="O83" s="515"/>
      <c r="P83" s="515"/>
      <c r="Q83" s="515"/>
      <c r="R83" s="515"/>
      <c r="S83" s="515"/>
      <c r="T83" s="515"/>
      <c r="U83" s="515">
        <v>420</v>
      </c>
      <c r="W83" s="512">
        <v>0</v>
      </c>
      <c r="X83" s="512" t="s">
        <v>1527</v>
      </c>
      <c r="Y83" s="512">
        <v>420</v>
      </c>
    </row>
    <row r="84" spans="1:25">
      <c r="A84" s="512">
        <v>3023511</v>
      </c>
      <c r="B84" s="515">
        <v>3511</v>
      </c>
      <c r="C84" s="512" t="s">
        <v>1528</v>
      </c>
      <c r="D84" s="515"/>
      <c r="E84" s="515">
        <v>36</v>
      </c>
      <c r="F84" s="515">
        <v>59</v>
      </c>
      <c r="G84" s="515">
        <v>59</v>
      </c>
      <c r="H84" s="515">
        <v>61</v>
      </c>
      <c r="I84" s="515">
        <v>54</v>
      </c>
      <c r="J84" s="515">
        <v>31</v>
      </c>
      <c r="K84" s="515">
        <v>30</v>
      </c>
      <c r="L84" s="515">
        <v>29</v>
      </c>
      <c r="M84" s="515"/>
      <c r="N84" s="515"/>
      <c r="O84" s="515"/>
      <c r="P84" s="515"/>
      <c r="Q84" s="515"/>
      <c r="R84" s="515"/>
      <c r="S84" s="515"/>
      <c r="T84" s="515"/>
      <c r="U84" s="515">
        <v>359</v>
      </c>
      <c r="W84" s="512">
        <v>0</v>
      </c>
      <c r="X84" s="512" t="s">
        <v>1528</v>
      </c>
      <c r="Y84" s="512">
        <v>297</v>
      </c>
    </row>
    <row r="85" spans="1:25">
      <c r="A85" s="512">
        <v>3023512</v>
      </c>
      <c r="B85" s="515">
        <v>3512</v>
      </c>
      <c r="C85" s="512" t="s">
        <v>1529</v>
      </c>
      <c r="D85" s="515"/>
      <c r="E85" s="515">
        <v>60</v>
      </c>
      <c r="F85" s="515">
        <v>60</v>
      </c>
      <c r="G85" s="515">
        <v>58</v>
      </c>
      <c r="H85" s="515">
        <v>57</v>
      </c>
      <c r="I85" s="515">
        <v>73</v>
      </c>
      <c r="J85" s="515">
        <v>59</v>
      </c>
      <c r="K85" s="515">
        <v>59</v>
      </c>
      <c r="L85" s="515">
        <v>57</v>
      </c>
      <c r="M85" s="515"/>
      <c r="N85" s="515"/>
      <c r="O85" s="515"/>
      <c r="P85" s="515"/>
      <c r="Q85" s="515"/>
      <c r="R85" s="515"/>
      <c r="S85" s="515"/>
      <c r="T85" s="515"/>
      <c r="U85" s="515">
        <v>483</v>
      </c>
      <c r="W85" s="512">
        <v>0</v>
      </c>
      <c r="X85" s="512" t="s">
        <v>1529</v>
      </c>
      <c r="Y85" s="512">
        <v>430</v>
      </c>
    </row>
    <row r="86" spans="1:25">
      <c r="A86" s="512">
        <v>3023513</v>
      </c>
      <c r="B86" s="515">
        <v>3513</v>
      </c>
      <c r="C86" s="512" t="s">
        <v>79</v>
      </c>
      <c r="D86" s="515"/>
      <c r="E86" s="515">
        <v>57</v>
      </c>
      <c r="F86" s="515">
        <v>54</v>
      </c>
      <c r="G86" s="515">
        <v>55</v>
      </c>
      <c r="H86" s="515">
        <v>61</v>
      </c>
      <c r="I86" s="515">
        <v>53</v>
      </c>
      <c r="J86" s="515">
        <v>59</v>
      </c>
      <c r="K86" s="515">
        <v>57</v>
      </c>
      <c r="L86" s="515">
        <v>58</v>
      </c>
      <c r="M86" s="515"/>
      <c r="N86" s="515"/>
      <c r="O86" s="515"/>
      <c r="P86" s="515"/>
      <c r="Q86" s="515"/>
      <c r="R86" s="515"/>
      <c r="S86" s="515"/>
      <c r="T86" s="515"/>
      <c r="U86" s="515">
        <v>454</v>
      </c>
      <c r="W86" s="512">
        <v>0</v>
      </c>
      <c r="X86" s="512" t="s">
        <v>79</v>
      </c>
      <c r="Y86" s="512">
        <v>394</v>
      </c>
    </row>
    <row r="87" spans="1:25">
      <c r="A87" s="512">
        <v>3023514</v>
      </c>
      <c r="B87" s="515">
        <v>3514</v>
      </c>
      <c r="C87" s="512" t="s">
        <v>1530</v>
      </c>
      <c r="D87" s="515"/>
      <c r="E87" s="515"/>
      <c r="F87" s="515"/>
      <c r="G87" s="515"/>
      <c r="H87" s="515"/>
      <c r="I87" s="515">
        <v>55</v>
      </c>
      <c r="J87" s="515">
        <v>57</v>
      </c>
      <c r="K87" s="515">
        <v>60</v>
      </c>
      <c r="L87" s="515">
        <v>55</v>
      </c>
      <c r="M87" s="515"/>
      <c r="N87" s="515"/>
      <c r="O87" s="515"/>
      <c r="P87" s="515"/>
      <c r="Q87" s="515"/>
      <c r="R87" s="515"/>
      <c r="S87" s="515"/>
      <c r="T87" s="515"/>
      <c r="U87" s="515">
        <v>227</v>
      </c>
      <c r="W87" s="512">
        <v>0</v>
      </c>
      <c r="X87" s="512" t="s">
        <v>1530</v>
      </c>
      <c r="Y87" s="512">
        <v>224</v>
      </c>
    </row>
    <row r="88" spans="1:25">
      <c r="A88" s="512">
        <v>3023515</v>
      </c>
      <c r="B88" s="515">
        <v>3515</v>
      </c>
      <c r="C88" s="512" t="s">
        <v>1531</v>
      </c>
      <c r="D88" s="515"/>
      <c r="E88" s="515">
        <v>27</v>
      </c>
      <c r="F88" s="515">
        <v>28</v>
      </c>
      <c r="G88" s="515">
        <v>28</v>
      </c>
      <c r="H88" s="515">
        <v>28</v>
      </c>
      <c r="I88" s="515">
        <v>28</v>
      </c>
      <c r="J88" s="515">
        <v>29</v>
      </c>
      <c r="K88" s="515">
        <v>30</v>
      </c>
      <c r="L88" s="515">
        <v>26</v>
      </c>
      <c r="M88" s="515"/>
      <c r="N88" s="515"/>
      <c r="O88" s="515"/>
      <c r="P88" s="515"/>
      <c r="Q88" s="515"/>
      <c r="R88" s="515"/>
      <c r="S88" s="515"/>
      <c r="T88" s="515"/>
      <c r="U88" s="515">
        <v>224</v>
      </c>
      <c r="W88" s="512">
        <v>0</v>
      </c>
      <c r="X88" s="512" t="s">
        <v>1531</v>
      </c>
      <c r="Y88" s="512">
        <v>198</v>
      </c>
    </row>
    <row r="89" spans="1:25">
      <c r="A89" s="512">
        <v>3023516</v>
      </c>
      <c r="B89" s="515">
        <v>3516</v>
      </c>
      <c r="C89" s="512" t="s">
        <v>69</v>
      </c>
      <c r="D89" s="515"/>
      <c r="E89" s="515">
        <v>30</v>
      </c>
      <c r="F89" s="515">
        <v>30</v>
      </c>
      <c r="G89" s="515">
        <v>30</v>
      </c>
      <c r="H89" s="515">
        <v>30</v>
      </c>
      <c r="I89" s="515">
        <v>30</v>
      </c>
      <c r="J89" s="515">
        <v>30</v>
      </c>
      <c r="K89" s="515">
        <v>30</v>
      </c>
      <c r="L89" s="515">
        <v>30</v>
      </c>
      <c r="M89" s="515"/>
      <c r="N89" s="515"/>
      <c r="O89" s="515"/>
      <c r="P89" s="515"/>
      <c r="Q89" s="515"/>
      <c r="R89" s="515"/>
      <c r="S89" s="515"/>
      <c r="T89" s="515"/>
      <c r="U89" s="515">
        <v>240</v>
      </c>
      <c r="W89" s="512">
        <v>0</v>
      </c>
      <c r="X89" s="512" t="s">
        <v>69</v>
      </c>
      <c r="Y89" s="512">
        <v>211</v>
      </c>
    </row>
    <row r="90" spans="1:25">
      <c r="A90" s="512">
        <v>3023518</v>
      </c>
      <c r="B90" s="515">
        <v>3518</v>
      </c>
      <c r="C90" s="512" t="s">
        <v>116</v>
      </c>
      <c r="D90" s="515"/>
      <c r="E90" s="515">
        <v>45</v>
      </c>
      <c r="F90" s="515">
        <v>54</v>
      </c>
      <c r="G90" s="515">
        <v>56</v>
      </c>
      <c r="H90" s="515">
        <v>60</v>
      </c>
      <c r="I90" s="515">
        <v>59</v>
      </c>
      <c r="J90" s="515">
        <v>84</v>
      </c>
      <c r="K90" s="515">
        <v>60</v>
      </c>
      <c r="L90" s="515">
        <v>60</v>
      </c>
      <c r="M90" s="515"/>
      <c r="N90" s="515"/>
      <c r="O90" s="515"/>
      <c r="P90" s="515"/>
      <c r="Q90" s="515"/>
      <c r="R90" s="515"/>
      <c r="S90" s="515"/>
      <c r="T90" s="515"/>
      <c r="U90" s="515">
        <v>478</v>
      </c>
      <c r="W90" s="512">
        <v>0</v>
      </c>
      <c r="X90" s="512" t="s">
        <v>116</v>
      </c>
      <c r="Y90" s="512">
        <v>420</v>
      </c>
    </row>
    <row r="91" spans="1:25">
      <c r="A91" s="512">
        <v>3023519</v>
      </c>
      <c r="B91" s="515">
        <v>3519</v>
      </c>
      <c r="C91" s="512" t="s">
        <v>41</v>
      </c>
      <c r="D91" s="515"/>
      <c r="E91" s="515">
        <v>50</v>
      </c>
      <c r="F91" s="515">
        <v>95</v>
      </c>
      <c r="G91" s="515">
        <v>90</v>
      </c>
      <c r="H91" s="515">
        <v>96</v>
      </c>
      <c r="I91" s="515">
        <v>92</v>
      </c>
      <c r="J91" s="515">
        <v>95</v>
      </c>
      <c r="K91" s="515">
        <v>64</v>
      </c>
      <c r="L91" s="515">
        <v>63</v>
      </c>
      <c r="M91" s="515"/>
      <c r="N91" s="515"/>
      <c r="O91" s="515"/>
      <c r="P91" s="515"/>
      <c r="Q91" s="515"/>
      <c r="R91" s="515"/>
      <c r="S91" s="515"/>
      <c r="T91" s="515"/>
      <c r="U91" s="515">
        <v>645</v>
      </c>
      <c r="W91" s="512">
        <v>0</v>
      </c>
      <c r="X91" s="512" t="s">
        <v>41</v>
      </c>
      <c r="Y91" s="512">
        <v>519</v>
      </c>
    </row>
    <row r="92" spans="1:25">
      <c r="A92" s="512">
        <v>3023520</v>
      </c>
      <c r="B92" s="515">
        <v>3520</v>
      </c>
      <c r="C92" s="512" t="s">
        <v>327</v>
      </c>
      <c r="D92" s="515"/>
      <c r="E92" s="515"/>
      <c r="F92" s="515">
        <v>60</v>
      </c>
      <c r="G92" s="515">
        <v>60</v>
      </c>
      <c r="H92" s="515">
        <v>60</v>
      </c>
      <c r="I92" s="515">
        <v>58</v>
      </c>
      <c r="J92" s="515">
        <v>61</v>
      </c>
      <c r="K92" s="515">
        <v>60</v>
      </c>
      <c r="L92" s="515">
        <v>60</v>
      </c>
      <c r="M92" s="515"/>
      <c r="N92" s="515"/>
      <c r="O92" s="515"/>
      <c r="P92" s="515"/>
      <c r="Q92" s="515"/>
      <c r="R92" s="515"/>
      <c r="S92" s="515"/>
      <c r="T92" s="515"/>
      <c r="U92" s="515">
        <v>419</v>
      </c>
      <c r="W92" s="512">
        <v>0</v>
      </c>
      <c r="X92" s="512" t="s">
        <v>327</v>
      </c>
      <c r="Y92" s="512">
        <v>418</v>
      </c>
    </row>
    <row r="93" spans="1:25">
      <c r="A93" s="512">
        <v>3023521</v>
      </c>
      <c r="B93" s="515">
        <v>3521</v>
      </c>
      <c r="C93" s="512" t="s">
        <v>1592</v>
      </c>
      <c r="D93" s="515"/>
      <c r="E93" s="515">
        <v>46</v>
      </c>
      <c r="F93" s="515">
        <v>89</v>
      </c>
      <c r="G93" s="515">
        <v>89</v>
      </c>
      <c r="H93" s="515">
        <v>88</v>
      </c>
      <c r="I93" s="515">
        <v>61</v>
      </c>
      <c r="J93" s="515">
        <v>58</v>
      </c>
      <c r="K93" s="515">
        <v>60</v>
      </c>
      <c r="L93" s="515">
        <v>60</v>
      </c>
      <c r="M93" s="515">
        <v>119</v>
      </c>
      <c r="N93" s="515"/>
      <c r="O93" s="515"/>
      <c r="P93" s="515"/>
      <c r="Q93" s="515"/>
      <c r="R93" s="515"/>
      <c r="S93" s="515"/>
      <c r="T93" s="515"/>
      <c r="U93" s="515">
        <v>670</v>
      </c>
      <c r="W93" s="512">
        <v>-119</v>
      </c>
      <c r="X93" s="512" t="s">
        <v>1592</v>
      </c>
      <c r="Y93" s="512">
        <v>481</v>
      </c>
    </row>
    <row r="94" spans="1:25">
      <c r="A94" s="512">
        <v>3023522</v>
      </c>
      <c r="B94" s="515">
        <v>3522</v>
      </c>
      <c r="C94" s="512" t="s">
        <v>337</v>
      </c>
      <c r="D94" s="515"/>
      <c r="E94" s="515">
        <v>44</v>
      </c>
      <c r="F94" s="515">
        <v>60</v>
      </c>
      <c r="G94" s="515">
        <v>58</v>
      </c>
      <c r="H94" s="515">
        <v>54</v>
      </c>
      <c r="I94" s="515">
        <v>64</v>
      </c>
      <c r="J94" s="515">
        <v>56</v>
      </c>
      <c r="K94" s="515">
        <v>49</v>
      </c>
      <c r="L94" s="515">
        <v>54</v>
      </c>
      <c r="M94" s="515"/>
      <c r="N94" s="515"/>
      <c r="O94" s="515"/>
      <c r="P94" s="515"/>
      <c r="Q94" s="515"/>
      <c r="R94" s="515"/>
      <c r="S94" s="515"/>
      <c r="T94" s="515"/>
      <c r="U94" s="515">
        <v>439</v>
      </c>
      <c r="W94" s="512">
        <v>0</v>
      </c>
      <c r="X94" s="512" t="s">
        <v>337</v>
      </c>
      <c r="Y94" s="512">
        <v>378</v>
      </c>
    </row>
    <row r="95" spans="1:25">
      <c r="A95" s="512">
        <v>3023523</v>
      </c>
      <c r="B95" s="515">
        <v>3523</v>
      </c>
      <c r="C95" s="512" t="s">
        <v>350</v>
      </c>
      <c r="D95" s="515"/>
      <c r="E95" s="515">
        <v>62</v>
      </c>
      <c r="F95" s="515">
        <v>87</v>
      </c>
      <c r="G95" s="515">
        <v>89</v>
      </c>
      <c r="H95" s="515">
        <v>91</v>
      </c>
      <c r="I95" s="515">
        <v>90</v>
      </c>
      <c r="J95" s="515">
        <v>59</v>
      </c>
      <c r="K95" s="515">
        <v>59</v>
      </c>
      <c r="L95" s="515">
        <v>58</v>
      </c>
      <c r="M95" s="515"/>
      <c r="N95" s="515"/>
      <c r="O95" s="515"/>
      <c r="P95" s="515"/>
      <c r="Q95" s="515"/>
      <c r="R95" s="515"/>
      <c r="S95" s="515"/>
      <c r="T95" s="515"/>
      <c r="U95" s="515">
        <v>595</v>
      </c>
      <c r="W95" s="512">
        <v>0</v>
      </c>
      <c r="X95" s="512" t="s">
        <v>350</v>
      </c>
      <c r="Y95" s="512">
        <v>504</v>
      </c>
    </row>
    <row r="96" spans="1:25">
      <c r="A96" s="512">
        <v>3023524</v>
      </c>
      <c r="B96" s="515">
        <v>3524</v>
      </c>
      <c r="C96" s="512" t="s">
        <v>1533</v>
      </c>
      <c r="D96" s="515"/>
      <c r="E96" s="515">
        <v>29</v>
      </c>
      <c r="F96" s="515">
        <v>31</v>
      </c>
      <c r="G96" s="515">
        <v>30</v>
      </c>
      <c r="H96" s="515">
        <v>30</v>
      </c>
      <c r="I96" s="515">
        <v>30</v>
      </c>
      <c r="J96" s="515">
        <v>30</v>
      </c>
      <c r="K96" s="515">
        <v>30</v>
      </c>
      <c r="L96" s="515">
        <v>28</v>
      </c>
      <c r="M96" s="515"/>
      <c r="N96" s="515"/>
      <c r="O96" s="515"/>
      <c r="P96" s="515"/>
      <c r="Q96" s="515"/>
      <c r="R96" s="515"/>
      <c r="S96" s="515"/>
      <c r="T96" s="515"/>
      <c r="U96" s="515">
        <v>238</v>
      </c>
      <c r="W96" s="512">
        <v>0</v>
      </c>
      <c r="X96" s="512" t="s">
        <v>1533</v>
      </c>
      <c r="Y96" s="512">
        <v>204</v>
      </c>
    </row>
    <row r="97" spans="1:25">
      <c r="A97" s="512">
        <v>3024000</v>
      </c>
      <c r="B97" s="515">
        <v>4000</v>
      </c>
      <c r="C97" s="512" t="s">
        <v>1534</v>
      </c>
      <c r="D97" s="515"/>
      <c r="E97" s="515"/>
      <c r="F97" s="515"/>
      <c r="G97" s="515"/>
      <c r="H97" s="515"/>
      <c r="I97" s="515"/>
      <c r="J97" s="515"/>
      <c r="K97" s="515"/>
      <c r="L97" s="515"/>
      <c r="M97" s="515">
        <v>78</v>
      </c>
      <c r="N97" s="515">
        <v>81</v>
      </c>
      <c r="O97" s="515"/>
      <c r="P97" s="515"/>
      <c r="Q97" s="515"/>
      <c r="R97" s="515"/>
      <c r="S97" s="515"/>
      <c r="T97" s="515"/>
      <c r="U97" s="515">
        <v>159</v>
      </c>
      <c r="W97" s="512">
        <v>3</v>
      </c>
      <c r="X97" s="512" t="s">
        <v>1534</v>
      </c>
      <c r="Y97" s="512">
        <v>0</v>
      </c>
    </row>
    <row r="98" spans="1:25">
      <c r="A98" s="512">
        <v>3024001</v>
      </c>
      <c r="B98" s="515">
        <v>4001</v>
      </c>
      <c r="C98" s="512" t="s">
        <v>1535</v>
      </c>
      <c r="D98" s="515"/>
      <c r="E98" s="515"/>
      <c r="F98" s="515"/>
      <c r="G98" s="515"/>
      <c r="H98" s="515"/>
      <c r="I98" s="515"/>
      <c r="J98" s="515"/>
      <c r="K98" s="515"/>
      <c r="L98" s="515"/>
      <c r="M98" s="515">
        <v>150</v>
      </c>
      <c r="N98" s="515">
        <v>149</v>
      </c>
      <c r="O98" s="515"/>
      <c r="P98" s="515"/>
      <c r="Q98" s="515"/>
      <c r="R98" s="515"/>
      <c r="S98" s="515"/>
      <c r="T98" s="515"/>
      <c r="U98" s="515">
        <v>299</v>
      </c>
      <c r="W98" s="512">
        <v>-1</v>
      </c>
      <c r="X98" s="512" t="s">
        <v>1535</v>
      </c>
      <c r="Y98" s="512">
        <v>0</v>
      </c>
    </row>
    <row r="99" spans="1:25">
      <c r="A99" s="512">
        <v>3024003</v>
      </c>
      <c r="B99" s="515">
        <v>4003</v>
      </c>
      <c r="C99" s="512" t="s">
        <v>120</v>
      </c>
      <c r="D99" s="515"/>
      <c r="E99" s="515"/>
      <c r="F99" s="515"/>
      <c r="G99" s="515"/>
      <c r="H99" s="515"/>
      <c r="I99" s="515"/>
      <c r="J99" s="515"/>
      <c r="K99" s="515"/>
      <c r="L99" s="515"/>
      <c r="M99" s="515">
        <v>162</v>
      </c>
      <c r="N99" s="515">
        <v>162</v>
      </c>
      <c r="O99" s="515">
        <v>158</v>
      </c>
      <c r="P99" s="515">
        <v>160</v>
      </c>
      <c r="Q99" s="515">
        <v>159</v>
      </c>
      <c r="R99" s="515"/>
      <c r="S99" s="515"/>
      <c r="T99" s="515"/>
      <c r="U99" s="515">
        <v>801</v>
      </c>
      <c r="W99" s="512">
        <v>0</v>
      </c>
      <c r="X99" s="512" t="s">
        <v>120</v>
      </c>
      <c r="Y99" s="512">
        <v>796</v>
      </c>
    </row>
    <row r="100" spans="1:25">
      <c r="A100" s="512">
        <v>3024009</v>
      </c>
      <c r="B100" s="515">
        <v>4009</v>
      </c>
      <c r="C100" s="512" t="s">
        <v>407</v>
      </c>
      <c r="D100" s="515"/>
      <c r="E100" s="515"/>
      <c r="F100" s="515"/>
      <c r="G100" s="515"/>
      <c r="H100" s="515"/>
      <c r="I100" s="515"/>
      <c r="J100" s="515"/>
      <c r="K100" s="515"/>
      <c r="L100" s="515"/>
      <c r="M100" s="515">
        <v>98</v>
      </c>
      <c r="N100" s="515">
        <v>98</v>
      </c>
      <c r="O100" s="515">
        <v>92</v>
      </c>
      <c r="P100" s="515">
        <v>137</v>
      </c>
      <c r="Q100" s="515">
        <v>121</v>
      </c>
      <c r="R100" s="515"/>
      <c r="S100" s="515">
        <v>38</v>
      </c>
      <c r="T100" s="515"/>
      <c r="U100" s="515">
        <v>584</v>
      </c>
      <c r="W100" s="512">
        <v>0</v>
      </c>
      <c r="X100" s="512" t="s">
        <v>407</v>
      </c>
      <c r="Y100" s="512">
        <v>576</v>
      </c>
    </row>
    <row r="101" spans="1:25">
      <c r="A101" s="512">
        <v>3024012</v>
      </c>
      <c r="B101" s="515">
        <v>4012</v>
      </c>
      <c r="C101" s="512" t="s">
        <v>128</v>
      </c>
      <c r="D101" s="515"/>
      <c r="E101" s="515"/>
      <c r="F101" s="515"/>
      <c r="G101" s="515"/>
      <c r="H101" s="515"/>
      <c r="I101" s="515"/>
      <c r="J101" s="515"/>
      <c r="K101" s="515"/>
      <c r="L101" s="515"/>
      <c r="M101" s="515">
        <v>91</v>
      </c>
      <c r="N101" s="515">
        <v>109</v>
      </c>
      <c r="O101" s="515">
        <v>138</v>
      </c>
      <c r="P101" s="515">
        <v>129</v>
      </c>
      <c r="Q101" s="515">
        <v>146</v>
      </c>
      <c r="R101" s="515">
        <v>72</v>
      </c>
      <c r="S101" s="515">
        <v>39</v>
      </c>
      <c r="T101" s="515"/>
      <c r="U101" s="515">
        <v>724</v>
      </c>
      <c r="W101" s="512">
        <v>18</v>
      </c>
      <c r="X101" s="512" t="s">
        <v>128</v>
      </c>
      <c r="Y101" s="512">
        <v>631</v>
      </c>
    </row>
    <row r="102" spans="1:25">
      <c r="A102" s="512">
        <v>3024208</v>
      </c>
      <c r="B102" s="515">
        <v>4208</v>
      </c>
      <c r="C102" s="512" t="s">
        <v>123</v>
      </c>
      <c r="D102" s="515"/>
      <c r="E102" s="515"/>
      <c r="F102" s="515"/>
      <c r="G102" s="515"/>
      <c r="H102" s="515"/>
      <c r="I102" s="515"/>
      <c r="J102" s="515"/>
      <c r="K102" s="515"/>
      <c r="L102" s="515"/>
      <c r="M102" s="515">
        <v>179</v>
      </c>
      <c r="N102" s="515">
        <v>180</v>
      </c>
      <c r="O102" s="515">
        <v>178</v>
      </c>
      <c r="P102" s="515">
        <v>179</v>
      </c>
      <c r="Q102" s="515">
        <v>177</v>
      </c>
      <c r="R102" s="515">
        <v>131</v>
      </c>
      <c r="S102" s="515">
        <v>98</v>
      </c>
      <c r="T102" s="515">
        <v>9</v>
      </c>
      <c r="U102" s="515">
        <v>1131</v>
      </c>
      <c r="W102" s="512">
        <v>1</v>
      </c>
      <c r="X102" s="512" t="s">
        <v>123</v>
      </c>
      <c r="Y102" s="512">
        <v>892</v>
      </c>
    </row>
    <row r="103" spans="1:25">
      <c r="A103" s="512">
        <v>3024210</v>
      </c>
      <c r="B103" s="515">
        <v>4210</v>
      </c>
      <c r="C103" s="512" t="s">
        <v>1536</v>
      </c>
      <c r="D103" s="515"/>
      <c r="E103" s="515"/>
      <c r="F103" s="515"/>
      <c r="G103" s="515"/>
      <c r="H103" s="515"/>
      <c r="I103" s="515"/>
      <c r="J103" s="515"/>
      <c r="K103" s="515"/>
      <c r="L103" s="515"/>
      <c r="M103" s="515">
        <v>175</v>
      </c>
      <c r="N103" s="515">
        <v>179</v>
      </c>
      <c r="O103" s="515">
        <v>170</v>
      </c>
      <c r="P103" s="515">
        <v>176</v>
      </c>
      <c r="Q103" s="515">
        <v>178</v>
      </c>
      <c r="R103" s="515">
        <v>113</v>
      </c>
      <c r="S103" s="515">
        <v>84</v>
      </c>
      <c r="T103" s="515"/>
      <c r="U103" s="515">
        <v>1075</v>
      </c>
      <c r="W103" s="512">
        <v>4</v>
      </c>
      <c r="X103" s="512" t="s">
        <v>1536</v>
      </c>
      <c r="Y103" s="512">
        <v>879</v>
      </c>
    </row>
    <row r="104" spans="1:25">
      <c r="A104" s="512">
        <v>3024211</v>
      </c>
      <c r="B104" s="515">
        <v>4211</v>
      </c>
      <c r="C104" s="512" t="s">
        <v>381</v>
      </c>
      <c r="D104" s="515"/>
      <c r="E104" s="515"/>
      <c r="F104" s="515"/>
      <c r="G104" s="515"/>
      <c r="H104" s="515"/>
      <c r="I104" s="515"/>
      <c r="J104" s="515"/>
      <c r="K104" s="515"/>
      <c r="L104" s="515"/>
      <c r="M104" s="515">
        <v>117</v>
      </c>
      <c r="N104" s="515">
        <v>132</v>
      </c>
      <c r="O104" s="515">
        <v>142</v>
      </c>
      <c r="P104" s="515">
        <v>145</v>
      </c>
      <c r="Q104" s="515">
        <v>148</v>
      </c>
      <c r="R104" s="515">
        <v>124</v>
      </c>
      <c r="S104" s="515">
        <v>85</v>
      </c>
      <c r="T104" s="515"/>
      <c r="U104" s="515">
        <v>893</v>
      </c>
      <c r="W104" s="512">
        <v>15</v>
      </c>
      <c r="X104" s="512" t="s">
        <v>381</v>
      </c>
      <c r="Y104" s="512">
        <v>713</v>
      </c>
    </row>
    <row r="105" spans="1:25">
      <c r="A105" s="512">
        <v>3024212</v>
      </c>
      <c r="B105" s="515">
        <v>4212</v>
      </c>
      <c r="C105" s="512" t="s">
        <v>1537</v>
      </c>
      <c r="D105" s="515"/>
      <c r="E105" s="515"/>
      <c r="F105" s="515"/>
      <c r="G105" s="515"/>
      <c r="H105" s="515"/>
      <c r="I105" s="515"/>
      <c r="J105" s="515"/>
      <c r="K105" s="515"/>
      <c r="L105" s="515"/>
      <c r="M105" s="515">
        <v>210</v>
      </c>
      <c r="N105" s="515">
        <v>209</v>
      </c>
      <c r="O105" s="515">
        <v>210</v>
      </c>
      <c r="P105" s="515">
        <v>210</v>
      </c>
      <c r="Q105" s="515">
        <v>210</v>
      </c>
      <c r="R105" s="515">
        <v>161</v>
      </c>
      <c r="S105" s="515">
        <v>126</v>
      </c>
      <c r="T105" s="515">
        <v>9</v>
      </c>
      <c r="U105" s="515">
        <v>1345</v>
      </c>
      <c r="W105" s="512">
        <v>-1</v>
      </c>
      <c r="X105" s="512" t="s">
        <v>1537</v>
      </c>
      <c r="Y105" s="512">
        <v>1050</v>
      </c>
    </row>
    <row r="106" spans="1:25">
      <c r="A106" s="512">
        <v>3024215</v>
      </c>
      <c r="B106" s="515">
        <v>4215</v>
      </c>
      <c r="C106" s="512" t="s">
        <v>1538</v>
      </c>
      <c r="D106" s="515"/>
      <c r="E106" s="515"/>
      <c r="F106" s="515"/>
      <c r="G106" s="515"/>
      <c r="H106" s="515"/>
      <c r="I106" s="515"/>
      <c r="J106" s="515"/>
      <c r="K106" s="515"/>
      <c r="L106" s="515"/>
      <c r="M106" s="515">
        <v>209</v>
      </c>
      <c r="N106" s="515">
        <v>209</v>
      </c>
      <c r="O106" s="515">
        <v>209</v>
      </c>
      <c r="P106" s="515">
        <v>179</v>
      </c>
      <c r="Q106" s="515">
        <v>177</v>
      </c>
      <c r="R106" s="515"/>
      <c r="S106" s="515"/>
      <c r="T106" s="515"/>
      <c r="U106" s="515">
        <v>983</v>
      </c>
      <c r="W106" s="512">
        <v>0</v>
      </c>
      <c r="X106" s="512" t="s">
        <v>1538</v>
      </c>
      <c r="Y106" s="512">
        <v>951</v>
      </c>
    </row>
    <row r="107" spans="1:25">
      <c r="A107" s="512">
        <v>3024752</v>
      </c>
      <c r="B107" s="515">
        <v>4752</v>
      </c>
      <c r="C107" s="512" t="s">
        <v>385</v>
      </c>
      <c r="D107" s="515"/>
      <c r="E107" s="515"/>
      <c r="F107" s="515"/>
      <c r="G107" s="515"/>
      <c r="H107" s="515"/>
      <c r="I107" s="515"/>
      <c r="J107" s="515"/>
      <c r="K107" s="515"/>
      <c r="L107" s="515"/>
      <c r="M107" s="515">
        <v>100</v>
      </c>
      <c r="N107" s="515">
        <v>100</v>
      </c>
      <c r="O107" s="515">
        <v>93</v>
      </c>
      <c r="P107" s="515">
        <v>93</v>
      </c>
      <c r="Q107" s="515">
        <v>93</v>
      </c>
      <c r="R107" s="515">
        <v>129</v>
      </c>
      <c r="S107" s="515">
        <v>124</v>
      </c>
      <c r="T107" s="515"/>
      <c r="U107" s="515">
        <v>732</v>
      </c>
      <c r="W107" s="512">
        <v>0</v>
      </c>
      <c r="X107" s="512" t="s">
        <v>385</v>
      </c>
      <c r="Y107" s="512">
        <v>468</v>
      </c>
    </row>
    <row r="108" spans="1:25">
      <c r="A108" s="512">
        <v>3025200</v>
      </c>
      <c r="B108" s="515">
        <v>5200</v>
      </c>
      <c r="C108" s="512" t="s">
        <v>59</v>
      </c>
      <c r="D108" s="515"/>
      <c r="E108" s="515"/>
      <c r="F108" s="515"/>
      <c r="G108" s="515"/>
      <c r="H108" s="515"/>
      <c r="I108" s="515">
        <v>86</v>
      </c>
      <c r="J108" s="515">
        <v>77</v>
      </c>
      <c r="K108" s="515">
        <v>86</v>
      </c>
      <c r="L108" s="515">
        <v>89</v>
      </c>
      <c r="M108" s="515"/>
      <c r="N108" s="515"/>
      <c r="O108" s="515"/>
      <c r="P108" s="515"/>
      <c r="Q108" s="515"/>
      <c r="R108" s="515"/>
      <c r="S108" s="515"/>
      <c r="T108" s="515"/>
      <c r="U108" s="515">
        <v>338</v>
      </c>
      <c r="W108" s="512">
        <v>0</v>
      </c>
      <c r="X108" s="512" t="s">
        <v>59</v>
      </c>
      <c r="Y108" s="512">
        <v>333</v>
      </c>
    </row>
    <row r="109" spans="1:25">
      <c r="A109" s="512">
        <v>3025201</v>
      </c>
      <c r="B109" s="515">
        <v>5201</v>
      </c>
      <c r="C109" s="512" t="s">
        <v>355</v>
      </c>
      <c r="D109" s="515"/>
      <c r="E109" s="515">
        <v>34</v>
      </c>
      <c r="F109" s="515">
        <v>62</v>
      </c>
      <c r="G109" s="515">
        <v>60</v>
      </c>
      <c r="H109" s="515">
        <v>60</v>
      </c>
      <c r="I109" s="515">
        <v>59</v>
      </c>
      <c r="J109" s="515">
        <v>59</v>
      </c>
      <c r="K109" s="515">
        <v>60</v>
      </c>
      <c r="L109" s="515">
        <v>60</v>
      </c>
      <c r="M109" s="515"/>
      <c r="N109" s="515"/>
      <c r="O109" s="515"/>
      <c r="P109" s="515"/>
      <c r="Q109" s="515"/>
      <c r="R109" s="515"/>
      <c r="S109" s="515"/>
      <c r="T109" s="515"/>
      <c r="U109" s="515">
        <v>454</v>
      </c>
      <c r="W109" s="512">
        <v>0</v>
      </c>
      <c r="X109" s="512" t="s">
        <v>355</v>
      </c>
      <c r="Y109" s="512">
        <v>420</v>
      </c>
    </row>
    <row r="110" spans="1:25">
      <c r="A110" s="512">
        <v>3025400</v>
      </c>
      <c r="B110" s="515">
        <v>5400</v>
      </c>
      <c r="C110" s="512" t="s">
        <v>122</v>
      </c>
      <c r="D110" s="515"/>
      <c r="E110" s="515"/>
      <c r="F110" s="515"/>
      <c r="G110" s="515"/>
      <c r="H110" s="515"/>
      <c r="I110" s="515"/>
      <c r="J110" s="515"/>
      <c r="K110" s="515"/>
      <c r="L110" s="515"/>
      <c r="M110" s="515">
        <v>200</v>
      </c>
      <c r="N110" s="515">
        <v>204</v>
      </c>
      <c r="O110" s="515">
        <v>206</v>
      </c>
      <c r="P110" s="515">
        <v>207</v>
      </c>
      <c r="Q110" s="515">
        <v>195</v>
      </c>
      <c r="R110" s="515">
        <v>150</v>
      </c>
      <c r="S110" s="515">
        <v>128</v>
      </c>
      <c r="T110" s="515">
        <v>8</v>
      </c>
      <c r="U110" s="515">
        <v>1298</v>
      </c>
      <c r="W110" s="512">
        <v>4</v>
      </c>
      <c r="X110" s="512" t="s">
        <v>122</v>
      </c>
      <c r="Y110" s="512">
        <v>969</v>
      </c>
    </row>
    <row r="111" spans="1:25">
      <c r="A111" s="512">
        <v>3025401</v>
      </c>
      <c r="B111" s="515">
        <v>5401</v>
      </c>
      <c r="C111" s="512" t="s">
        <v>1539</v>
      </c>
      <c r="D111" s="515"/>
      <c r="E111" s="515"/>
      <c r="F111" s="515"/>
      <c r="G111" s="515"/>
      <c r="H111" s="515"/>
      <c r="I111" s="515"/>
      <c r="J111" s="515"/>
      <c r="K111" s="515"/>
      <c r="L111" s="515"/>
      <c r="M111" s="515">
        <v>181</v>
      </c>
      <c r="N111" s="515">
        <v>180</v>
      </c>
      <c r="O111" s="515">
        <v>181</v>
      </c>
      <c r="P111" s="515">
        <v>180</v>
      </c>
      <c r="Q111" s="515">
        <v>180</v>
      </c>
      <c r="R111" s="515">
        <v>149</v>
      </c>
      <c r="S111" s="515">
        <v>142</v>
      </c>
      <c r="T111" s="515"/>
      <c r="U111" s="515">
        <v>1193</v>
      </c>
      <c r="W111" s="512">
        <v>-1</v>
      </c>
      <c r="X111" s="512" t="s">
        <v>1539</v>
      </c>
      <c r="Y111" s="512">
        <v>898</v>
      </c>
    </row>
    <row r="112" spans="1:25">
      <c r="A112" s="512">
        <v>3025402</v>
      </c>
      <c r="B112" s="515">
        <v>5402</v>
      </c>
      <c r="C112" s="512" t="s">
        <v>408</v>
      </c>
      <c r="D112" s="515"/>
      <c r="E112" s="515"/>
      <c r="F112" s="515"/>
      <c r="G112" s="515"/>
      <c r="H112" s="515"/>
      <c r="I112" s="515"/>
      <c r="J112" s="515"/>
      <c r="K112" s="515"/>
      <c r="L112" s="515"/>
      <c r="M112" s="515">
        <v>244</v>
      </c>
      <c r="N112" s="515">
        <v>243</v>
      </c>
      <c r="O112" s="515">
        <v>244</v>
      </c>
      <c r="P112" s="515">
        <v>264</v>
      </c>
      <c r="Q112" s="515">
        <v>247</v>
      </c>
      <c r="R112" s="515">
        <v>206</v>
      </c>
      <c r="S112" s="515">
        <v>222</v>
      </c>
      <c r="T112" s="515"/>
      <c r="U112" s="515">
        <v>1670</v>
      </c>
      <c r="W112" s="512">
        <v>-1</v>
      </c>
      <c r="X112" s="512" t="s">
        <v>408</v>
      </c>
      <c r="Y112" s="512">
        <v>1204</v>
      </c>
    </row>
    <row r="113" spans="1:25">
      <c r="A113" s="512">
        <v>3025403</v>
      </c>
      <c r="B113" s="515">
        <v>5403</v>
      </c>
      <c r="C113" s="512" t="s">
        <v>1541</v>
      </c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>
        <v>71</v>
      </c>
      <c r="Q113" s="515">
        <v>84</v>
      </c>
      <c r="R113" s="515"/>
      <c r="S113" s="515">
        <v>19</v>
      </c>
      <c r="T113" s="515"/>
      <c r="U113" s="515">
        <v>174</v>
      </c>
      <c r="W113" s="512">
        <v>0</v>
      </c>
      <c r="X113" s="512" t="s">
        <v>1541</v>
      </c>
      <c r="Y113" s="512">
        <v>267</v>
      </c>
    </row>
    <row r="114" spans="1:25">
      <c r="A114" s="512">
        <v>3025404</v>
      </c>
      <c r="B114" s="515">
        <v>5404</v>
      </c>
      <c r="C114" s="512" t="s">
        <v>1542</v>
      </c>
      <c r="D114" s="515"/>
      <c r="E114" s="515"/>
      <c r="F114" s="515"/>
      <c r="G114" s="515"/>
      <c r="H114" s="515"/>
      <c r="I114" s="515"/>
      <c r="J114" s="515"/>
      <c r="K114" s="515"/>
      <c r="L114" s="515"/>
      <c r="M114" s="515">
        <v>96</v>
      </c>
      <c r="N114" s="515">
        <v>96</v>
      </c>
      <c r="O114" s="515">
        <v>96</v>
      </c>
      <c r="P114" s="515">
        <v>95</v>
      </c>
      <c r="Q114" s="515">
        <v>96</v>
      </c>
      <c r="R114" s="515">
        <v>151</v>
      </c>
      <c r="S114" s="515">
        <v>124</v>
      </c>
      <c r="T114" s="515"/>
      <c r="U114" s="515">
        <v>754</v>
      </c>
      <c r="W114" s="512">
        <v>0</v>
      </c>
      <c r="X114" s="512" t="s">
        <v>1542</v>
      </c>
      <c r="Y114" s="512">
        <v>476</v>
      </c>
    </row>
    <row r="115" spans="1:25">
      <c r="A115" s="512">
        <v>3025405</v>
      </c>
      <c r="B115" s="515">
        <v>5405</v>
      </c>
      <c r="C115" s="512" t="s">
        <v>119</v>
      </c>
      <c r="D115" s="515"/>
      <c r="E115" s="515"/>
      <c r="F115" s="515"/>
      <c r="G115" s="515"/>
      <c r="H115" s="515"/>
      <c r="I115" s="515"/>
      <c r="J115" s="515"/>
      <c r="K115" s="515"/>
      <c r="L115" s="515"/>
      <c r="M115" s="515">
        <v>181</v>
      </c>
      <c r="N115" s="515">
        <v>179</v>
      </c>
      <c r="O115" s="515">
        <v>154</v>
      </c>
      <c r="P115" s="515">
        <v>179</v>
      </c>
      <c r="Q115" s="515">
        <v>159</v>
      </c>
      <c r="R115" s="515">
        <v>170</v>
      </c>
      <c r="S115" s="515">
        <v>137</v>
      </c>
      <c r="T115" s="515"/>
      <c r="U115" s="515">
        <v>1159</v>
      </c>
      <c r="W115" s="512">
        <v>-2</v>
      </c>
      <c r="X115" s="512" t="s">
        <v>119</v>
      </c>
      <c r="Y115" s="512">
        <v>834</v>
      </c>
    </row>
    <row r="116" spans="1:25">
      <c r="A116" s="512">
        <v>3025406</v>
      </c>
      <c r="B116" s="515">
        <v>5406</v>
      </c>
      <c r="C116" s="512" t="s">
        <v>409</v>
      </c>
      <c r="D116" s="515"/>
      <c r="E116" s="515"/>
      <c r="F116" s="515"/>
      <c r="G116" s="515"/>
      <c r="H116" s="515"/>
      <c r="I116" s="515"/>
      <c r="J116" s="515"/>
      <c r="K116" s="515"/>
      <c r="L116" s="515"/>
      <c r="M116" s="515">
        <v>232</v>
      </c>
      <c r="N116" s="515">
        <v>232</v>
      </c>
      <c r="O116" s="515">
        <v>225</v>
      </c>
      <c r="P116" s="515">
        <v>224</v>
      </c>
      <c r="Q116" s="515">
        <v>224</v>
      </c>
      <c r="R116" s="515">
        <v>196</v>
      </c>
      <c r="S116" s="515">
        <v>159</v>
      </c>
      <c r="T116" s="515"/>
      <c r="U116" s="515">
        <v>1492</v>
      </c>
      <c r="W116" s="512">
        <v>0</v>
      </c>
      <c r="X116" s="512" t="s">
        <v>409</v>
      </c>
      <c r="Y116" s="512">
        <v>1129</v>
      </c>
    </row>
    <row r="117" spans="1:25">
      <c r="A117" s="512">
        <v>3025407</v>
      </c>
      <c r="B117" s="515">
        <v>5407</v>
      </c>
      <c r="C117" s="512" t="s">
        <v>1543</v>
      </c>
      <c r="D117" s="515"/>
      <c r="E117" s="515"/>
      <c r="F117" s="515"/>
      <c r="G117" s="515"/>
      <c r="H117" s="515"/>
      <c r="I117" s="515"/>
      <c r="J117" s="515"/>
      <c r="K117" s="515"/>
      <c r="L117" s="515"/>
      <c r="M117" s="515">
        <v>180</v>
      </c>
      <c r="N117" s="515">
        <v>179</v>
      </c>
      <c r="O117" s="515">
        <v>177</v>
      </c>
      <c r="P117" s="515">
        <v>182</v>
      </c>
      <c r="Q117" s="515">
        <v>178</v>
      </c>
      <c r="R117" s="515">
        <v>109</v>
      </c>
      <c r="S117" s="515">
        <v>80</v>
      </c>
      <c r="T117" s="515"/>
      <c r="U117" s="515">
        <v>1085</v>
      </c>
      <c r="W117" s="512">
        <v>-1</v>
      </c>
      <c r="X117" s="512" t="s">
        <v>1543</v>
      </c>
      <c r="Y117" s="512">
        <v>893</v>
      </c>
    </row>
    <row r="118" spans="1:25">
      <c r="A118" s="512">
        <v>3025408</v>
      </c>
      <c r="B118" s="515">
        <v>5408</v>
      </c>
      <c r="C118" s="512" t="s">
        <v>380</v>
      </c>
      <c r="D118" s="515"/>
      <c r="E118" s="515"/>
      <c r="F118" s="515"/>
      <c r="G118" s="515"/>
      <c r="H118" s="515"/>
      <c r="I118" s="515"/>
      <c r="J118" s="515"/>
      <c r="K118" s="515"/>
      <c r="L118" s="515"/>
      <c r="M118" s="515">
        <v>90</v>
      </c>
      <c r="N118" s="515">
        <v>77</v>
      </c>
      <c r="O118" s="515">
        <v>103</v>
      </c>
      <c r="P118" s="515">
        <v>127</v>
      </c>
      <c r="Q118" s="515">
        <v>135</v>
      </c>
      <c r="R118" s="515">
        <v>105</v>
      </c>
      <c r="S118" s="515">
        <v>83</v>
      </c>
      <c r="T118" s="515">
        <v>43</v>
      </c>
      <c r="U118" s="515">
        <v>763</v>
      </c>
      <c r="W118" s="512">
        <v>-13</v>
      </c>
      <c r="X118" s="512" t="s">
        <v>380</v>
      </c>
      <c r="Y118" s="512">
        <v>537</v>
      </c>
    </row>
    <row r="119" spans="1:25">
      <c r="A119" s="512">
        <v>3025409</v>
      </c>
      <c r="B119" s="515">
        <v>5409</v>
      </c>
      <c r="C119" s="512" t="s">
        <v>121</v>
      </c>
      <c r="D119" s="515"/>
      <c r="E119" s="515"/>
      <c r="F119" s="515"/>
      <c r="G119" s="515"/>
      <c r="H119" s="515"/>
      <c r="I119" s="515"/>
      <c r="J119" s="515"/>
      <c r="K119" s="515"/>
      <c r="L119" s="515"/>
      <c r="M119" s="515">
        <v>170</v>
      </c>
      <c r="N119" s="515">
        <v>165</v>
      </c>
      <c r="O119" s="515">
        <v>155</v>
      </c>
      <c r="P119" s="515">
        <v>173</v>
      </c>
      <c r="Q119" s="515">
        <v>157</v>
      </c>
      <c r="R119" s="515">
        <v>134</v>
      </c>
      <c r="S119" s="515">
        <v>117</v>
      </c>
      <c r="T119" s="515"/>
      <c r="U119" s="515">
        <v>1071</v>
      </c>
      <c r="W119" s="512">
        <v>-5</v>
      </c>
      <c r="X119" s="512" t="s">
        <v>121</v>
      </c>
      <c r="Y119" s="512">
        <v>798</v>
      </c>
    </row>
    <row r="120" spans="1:25">
      <c r="A120" s="512">
        <v>3025427</v>
      </c>
      <c r="B120" s="515">
        <v>5427</v>
      </c>
      <c r="C120" s="512" t="s">
        <v>1545</v>
      </c>
      <c r="D120" s="515"/>
      <c r="E120" s="515"/>
      <c r="F120" s="515"/>
      <c r="G120" s="515"/>
      <c r="H120" s="515"/>
      <c r="I120" s="515"/>
      <c r="J120" s="515"/>
      <c r="K120" s="515"/>
      <c r="L120" s="515"/>
      <c r="M120" s="515">
        <v>183</v>
      </c>
      <c r="N120" s="515">
        <v>188</v>
      </c>
      <c r="O120" s="515">
        <v>188</v>
      </c>
      <c r="P120" s="515">
        <v>182</v>
      </c>
      <c r="Q120" s="515">
        <v>159</v>
      </c>
      <c r="R120" s="515">
        <v>30</v>
      </c>
      <c r="S120" s="515">
        <v>34</v>
      </c>
      <c r="T120" s="515"/>
      <c r="U120" s="515">
        <v>964</v>
      </c>
      <c r="W120" s="512">
        <v>5</v>
      </c>
      <c r="X120" s="512" t="s">
        <v>1545</v>
      </c>
      <c r="Y120" s="512">
        <v>681</v>
      </c>
    </row>
    <row r="121" spans="1:25">
      <c r="A121" s="512">
        <v>3025948</v>
      </c>
      <c r="B121" s="515">
        <v>5948</v>
      </c>
      <c r="C121" s="512" t="s">
        <v>1546</v>
      </c>
      <c r="D121" s="515"/>
      <c r="E121" s="515">
        <v>25</v>
      </c>
      <c r="F121" s="515">
        <v>31</v>
      </c>
      <c r="G121" s="515">
        <v>29</v>
      </c>
      <c r="H121" s="515">
        <v>29</v>
      </c>
      <c r="I121" s="515">
        <v>28</v>
      </c>
      <c r="J121" s="515">
        <v>28</v>
      </c>
      <c r="K121" s="515">
        <v>28</v>
      </c>
      <c r="L121" s="515">
        <v>28</v>
      </c>
      <c r="M121" s="515"/>
      <c r="N121" s="515"/>
      <c r="O121" s="515"/>
      <c r="P121" s="515"/>
      <c r="Q121" s="515"/>
      <c r="R121" s="515"/>
      <c r="S121" s="515"/>
      <c r="T121" s="515"/>
      <c r="U121" s="515">
        <v>226</v>
      </c>
      <c r="W121" s="512">
        <v>0</v>
      </c>
      <c r="X121" s="512" t="s">
        <v>1546</v>
      </c>
      <c r="Y121" s="512">
        <v>197</v>
      </c>
    </row>
    <row r="122" spans="1:25">
      <c r="A122" s="512">
        <v>3025949</v>
      </c>
      <c r="B122" s="515">
        <v>5949</v>
      </c>
      <c r="C122" s="512" t="s">
        <v>78</v>
      </c>
      <c r="D122" s="515"/>
      <c r="E122" s="515">
        <v>51</v>
      </c>
      <c r="F122" s="515">
        <v>59</v>
      </c>
      <c r="G122" s="515">
        <v>59</v>
      </c>
      <c r="H122" s="515">
        <v>31</v>
      </c>
      <c r="I122" s="515">
        <v>30</v>
      </c>
      <c r="J122" s="515">
        <v>29</v>
      </c>
      <c r="K122" s="515">
        <v>44</v>
      </c>
      <c r="L122" s="515">
        <v>27</v>
      </c>
      <c r="M122" s="515"/>
      <c r="N122" s="515"/>
      <c r="O122" s="515"/>
      <c r="P122" s="515"/>
      <c r="Q122" s="515"/>
      <c r="R122" s="515"/>
      <c r="S122" s="515"/>
      <c r="T122" s="515"/>
      <c r="U122" s="515">
        <v>330</v>
      </c>
      <c r="W122" s="512">
        <v>0</v>
      </c>
      <c r="X122" s="512" t="s">
        <v>78</v>
      </c>
      <c r="Y122" s="512">
        <v>248</v>
      </c>
    </row>
    <row r="123" spans="1:25">
      <c r="A123" s="512">
        <v>3026905</v>
      </c>
      <c r="B123" s="515">
        <v>6905</v>
      </c>
      <c r="C123" s="512" t="s">
        <v>434</v>
      </c>
      <c r="D123" s="515"/>
      <c r="E123" s="515"/>
      <c r="F123" s="515"/>
      <c r="G123" s="515"/>
      <c r="H123" s="515"/>
      <c r="I123" s="515"/>
      <c r="J123" s="515"/>
      <c r="K123" s="515"/>
      <c r="L123" s="515"/>
      <c r="M123" s="515">
        <v>169</v>
      </c>
      <c r="N123" s="515">
        <v>214</v>
      </c>
      <c r="O123" s="515">
        <v>214</v>
      </c>
      <c r="P123" s="515">
        <v>213</v>
      </c>
      <c r="Q123" s="515">
        <v>216</v>
      </c>
      <c r="R123" s="515">
        <v>258</v>
      </c>
      <c r="S123" s="515">
        <v>138</v>
      </c>
      <c r="T123" s="515">
        <v>13</v>
      </c>
      <c r="U123" s="515">
        <v>1435</v>
      </c>
      <c r="W123" s="512">
        <v>45</v>
      </c>
      <c r="X123" s="512" t="s">
        <v>434</v>
      </c>
      <c r="Y123" s="512">
        <v>0</v>
      </c>
    </row>
    <row r="124" spans="1:25">
      <c r="A124" s="512">
        <v>3026906</v>
      </c>
      <c r="B124" s="515">
        <v>6906</v>
      </c>
      <c r="C124" s="512" t="s">
        <v>435</v>
      </c>
      <c r="D124" s="515"/>
      <c r="E124" s="515"/>
      <c r="F124" s="515"/>
      <c r="G124" s="515"/>
      <c r="H124" s="515"/>
      <c r="I124" s="515"/>
      <c r="J124" s="515"/>
      <c r="K124" s="515"/>
      <c r="L124" s="515"/>
      <c r="M124" s="515">
        <v>180</v>
      </c>
      <c r="N124" s="515">
        <v>178</v>
      </c>
      <c r="O124" s="515">
        <v>180</v>
      </c>
      <c r="P124" s="515">
        <v>176</v>
      </c>
      <c r="Q124" s="515">
        <v>175</v>
      </c>
      <c r="R124" s="515">
        <v>103</v>
      </c>
      <c r="S124" s="515">
        <v>79</v>
      </c>
      <c r="T124" s="515"/>
      <c r="U124" s="515">
        <v>1071</v>
      </c>
      <c r="W124" s="512">
        <v>-2</v>
      </c>
      <c r="X124" s="512" t="s">
        <v>435</v>
      </c>
      <c r="Y124" s="512">
        <v>0</v>
      </c>
    </row>
    <row r="125" spans="1:25">
      <c r="A125" s="512">
        <v>3027000</v>
      </c>
      <c r="B125" s="515">
        <v>7000</v>
      </c>
      <c r="C125" s="512" t="s">
        <v>1547</v>
      </c>
      <c r="D125" s="515"/>
      <c r="E125" s="515"/>
      <c r="F125" s="515"/>
      <c r="G125" s="515"/>
      <c r="H125" s="515"/>
      <c r="I125" s="515"/>
      <c r="J125" s="515"/>
      <c r="K125" s="515"/>
      <c r="L125" s="515"/>
      <c r="M125" s="515">
        <v>12</v>
      </c>
      <c r="N125" s="515">
        <v>24</v>
      </c>
      <c r="O125" s="515">
        <v>25</v>
      </c>
      <c r="P125" s="515">
        <v>23</v>
      </c>
      <c r="Q125" s="515">
        <v>23</v>
      </c>
      <c r="R125" s="515">
        <v>11</v>
      </c>
      <c r="S125" s="515">
        <v>26</v>
      </c>
      <c r="T125" s="515">
        <v>14</v>
      </c>
      <c r="U125" s="515">
        <v>158</v>
      </c>
      <c r="W125" s="512">
        <v>12</v>
      </c>
      <c r="X125" s="512" t="s">
        <v>1547</v>
      </c>
      <c r="Y125" s="512">
        <v>0</v>
      </c>
    </row>
    <row r="126" spans="1:25">
      <c r="A126" s="512">
        <v>3027005</v>
      </c>
      <c r="B126" s="515">
        <v>7005</v>
      </c>
      <c r="C126" s="512" t="s">
        <v>130</v>
      </c>
      <c r="D126" s="515"/>
      <c r="E126" s="515"/>
      <c r="F126" s="515">
        <v>9</v>
      </c>
      <c r="G126" s="515">
        <v>8</v>
      </c>
      <c r="H126" s="515">
        <v>17</v>
      </c>
      <c r="I126" s="515">
        <v>16</v>
      </c>
      <c r="J126" s="515">
        <v>16</v>
      </c>
      <c r="K126" s="515">
        <v>13</v>
      </c>
      <c r="L126" s="515">
        <v>16</v>
      </c>
      <c r="M126" s="515"/>
      <c r="N126" s="515"/>
      <c r="O126" s="515"/>
      <c r="P126" s="515"/>
      <c r="Q126" s="515"/>
      <c r="R126" s="515"/>
      <c r="S126" s="515"/>
      <c r="T126" s="515"/>
      <c r="U126" s="515">
        <v>95</v>
      </c>
      <c r="W126" s="512">
        <v>0</v>
      </c>
      <c r="X126" s="512" t="s">
        <v>130</v>
      </c>
      <c r="Y126" s="512">
        <v>0</v>
      </c>
    </row>
    <row r="127" spans="1:25">
      <c r="A127" s="512">
        <v>3027009</v>
      </c>
      <c r="B127" s="515">
        <v>7009</v>
      </c>
      <c r="C127" s="512" t="s">
        <v>132</v>
      </c>
      <c r="D127" s="515">
        <v>12</v>
      </c>
      <c r="E127" s="515">
        <v>34</v>
      </c>
      <c r="F127" s="515">
        <v>17</v>
      </c>
      <c r="G127" s="515">
        <v>15</v>
      </c>
      <c r="H127" s="515">
        <v>6</v>
      </c>
      <c r="I127" s="515">
        <v>12</v>
      </c>
      <c r="J127" s="515">
        <v>11</v>
      </c>
      <c r="K127" s="515">
        <v>10</v>
      </c>
      <c r="L127" s="515">
        <v>5</v>
      </c>
      <c r="M127" s="515"/>
      <c r="N127" s="515"/>
      <c r="O127" s="515"/>
      <c r="P127" s="515"/>
      <c r="Q127" s="515"/>
      <c r="R127" s="515"/>
      <c r="S127" s="515"/>
      <c r="T127" s="515"/>
      <c r="U127" s="515">
        <v>122</v>
      </c>
      <c r="W127" s="512">
        <v>0</v>
      </c>
      <c r="X127" s="512" t="s">
        <v>132</v>
      </c>
      <c r="Y127" s="512">
        <v>0</v>
      </c>
    </row>
    <row r="128" spans="1:25">
      <c r="A128" s="512">
        <v>3027010</v>
      </c>
      <c r="B128" s="515">
        <v>7010</v>
      </c>
      <c r="C128" s="512" t="s">
        <v>129</v>
      </c>
      <c r="D128" s="515"/>
      <c r="E128" s="515"/>
      <c r="F128" s="515"/>
      <c r="G128" s="515"/>
      <c r="H128" s="515"/>
      <c r="I128" s="515"/>
      <c r="J128" s="515"/>
      <c r="K128" s="515"/>
      <c r="L128" s="515"/>
      <c r="M128" s="515">
        <v>9</v>
      </c>
      <c r="N128" s="515">
        <v>9</v>
      </c>
      <c r="O128" s="515">
        <v>12</v>
      </c>
      <c r="P128" s="515">
        <v>9</v>
      </c>
      <c r="Q128" s="515">
        <v>11</v>
      </c>
      <c r="R128" s="515">
        <v>12</v>
      </c>
      <c r="S128" s="515">
        <v>5</v>
      </c>
      <c r="T128" s="515">
        <v>5</v>
      </c>
      <c r="U128" s="515">
        <v>72</v>
      </c>
      <c r="W128" s="512">
        <v>0</v>
      </c>
      <c r="X128" s="512" t="s">
        <v>129</v>
      </c>
      <c r="Y128" s="512">
        <v>0</v>
      </c>
    </row>
    <row r="129" spans="1:25">
      <c r="A129" s="512" t="s">
        <v>688</v>
      </c>
      <c r="D129" s="515">
        <v>272</v>
      </c>
      <c r="E129" s="515">
        <v>2579</v>
      </c>
      <c r="F129" s="515">
        <v>4284</v>
      </c>
      <c r="G129" s="515">
        <v>4300</v>
      </c>
      <c r="H129" s="515">
        <v>4373</v>
      </c>
      <c r="I129" s="515">
        <v>4052</v>
      </c>
      <c r="J129" s="515">
        <v>3912</v>
      </c>
      <c r="K129" s="515">
        <v>3844</v>
      </c>
      <c r="L129" s="515">
        <v>3620</v>
      </c>
      <c r="M129" s="515">
        <v>3817</v>
      </c>
      <c r="N129" s="515">
        <v>3778</v>
      </c>
      <c r="O129" s="515">
        <v>3568</v>
      </c>
      <c r="P129" s="515">
        <v>3737</v>
      </c>
      <c r="Q129" s="515">
        <v>3680</v>
      </c>
      <c r="R129" s="515">
        <v>2517</v>
      </c>
      <c r="S129" s="515">
        <v>2090</v>
      </c>
      <c r="T129" s="515">
        <v>101</v>
      </c>
      <c r="U129" s="515">
        <v>54524</v>
      </c>
      <c r="W129" s="512">
        <v>-39</v>
      </c>
      <c r="X129" s="512">
        <v>0</v>
      </c>
      <c r="Y129" s="512">
        <v>0</v>
      </c>
    </row>
    <row r="130" spans="1:25">
      <c r="D130" s="512" t="s">
        <v>1464</v>
      </c>
      <c r="E130" s="512" t="s">
        <v>1465</v>
      </c>
      <c r="F130" s="512" t="s">
        <v>1466</v>
      </c>
      <c r="G130" s="512" t="s">
        <v>1467</v>
      </c>
      <c r="H130" s="512" t="s">
        <v>1468</v>
      </c>
      <c r="I130" s="512" t="s">
        <v>1469</v>
      </c>
      <c r="J130" s="512" t="s">
        <v>1470</v>
      </c>
      <c r="K130" s="512" t="s">
        <v>1471</v>
      </c>
      <c r="L130" s="512" t="s">
        <v>1472</v>
      </c>
      <c r="M130" s="512" t="s">
        <v>1473</v>
      </c>
      <c r="N130" s="512" t="s">
        <v>1474</v>
      </c>
      <c r="O130" s="512" t="s">
        <v>1475</v>
      </c>
      <c r="P130" s="512" t="s">
        <v>1476</v>
      </c>
      <c r="Q130" s="512" t="s">
        <v>1477</v>
      </c>
      <c r="R130" s="512" t="s">
        <v>1478</v>
      </c>
      <c r="S130" s="512" t="s">
        <v>1479</v>
      </c>
      <c r="T130" s="512" t="s">
        <v>1480</v>
      </c>
    </row>
    <row r="131" spans="1:25">
      <c r="D131" s="512">
        <v>272</v>
      </c>
      <c r="E131" s="512">
        <v>2579</v>
      </c>
      <c r="F131" s="512">
        <v>4284</v>
      </c>
      <c r="G131" s="512">
        <v>4300</v>
      </c>
      <c r="H131" s="512">
        <v>4373</v>
      </c>
      <c r="I131" s="512">
        <v>4052</v>
      </c>
      <c r="J131" s="512">
        <v>3912</v>
      </c>
      <c r="K131" s="512">
        <v>3844</v>
      </c>
      <c r="L131" s="512">
        <v>3620</v>
      </c>
      <c r="M131" s="512">
        <v>3817</v>
      </c>
      <c r="N131" s="512">
        <v>3778</v>
      </c>
      <c r="O131" s="512">
        <v>3568</v>
      </c>
      <c r="P131" s="512">
        <v>3737</v>
      </c>
      <c r="Q131" s="512">
        <v>3680</v>
      </c>
      <c r="R131" s="512">
        <v>2517</v>
      </c>
      <c r="S131" s="512">
        <v>2090</v>
      </c>
      <c r="T131" s="512">
        <v>101</v>
      </c>
    </row>
    <row r="132" spans="1:25">
      <c r="A132" s="512" t="s">
        <v>1593</v>
      </c>
    </row>
    <row r="133" spans="1:25">
      <c r="A133" s="512">
        <v>3022022</v>
      </c>
      <c r="C133" s="512" t="s">
        <v>61</v>
      </c>
    </row>
    <row r="134" spans="1:25">
      <c r="A134" s="512">
        <v>532047</v>
      </c>
      <c r="C134" s="512" t="s">
        <v>1594</v>
      </c>
    </row>
    <row r="135" spans="1:25">
      <c r="A135" s="512">
        <v>532048</v>
      </c>
      <c r="C135" s="512" t="s">
        <v>1595</v>
      </c>
    </row>
    <row r="136" spans="1:25">
      <c r="A136" s="512">
        <v>532050</v>
      </c>
      <c r="C136" s="512" t="s">
        <v>1596</v>
      </c>
    </row>
    <row r="137" spans="1:25">
      <c r="A137" s="512">
        <v>532051</v>
      </c>
      <c r="C137" s="512" t="s">
        <v>1597</v>
      </c>
    </row>
    <row r="138" spans="1:25">
      <c r="A138" s="512">
        <v>598647</v>
      </c>
      <c r="C138" s="512" t="s">
        <v>1598</v>
      </c>
    </row>
    <row r="139" spans="1:25">
      <c r="A139" s="512">
        <v>3022056</v>
      </c>
      <c r="C139" s="512" t="s">
        <v>113</v>
      </c>
    </row>
    <row r="140" spans="1:25">
      <c r="A140" s="512">
        <v>3029996</v>
      </c>
      <c r="C140" s="512" t="s">
        <v>1599</v>
      </c>
    </row>
    <row r="141" spans="1:25">
      <c r="A141" s="512" t="s">
        <v>1600</v>
      </c>
    </row>
    <row r="142" spans="1:25">
      <c r="A142" s="566">
        <v>550458</v>
      </c>
      <c r="B142" s="566"/>
      <c r="C142" s="567" t="s">
        <v>1601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1913"/>
  <sheetViews>
    <sheetView workbookViewId="0">
      <pane xSplit="7" ySplit="1" topLeftCell="H92" activePane="bottomRight" state="frozen"/>
      <selection activeCell="P27" sqref="P27"/>
      <selection pane="topRight" activeCell="P27" sqref="P27"/>
      <selection pane="bottomLeft" activeCell="P27" sqref="P27"/>
      <selection pane="bottomRight" activeCell="P27" sqref="P27"/>
    </sheetView>
  </sheetViews>
  <sheetFormatPr defaultColWidth="9.28515625" defaultRowHeight="12.75"/>
  <cols>
    <col min="1" max="1" width="7.85546875" style="449" bestFit="1" customWidth="1"/>
    <col min="2" max="2" width="8.7109375" style="449" bestFit="1" customWidth="1"/>
    <col min="3" max="3" width="7.7109375" style="449" bestFit="1" customWidth="1"/>
    <col min="4" max="4" width="8" style="449" bestFit="1" customWidth="1"/>
    <col min="5" max="5" width="7.85546875" style="449" bestFit="1" customWidth="1"/>
    <col min="6" max="6" width="7.85546875" style="449" customWidth="1"/>
    <col min="7" max="7" width="34.42578125" style="449" bestFit="1" customWidth="1"/>
    <col min="8" max="8" width="8.42578125" style="449" bestFit="1" customWidth="1"/>
    <col min="9" max="9" width="7.7109375" style="449" bestFit="1" customWidth="1"/>
    <col min="10" max="10" width="11" style="449" bestFit="1" customWidth="1"/>
    <col min="11" max="11" width="12.7109375" style="449" bestFit="1" customWidth="1"/>
    <col min="12" max="12" width="8.85546875" style="449" bestFit="1" customWidth="1"/>
    <col min="13" max="13" width="6.85546875" style="449" bestFit="1" customWidth="1"/>
    <col min="14" max="14" width="6.85546875" style="449" customWidth="1"/>
    <col min="15" max="15" width="6.85546875" style="505" customWidth="1"/>
    <col min="16" max="16" width="6.5703125" style="505" customWidth="1"/>
    <col min="17" max="17" width="7" style="506" customWidth="1"/>
    <col min="18" max="18" width="7" style="450" customWidth="1"/>
    <col min="19" max="19" width="7" style="506" customWidth="1"/>
    <col min="20" max="20" width="7.140625" style="507" bestFit="1" customWidth="1"/>
    <col min="21" max="21" width="5.85546875" style="508" customWidth="1"/>
    <col min="22" max="22" width="9.85546875" style="509" bestFit="1" customWidth="1"/>
    <col min="23" max="23" width="8.140625" style="509" bestFit="1" customWidth="1"/>
    <col min="24" max="24" width="12" style="510" bestFit="1" customWidth="1"/>
    <col min="25" max="25" width="12" style="510" customWidth="1"/>
    <col min="26" max="26" width="13.7109375" style="511" bestFit="1" customWidth="1"/>
    <col min="27" max="27" width="12.42578125" style="511" bestFit="1" customWidth="1"/>
    <col min="28" max="28" width="4.140625" style="449" customWidth="1"/>
    <col min="29" max="29" width="8.7109375" style="449" bestFit="1" customWidth="1"/>
    <col min="30" max="30" width="6.42578125" style="449" bestFit="1" customWidth="1"/>
    <col min="31" max="31" width="12.140625" style="449" bestFit="1" customWidth="1"/>
    <col min="32" max="32" width="21" style="449" bestFit="1" customWidth="1"/>
    <col min="33" max="33" width="17" style="449" bestFit="1" customWidth="1"/>
    <col min="34" max="34" width="6.42578125" style="449" bestFit="1" customWidth="1"/>
    <col min="35" max="35" width="8.28515625" style="449" bestFit="1" customWidth="1"/>
    <col min="36" max="36" width="17" style="449" bestFit="1" customWidth="1"/>
    <col min="37" max="37" width="20.85546875" style="449" bestFit="1" customWidth="1"/>
    <col min="38" max="38" width="20.7109375" style="449" bestFit="1" customWidth="1"/>
    <col min="39" max="39" width="19.85546875" style="449" bestFit="1" customWidth="1"/>
    <col min="40" max="40" width="10.42578125" style="449" bestFit="1" customWidth="1"/>
    <col min="41" max="41" width="8.85546875" style="449" bestFit="1" customWidth="1"/>
    <col min="42" max="42" width="9.7109375" style="449" bestFit="1" customWidth="1"/>
    <col min="43" max="43" width="10" style="449" bestFit="1" customWidth="1"/>
    <col min="44" max="44" width="9.85546875" style="449" bestFit="1" customWidth="1"/>
    <col min="45" max="45" width="18.7109375" style="449" bestFit="1" customWidth="1"/>
    <col min="46" max="46" width="14.7109375" style="449" bestFit="1" customWidth="1"/>
    <col min="47" max="47" width="25.85546875" style="449" bestFit="1" customWidth="1"/>
    <col min="48" max="48" width="8.140625" style="449" bestFit="1" customWidth="1"/>
    <col min="49" max="49" width="19.85546875" style="449" bestFit="1" customWidth="1"/>
    <col min="50" max="50" width="9" style="449" bestFit="1" customWidth="1"/>
    <col min="51" max="16384" width="9.28515625" style="449"/>
  </cols>
  <sheetData>
    <row r="1" spans="1:255" s="446" customFormat="1" ht="51">
      <c r="A1" s="430" t="s">
        <v>696</v>
      </c>
      <c r="B1" s="431" t="s">
        <v>697</v>
      </c>
      <c r="C1" s="432" t="s">
        <v>698</v>
      </c>
      <c r="D1" s="432" t="s">
        <v>682</v>
      </c>
      <c r="E1" s="432" t="s">
        <v>584</v>
      </c>
      <c r="F1" s="432"/>
      <c r="G1" s="433" t="s">
        <v>148</v>
      </c>
      <c r="H1" s="433" t="s">
        <v>542</v>
      </c>
      <c r="I1" s="433" t="s">
        <v>699</v>
      </c>
      <c r="J1" s="432" t="s">
        <v>700</v>
      </c>
      <c r="K1" s="433" t="s">
        <v>701</v>
      </c>
      <c r="L1" s="434" t="s">
        <v>702</v>
      </c>
      <c r="M1" s="435" t="s">
        <v>703</v>
      </c>
      <c r="N1" s="435" t="s">
        <v>704</v>
      </c>
      <c r="O1" s="436" t="s">
        <v>705</v>
      </c>
      <c r="P1" s="436" t="s">
        <v>706</v>
      </c>
      <c r="Q1" s="437" t="s">
        <v>707</v>
      </c>
      <c r="R1" s="568"/>
      <c r="S1" s="437" t="s">
        <v>708</v>
      </c>
      <c r="T1" s="438" t="s">
        <v>709</v>
      </c>
      <c r="U1" s="439" t="s">
        <v>710</v>
      </c>
      <c r="V1" s="440" t="s">
        <v>711</v>
      </c>
      <c r="W1" s="440" t="s">
        <v>712</v>
      </c>
      <c r="X1" s="441" t="s">
        <v>713</v>
      </c>
      <c r="Y1" s="441" t="s">
        <v>714</v>
      </c>
      <c r="Z1" s="442" t="s">
        <v>715</v>
      </c>
      <c r="AA1" s="442" t="s">
        <v>716</v>
      </c>
      <c r="AB1" s="433" t="s">
        <v>717</v>
      </c>
      <c r="AC1" s="433" t="s">
        <v>679</v>
      </c>
      <c r="AD1" s="433" t="s">
        <v>683</v>
      </c>
      <c r="AE1" s="433" t="s">
        <v>718</v>
      </c>
      <c r="AF1" s="433" t="s">
        <v>719</v>
      </c>
      <c r="AG1" s="433" t="s">
        <v>720</v>
      </c>
      <c r="AH1" s="433" t="s">
        <v>677</v>
      </c>
      <c r="AI1" s="443" t="s">
        <v>680</v>
      </c>
      <c r="AJ1" s="444" t="s">
        <v>721</v>
      </c>
      <c r="AK1" s="444" t="s">
        <v>722</v>
      </c>
      <c r="AL1" s="444" t="s">
        <v>723</v>
      </c>
      <c r="AM1" s="444" t="s">
        <v>724</v>
      </c>
      <c r="AN1" s="435" t="s">
        <v>725</v>
      </c>
      <c r="AO1" s="445" t="s">
        <v>726</v>
      </c>
      <c r="AP1" s="445" t="s">
        <v>727</v>
      </c>
      <c r="AQ1" s="445" t="s">
        <v>728</v>
      </c>
      <c r="AR1" s="445" t="s">
        <v>729</v>
      </c>
      <c r="AS1" s="433" t="s">
        <v>730</v>
      </c>
      <c r="AT1" s="433" t="s">
        <v>731</v>
      </c>
      <c r="AU1" s="433" t="s">
        <v>732</v>
      </c>
      <c r="AV1" s="432" t="s">
        <v>733</v>
      </c>
      <c r="AW1" s="444" t="s">
        <v>734</v>
      </c>
      <c r="AX1" s="433" t="s">
        <v>735</v>
      </c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33"/>
      <c r="CA1" s="433"/>
      <c r="CB1" s="433"/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33"/>
      <c r="CQ1" s="433"/>
      <c r="CR1" s="433"/>
      <c r="CS1" s="433"/>
      <c r="CT1" s="433"/>
      <c r="CU1" s="433"/>
      <c r="CV1" s="433"/>
      <c r="CW1" s="433"/>
      <c r="CX1" s="433"/>
      <c r="CY1" s="433"/>
      <c r="CZ1" s="433"/>
      <c r="DA1" s="433"/>
      <c r="DB1" s="433"/>
      <c r="DC1" s="433"/>
      <c r="DD1" s="433"/>
      <c r="DE1" s="433"/>
      <c r="DF1" s="433"/>
      <c r="DG1" s="433"/>
      <c r="DH1" s="433"/>
      <c r="DI1" s="433"/>
      <c r="DJ1" s="433"/>
      <c r="DK1" s="433"/>
      <c r="DL1" s="433"/>
      <c r="DM1" s="433"/>
      <c r="DN1" s="433"/>
      <c r="DO1" s="433"/>
      <c r="DP1" s="433"/>
      <c r="DQ1" s="433"/>
      <c r="DR1" s="433"/>
      <c r="DS1" s="433"/>
      <c r="DT1" s="433"/>
      <c r="DU1" s="433"/>
      <c r="DV1" s="433"/>
      <c r="DW1" s="433"/>
      <c r="DX1" s="433"/>
      <c r="DY1" s="433"/>
      <c r="DZ1" s="433"/>
      <c r="EA1" s="433"/>
      <c r="EB1" s="433"/>
      <c r="EC1" s="433"/>
      <c r="ED1" s="433"/>
      <c r="EE1" s="433"/>
      <c r="EF1" s="433"/>
      <c r="EG1" s="433"/>
      <c r="EH1" s="433"/>
      <c r="EI1" s="433"/>
      <c r="EJ1" s="433"/>
      <c r="EK1" s="433"/>
      <c r="EL1" s="433"/>
      <c r="EM1" s="433"/>
      <c r="EN1" s="433"/>
      <c r="EO1" s="433"/>
      <c r="EP1" s="433"/>
      <c r="EQ1" s="433"/>
      <c r="ER1" s="433"/>
      <c r="ES1" s="433"/>
      <c r="ET1" s="433"/>
      <c r="EU1" s="433"/>
      <c r="EV1" s="433"/>
      <c r="EW1" s="433"/>
      <c r="EX1" s="433"/>
      <c r="EY1" s="433"/>
      <c r="EZ1" s="433"/>
      <c r="FA1" s="433"/>
      <c r="FB1" s="433"/>
      <c r="FC1" s="433"/>
      <c r="FD1" s="433"/>
      <c r="FE1" s="433"/>
      <c r="FF1" s="433"/>
      <c r="FG1" s="433"/>
      <c r="FH1" s="433"/>
      <c r="FI1" s="433"/>
      <c r="FJ1" s="433"/>
      <c r="FK1" s="433"/>
      <c r="FL1" s="433"/>
      <c r="FM1" s="433"/>
      <c r="FN1" s="433"/>
      <c r="FO1" s="433"/>
      <c r="FP1" s="433"/>
      <c r="FQ1" s="433"/>
      <c r="FR1" s="433"/>
      <c r="FS1" s="433"/>
      <c r="FT1" s="433"/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433"/>
      <c r="GH1" s="433"/>
      <c r="GI1" s="433"/>
      <c r="GJ1" s="433"/>
      <c r="GK1" s="433"/>
      <c r="GL1" s="433"/>
      <c r="GM1" s="433"/>
      <c r="GN1" s="433"/>
      <c r="GO1" s="433"/>
      <c r="GP1" s="433"/>
      <c r="GQ1" s="433"/>
      <c r="GR1" s="433"/>
      <c r="GS1" s="433"/>
      <c r="GT1" s="433"/>
      <c r="GU1" s="433"/>
      <c r="GV1" s="433"/>
      <c r="GW1" s="433"/>
      <c r="GX1" s="433"/>
      <c r="GY1" s="433"/>
      <c r="GZ1" s="433"/>
      <c r="HA1" s="433"/>
      <c r="HB1" s="433"/>
      <c r="HC1" s="433"/>
      <c r="HD1" s="433"/>
      <c r="HE1" s="433"/>
      <c r="HF1" s="433"/>
      <c r="HG1" s="433"/>
      <c r="HH1" s="433"/>
      <c r="HI1" s="433"/>
      <c r="HJ1" s="433"/>
      <c r="HK1" s="433"/>
      <c r="HL1" s="433"/>
      <c r="HM1" s="433"/>
      <c r="HN1" s="433"/>
      <c r="HO1" s="433"/>
      <c r="HP1" s="433"/>
      <c r="HQ1" s="433"/>
      <c r="HR1" s="433"/>
      <c r="HS1" s="433"/>
      <c r="HT1" s="433"/>
      <c r="HU1" s="433"/>
      <c r="HV1" s="433"/>
      <c r="HW1" s="433"/>
      <c r="HX1" s="433"/>
      <c r="HY1" s="433"/>
      <c r="HZ1" s="433"/>
      <c r="IA1" s="433"/>
      <c r="IB1" s="433"/>
      <c r="IC1" s="433"/>
      <c r="ID1" s="433"/>
      <c r="IE1" s="433"/>
      <c r="IF1" s="433"/>
      <c r="IG1" s="433"/>
      <c r="IH1" s="433"/>
      <c r="II1" s="433"/>
      <c r="IJ1" s="433"/>
      <c r="IK1" s="433"/>
      <c r="IL1" s="433"/>
      <c r="IM1" s="433"/>
      <c r="IN1" s="433"/>
      <c r="IO1" s="433"/>
      <c r="IP1" s="433"/>
      <c r="IQ1" s="433"/>
      <c r="IR1" s="433"/>
      <c r="IS1" s="433"/>
      <c r="IT1" s="433"/>
      <c r="IU1" s="433"/>
    </row>
    <row r="2" spans="1:255" s="468" customFormat="1">
      <c r="A2" s="447"/>
      <c r="B2" s="448">
        <v>41582</v>
      </c>
      <c r="C2" s="449" t="s">
        <v>736</v>
      </c>
      <c r="D2" s="449" t="s">
        <v>686</v>
      </c>
      <c r="E2" s="449">
        <v>302</v>
      </c>
      <c r="F2" s="449">
        <v>1100</v>
      </c>
      <c r="G2" s="449" t="s">
        <v>451</v>
      </c>
      <c r="H2" s="449" t="s">
        <v>737</v>
      </c>
      <c r="I2" s="449" t="s">
        <v>738</v>
      </c>
      <c r="J2" s="449" t="s">
        <v>739</v>
      </c>
      <c r="K2" s="450" t="s">
        <v>740</v>
      </c>
      <c r="L2" s="451">
        <v>1</v>
      </c>
      <c r="M2" s="452">
        <v>900</v>
      </c>
      <c r="N2" s="452"/>
      <c r="O2" s="453">
        <v>0</v>
      </c>
      <c r="P2" s="453"/>
      <c r="Q2" s="454">
        <v>48</v>
      </c>
      <c r="R2" s="569"/>
      <c r="S2" s="454">
        <v>0</v>
      </c>
      <c r="T2" s="455">
        <v>48</v>
      </c>
      <c r="U2" s="456">
        <v>0</v>
      </c>
      <c r="V2" s="457">
        <v>43200</v>
      </c>
      <c r="W2" s="457">
        <v>0</v>
      </c>
      <c r="X2" s="458">
        <v>43200</v>
      </c>
      <c r="Y2" s="458">
        <v>0</v>
      </c>
      <c r="Z2" s="459" t="e">
        <v>#VALUE!</v>
      </c>
      <c r="AA2" s="459"/>
      <c r="AB2" s="450" t="s">
        <v>224</v>
      </c>
      <c r="AC2" s="460"/>
      <c r="AD2" s="450"/>
      <c r="AE2" s="450"/>
      <c r="AF2" s="461"/>
      <c r="AG2" s="461"/>
      <c r="AH2" s="450"/>
      <c r="AI2" s="462" t="s">
        <v>741</v>
      </c>
      <c r="AJ2" s="463"/>
      <c r="AK2" s="463"/>
      <c r="AL2" s="449"/>
      <c r="AM2" s="449"/>
      <c r="AN2" s="464"/>
      <c r="AO2" s="449"/>
      <c r="AP2" s="464"/>
      <c r="AQ2" s="464"/>
      <c r="AR2" s="464"/>
      <c r="AS2" s="450"/>
      <c r="AT2" s="450"/>
      <c r="AU2" s="450"/>
      <c r="AV2" s="465"/>
      <c r="AW2" s="466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  <c r="DJ2" s="467"/>
      <c r="DK2" s="467"/>
      <c r="DL2" s="467"/>
      <c r="DM2" s="467"/>
      <c r="DN2" s="467"/>
      <c r="DO2" s="467"/>
      <c r="DP2" s="467"/>
      <c r="DQ2" s="467"/>
      <c r="DR2" s="467"/>
      <c r="DS2" s="467"/>
      <c r="DT2" s="467"/>
      <c r="DU2" s="467"/>
      <c r="DV2" s="467"/>
      <c r="DW2" s="467"/>
      <c r="DX2" s="467"/>
      <c r="DY2" s="467"/>
      <c r="DZ2" s="467"/>
      <c r="EA2" s="467"/>
      <c r="EB2" s="467"/>
      <c r="EC2" s="467"/>
      <c r="ED2" s="467"/>
      <c r="EE2" s="467"/>
      <c r="EF2" s="467"/>
      <c r="EG2" s="467"/>
      <c r="EH2" s="467"/>
      <c r="EI2" s="467"/>
      <c r="EJ2" s="467"/>
      <c r="EK2" s="467"/>
      <c r="EL2" s="467"/>
      <c r="EM2" s="467"/>
      <c r="EN2" s="467"/>
      <c r="EO2" s="467"/>
      <c r="EP2" s="467"/>
      <c r="EQ2" s="467"/>
      <c r="ER2" s="467"/>
      <c r="ES2" s="467"/>
      <c r="ET2" s="467"/>
      <c r="EU2" s="467"/>
      <c r="EV2" s="467"/>
      <c r="EW2" s="467"/>
      <c r="EX2" s="467"/>
      <c r="EY2" s="467"/>
      <c r="EZ2" s="467"/>
      <c r="FA2" s="467"/>
      <c r="FB2" s="467"/>
      <c r="FC2" s="467"/>
      <c r="FD2" s="467"/>
      <c r="FE2" s="467"/>
      <c r="FF2" s="467"/>
      <c r="FG2" s="467"/>
      <c r="FH2" s="467"/>
      <c r="FI2" s="467"/>
      <c r="FJ2" s="467"/>
      <c r="FK2" s="467"/>
      <c r="FL2" s="467"/>
      <c r="FM2" s="467"/>
      <c r="FN2" s="467"/>
      <c r="FO2" s="467"/>
      <c r="FP2" s="467"/>
      <c r="FQ2" s="467"/>
      <c r="FR2" s="467"/>
      <c r="FS2" s="467"/>
      <c r="FT2" s="467"/>
      <c r="FU2" s="467"/>
      <c r="FV2" s="467"/>
      <c r="FW2" s="467"/>
      <c r="FX2" s="467"/>
      <c r="FY2" s="467"/>
      <c r="FZ2" s="467"/>
      <c r="GA2" s="467"/>
      <c r="GB2" s="467"/>
      <c r="GC2" s="467"/>
      <c r="GD2" s="467"/>
      <c r="GE2" s="467"/>
      <c r="GF2" s="467"/>
      <c r="GG2" s="467"/>
      <c r="GH2" s="467"/>
      <c r="GI2" s="467"/>
      <c r="GJ2" s="467"/>
      <c r="GK2" s="467"/>
      <c r="GL2" s="467"/>
      <c r="GM2" s="467"/>
      <c r="GN2" s="467"/>
      <c r="GO2" s="467"/>
      <c r="GP2" s="467"/>
      <c r="GQ2" s="467"/>
      <c r="GR2" s="467"/>
      <c r="GS2" s="467"/>
      <c r="GT2" s="467"/>
      <c r="GU2" s="467"/>
      <c r="GV2" s="467"/>
      <c r="GW2" s="467"/>
      <c r="GX2" s="467"/>
      <c r="GY2" s="467"/>
      <c r="GZ2" s="467"/>
      <c r="HA2" s="467"/>
      <c r="HB2" s="467"/>
      <c r="HC2" s="467"/>
      <c r="HD2" s="467"/>
      <c r="HE2" s="467"/>
      <c r="HF2" s="467"/>
      <c r="HG2" s="467"/>
      <c r="HH2" s="467"/>
      <c r="HI2" s="467"/>
      <c r="HJ2" s="467"/>
      <c r="HK2" s="467"/>
      <c r="HL2" s="467"/>
      <c r="HM2" s="467"/>
      <c r="HN2" s="467"/>
      <c r="HO2" s="467"/>
      <c r="HP2" s="467"/>
      <c r="HQ2" s="467"/>
      <c r="HR2" s="467"/>
      <c r="HS2" s="467"/>
      <c r="HT2" s="467"/>
      <c r="HU2" s="467"/>
      <c r="HV2" s="467"/>
      <c r="HW2" s="467"/>
      <c r="HX2" s="467"/>
      <c r="HY2" s="467"/>
      <c r="HZ2" s="467"/>
      <c r="IA2" s="467"/>
      <c r="IB2" s="467"/>
      <c r="IC2" s="467"/>
      <c r="ID2" s="467"/>
      <c r="IE2" s="467"/>
      <c r="IF2" s="467"/>
      <c r="IG2" s="467"/>
      <c r="IH2" s="467"/>
      <c r="II2" s="467"/>
      <c r="IJ2" s="467"/>
      <c r="IK2" s="467"/>
      <c r="IL2" s="467"/>
      <c r="IM2" s="467"/>
      <c r="IN2" s="467"/>
      <c r="IO2" s="467"/>
      <c r="IP2" s="467"/>
      <c r="IQ2" s="467"/>
      <c r="IR2" s="467"/>
      <c r="IS2" s="467"/>
      <c r="IT2" s="467"/>
      <c r="IU2" s="467"/>
    </row>
    <row r="3" spans="1:255" s="468" customFormat="1">
      <c r="A3" s="447"/>
      <c r="B3" s="448">
        <v>41582</v>
      </c>
      <c r="C3" s="449" t="s">
        <v>736</v>
      </c>
      <c r="D3" s="449" t="s">
        <v>686</v>
      </c>
      <c r="E3" s="449">
        <v>302</v>
      </c>
      <c r="F3" s="449">
        <v>1102</v>
      </c>
      <c r="G3" s="449" t="s">
        <v>742</v>
      </c>
      <c r="H3" s="449" t="s">
        <v>737</v>
      </c>
      <c r="I3" s="449" t="s">
        <v>738</v>
      </c>
      <c r="J3" s="449" t="s">
        <v>739</v>
      </c>
      <c r="K3" s="450" t="s">
        <v>740</v>
      </c>
      <c r="L3" s="451">
        <v>1</v>
      </c>
      <c r="M3" s="452">
        <v>900</v>
      </c>
      <c r="N3" s="452"/>
      <c r="O3" s="453">
        <v>0</v>
      </c>
      <c r="P3" s="453"/>
      <c r="Q3" s="454">
        <v>7</v>
      </c>
      <c r="R3" s="569"/>
      <c r="S3" s="454">
        <v>0</v>
      </c>
      <c r="T3" s="455">
        <v>7</v>
      </c>
      <c r="U3" s="456">
        <v>0</v>
      </c>
      <c r="V3" s="457">
        <v>6300</v>
      </c>
      <c r="W3" s="457">
        <v>0</v>
      </c>
      <c r="X3" s="458">
        <v>6300</v>
      </c>
      <c r="Y3" s="458">
        <v>0</v>
      </c>
      <c r="Z3" s="459" t="e">
        <v>#VALUE!</v>
      </c>
      <c r="AA3" s="459"/>
      <c r="AB3" s="450" t="s">
        <v>224</v>
      </c>
      <c r="AC3" s="460"/>
      <c r="AD3" s="450"/>
      <c r="AE3" s="450"/>
      <c r="AF3" s="461"/>
      <c r="AG3" s="461"/>
      <c r="AH3" s="450"/>
      <c r="AI3" s="462" t="s">
        <v>741</v>
      </c>
      <c r="AJ3" s="463"/>
      <c r="AK3" s="463"/>
      <c r="AL3" s="449"/>
      <c r="AM3" s="449"/>
      <c r="AN3" s="464"/>
      <c r="AO3" s="449"/>
      <c r="AP3" s="464"/>
      <c r="AQ3" s="464"/>
      <c r="AR3" s="464"/>
      <c r="AS3" s="450"/>
      <c r="AT3" s="450"/>
      <c r="AU3" s="450"/>
      <c r="AV3" s="465"/>
      <c r="AW3" s="466"/>
      <c r="AX3" s="467"/>
      <c r="AY3" s="467"/>
      <c r="AZ3" s="467"/>
      <c r="BA3" s="467"/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  <c r="DJ3" s="467"/>
      <c r="DK3" s="467"/>
      <c r="DL3" s="467"/>
      <c r="DM3" s="467"/>
      <c r="DN3" s="467"/>
      <c r="DO3" s="467"/>
      <c r="DP3" s="467"/>
      <c r="DQ3" s="467"/>
      <c r="DR3" s="467"/>
      <c r="DS3" s="467"/>
      <c r="DT3" s="467"/>
      <c r="DU3" s="467"/>
      <c r="DV3" s="467"/>
      <c r="DW3" s="467"/>
      <c r="DX3" s="467"/>
      <c r="DY3" s="467"/>
      <c r="DZ3" s="467"/>
      <c r="EA3" s="467"/>
      <c r="EB3" s="467"/>
      <c r="EC3" s="467"/>
      <c r="ED3" s="467"/>
      <c r="EE3" s="467"/>
      <c r="EF3" s="467"/>
      <c r="EG3" s="467"/>
      <c r="EH3" s="467"/>
      <c r="EI3" s="467"/>
      <c r="EJ3" s="467"/>
      <c r="EK3" s="467"/>
      <c r="EL3" s="467"/>
      <c r="EM3" s="467"/>
      <c r="EN3" s="467"/>
      <c r="EO3" s="467"/>
      <c r="EP3" s="467"/>
      <c r="EQ3" s="467"/>
      <c r="ER3" s="467"/>
      <c r="ES3" s="467"/>
      <c r="ET3" s="467"/>
      <c r="EU3" s="467"/>
      <c r="EV3" s="467"/>
      <c r="EW3" s="467"/>
      <c r="EX3" s="467"/>
      <c r="EY3" s="467"/>
      <c r="EZ3" s="467"/>
      <c r="FA3" s="467"/>
      <c r="FB3" s="467"/>
      <c r="FC3" s="467"/>
      <c r="FD3" s="467"/>
      <c r="FE3" s="467"/>
      <c r="FF3" s="467"/>
      <c r="FG3" s="467"/>
      <c r="FH3" s="467"/>
      <c r="FI3" s="467"/>
      <c r="FJ3" s="467"/>
      <c r="FK3" s="467"/>
      <c r="FL3" s="467"/>
      <c r="FM3" s="467"/>
      <c r="FN3" s="467"/>
      <c r="FO3" s="467"/>
      <c r="FP3" s="467"/>
      <c r="FQ3" s="467"/>
      <c r="FR3" s="467"/>
      <c r="FS3" s="467"/>
      <c r="FT3" s="467"/>
      <c r="FU3" s="467"/>
      <c r="FV3" s="467"/>
      <c r="FW3" s="467"/>
      <c r="FX3" s="467"/>
      <c r="FY3" s="467"/>
      <c r="FZ3" s="467"/>
      <c r="GA3" s="467"/>
      <c r="GB3" s="467"/>
      <c r="GC3" s="467"/>
      <c r="GD3" s="467"/>
      <c r="GE3" s="467"/>
      <c r="GF3" s="467"/>
      <c r="GG3" s="467"/>
      <c r="GH3" s="467"/>
      <c r="GI3" s="467"/>
      <c r="GJ3" s="467"/>
      <c r="GK3" s="467"/>
      <c r="GL3" s="467"/>
      <c r="GM3" s="467"/>
      <c r="GN3" s="467"/>
      <c r="GO3" s="467"/>
      <c r="GP3" s="467"/>
      <c r="GQ3" s="467"/>
      <c r="GR3" s="467"/>
      <c r="GS3" s="467"/>
      <c r="GT3" s="467"/>
      <c r="GU3" s="467"/>
      <c r="GV3" s="467"/>
      <c r="GW3" s="467"/>
      <c r="GX3" s="467"/>
      <c r="GY3" s="467"/>
      <c r="GZ3" s="467"/>
      <c r="HA3" s="467"/>
      <c r="HB3" s="467"/>
      <c r="HC3" s="467"/>
      <c r="HD3" s="467"/>
      <c r="HE3" s="467"/>
      <c r="HF3" s="467"/>
      <c r="HG3" s="467"/>
      <c r="HH3" s="467"/>
      <c r="HI3" s="467"/>
      <c r="HJ3" s="467"/>
      <c r="HK3" s="467"/>
      <c r="HL3" s="467"/>
      <c r="HM3" s="467"/>
      <c r="HN3" s="467"/>
      <c r="HO3" s="467"/>
      <c r="HP3" s="467"/>
      <c r="HQ3" s="467"/>
      <c r="HR3" s="467"/>
      <c r="HS3" s="467"/>
      <c r="HT3" s="467"/>
      <c r="HU3" s="467"/>
      <c r="HV3" s="467"/>
      <c r="HW3" s="467"/>
      <c r="HX3" s="467"/>
      <c r="HY3" s="467"/>
      <c r="HZ3" s="467"/>
      <c r="IA3" s="467"/>
      <c r="IB3" s="467"/>
      <c r="IC3" s="467"/>
      <c r="ID3" s="467"/>
      <c r="IE3" s="467"/>
      <c r="IF3" s="467"/>
      <c r="IG3" s="467"/>
      <c r="IH3" s="467"/>
      <c r="II3" s="467"/>
      <c r="IJ3" s="467"/>
      <c r="IK3" s="467"/>
      <c r="IL3" s="467"/>
      <c r="IM3" s="467"/>
      <c r="IN3" s="467"/>
      <c r="IO3" s="467"/>
      <c r="IP3" s="467"/>
      <c r="IQ3" s="467"/>
      <c r="IR3" s="467"/>
      <c r="IS3" s="467"/>
      <c r="IT3" s="467"/>
      <c r="IU3" s="467"/>
    </row>
    <row r="4" spans="1:255" s="468" customFormat="1">
      <c r="A4" s="447">
        <v>20131768</v>
      </c>
      <c r="B4" s="469">
        <v>41318</v>
      </c>
      <c r="C4" s="449" t="s">
        <v>743</v>
      </c>
      <c r="D4" s="449" t="s">
        <v>653</v>
      </c>
      <c r="E4" s="449">
        <v>302</v>
      </c>
      <c r="F4" s="449">
        <v>2002</v>
      </c>
      <c r="G4" s="449" t="s">
        <v>330</v>
      </c>
      <c r="H4" s="449" t="s">
        <v>5</v>
      </c>
      <c r="I4" s="449" t="s">
        <v>738</v>
      </c>
      <c r="J4" s="449" t="s">
        <v>744</v>
      </c>
      <c r="K4" s="450" t="s">
        <v>740</v>
      </c>
      <c r="L4" s="451">
        <v>1</v>
      </c>
      <c r="M4" s="452">
        <v>900</v>
      </c>
      <c r="N4" s="452"/>
      <c r="O4" s="453">
        <v>279.65339999999998</v>
      </c>
      <c r="P4" s="453"/>
      <c r="Q4" s="454">
        <v>266</v>
      </c>
      <c r="R4" s="569"/>
      <c r="S4" s="454">
        <v>0</v>
      </c>
      <c r="T4" s="470">
        <v>-13.653399999999976</v>
      </c>
      <c r="U4" s="456">
        <v>0</v>
      </c>
      <c r="V4" s="457">
        <v>-12288.059999999979</v>
      </c>
      <c r="W4" s="457">
        <v>0</v>
      </c>
      <c r="X4" s="458">
        <v>239400</v>
      </c>
      <c r="Y4" s="458">
        <v>0</v>
      </c>
      <c r="Z4" s="459" t="e">
        <v>#VALUE!</v>
      </c>
      <c r="AA4" s="459"/>
      <c r="AB4" s="450" t="s">
        <v>224</v>
      </c>
      <c r="AC4" s="460">
        <v>10044</v>
      </c>
      <c r="AD4" s="450">
        <v>400005</v>
      </c>
      <c r="AE4" s="450" t="s">
        <v>745</v>
      </c>
      <c r="AF4" s="461" t="s">
        <v>746</v>
      </c>
      <c r="AG4" s="461" t="s">
        <v>747</v>
      </c>
      <c r="AH4" s="450">
        <v>11334</v>
      </c>
      <c r="AI4" s="462">
        <v>1</v>
      </c>
      <c r="AJ4" s="463" t="s">
        <v>747</v>
      </c>
      <c r="AK4" s="463" t="s">
        <v>748</v>
      </c>
      <c r="AL4" s="449" t="s">
        <v>749</v>
      </c>
      <c r="AM4" s="449" t="s">
        <v>750</v>
      </c>
      <c r="AN4" s="464">
        <v>62922.014999999999</v>
      </c>
      <c r="AO4" s="449"/>
      <c r="AP4" s="464">
        <v>62922.014999999999</v>
      </c>
      <c r="AQ4" s="464">
        <v>62922.014999999985</v>
      </c>
      <c r="AR4" s="464">
        <v>62922.014999999999</v>
      </c>
      <c r="AS4" s="450" t="s">
        <v>751</v>
      </c>
      <c r="AT4" s="450" t="s">
        <v>752</v>
      </c>
      <c r="AU4" s="450" t="s">
        <v>753</v>
      </c>
      <c r="AV4" s="465"/>
      <c r="AW4" s="466" t="s">
        <v>746</v>
      </c>
      <c r="AX4" s="467"/>
      <c r="AY4" s="467"/>
      <c r="AZ4" s="467"/>
      <c r="BA4" s="467"/>
      <c r="BB4" s="467"/>
      <c r="BC4" s="467"/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  <c r="DJ4" s="467"/>
      <c r="DK4" s="467"/>
      <c r="DL4" s="467"/>
      <c r="DM4" s="467"/>
      <c r="DN4" s="467"/>
      <c r="DO4" s="467"/>
      <c r="DP4" s="467"/>
      <c r="DQ4" s="467"/>
      <c r="DR4" s="467"/>
      <c r="DS4" s="467"/>
      <c r="DT4" s="467"/>
      <c r="DU4" s="467"/>
      <c r="DV4" s="467"/>
      <c r="DW4" s="467"/>
      <c r="DX4" s="467"/>
      <c r="DY4" s="467"/>
      <c r="DZ4" s="467"/>
      <c r="EA4" s="467"/>
      <c r="EB4" s="467"/>
      <c r="EC4" s="467"/>
      <c r="ED4" s="467"/>
      <c r="EE4" s="467"/>
      <c r="EF4" s="467"/>
      <c r="EG4" s="467"/>
      <c r="EH4" s="467"/>
      <c r="EI4" s="467"/>
      <c r="EJ4" s="467"/>
      <c r="EK4" s="467"/>
      <c r="EL4" s="467"/>
      <c r="EM4" s="467"/>
      <c r="EN4" s="467"/>
      <c r="EO4" s="467"/>
      <c r="EP4" s="467"/>
      <c r="EQ4" s="467"/>
      <c r="ER4" s="467"/>
      <c r="ES4" s="467"/>
      <c r="ET4" s="467"/>
      <c r="EU4" s="467"/>
      <c r="EV4" s="467"/>
      <c r="EW4" s="467"/>
      <c r="EX4" s="467"/>
      <c r="EY4" s="467"/>
      <c r="EZ4" s="467"/>
      <c r="FA4" s="467"/>
      <c r="FB4" s="467"/>
      <c r="FC4" s="467"/>
      <c r="FD4" s="467"/>
      <c r="FE4" s="467"/>
      <c r="FF4" s="467"/>
      <c r="FG4" s="467"/>
      <c r="FH4" s="467"/>
      <c r="FI4" s="467"/>
      <c r="FJ4" s="467"/>
      <c r="FK4" s="467"/>
      <c r="FL4" s="467"/>
      <c r="FM4" s="467"/>
      <c r="FN4" s="467"/>
      <c r="FO4" s="467"/>
      <c r="FP4" s="467"/>
      <c r="FQ4" s="467"/>
      <c r="FR4" s="467"/>
      <c r="FS4" s="467"/>
      <c r="FT4" s="467"/>
      <c r="FU4" s="467"/>
      <c r="FV4" s="467"/>
      <c r="FW4" s="467"/>
      <c r="FX4" s="467"/>
      <c r="FY4" s="467"/>
      <c r="FZ4" s="467"/>
      <c r="GA4" s="467"/>
      <c r="GB4" s="467"/>
      <c r="GC4" s="467"/>
      <c r="GD4" s="467"/>
      <c r="GE4" s="467"/>
      <c r="GF4" s="467"/>
      <c r="GG4" s="467"/>
      <c r="GH4" s="467"/>
      <c r="GI4" s="467"/>
      <c r="GJ4" s="467"/>
      <c r="GK4" s="467"/>
      <c r="GL4" s="467"/>
      <c r="GM4" s="467"/>
      <c r="GN4" s="467"/>
      <c r="GO4" s="467"/>
      <c r="GP4" s="467"/>
      <c r="GQ4" s="467"/>
      <c r="GR4" s="467"/>
      <c r="GS4" s="467"/>
      <c r="GT4" s="467"/>
      <c r="GU4" s="467"/>
      <c r="GV4" s="467"/>
      <c r="GW4" s="467"/>
      <c r="GX4" s="467"/>
      <c r="GY4" s="467"/>
      <c r="GZ4" s="467"/>
      <c r="HA4" s="467"/>
      <c r="HB4" s="467"/>
      <c r="HC4" s="467"/>
      <c r="HD4" s="467"/>
      <c r="HE4" s="467"/>
      <c r="HF4" s="467"/>
      <c r="HG4" s="467"/>
      <c r="HH4" s="467"/>
      <c r="HI4" s="467"/>
      <c r="HJ4" s="467"/>
      <c r="HK4" s="467"/>
      <c r="HL4" s="467"/>
      <c r="HM4" s="467"/>
      <c r="HN4" s="467"/>
      <c r="HO4" s="467"/>
      <c r="HP4" s="467"/>
      <c r="HQ4" s="467"/>
      <c r="HR4" s="467"/>
      <c r="HS4" s="467"/>
      <c r="HT4" s="467"/>
      <c r="HU4" s="467"/>
      <c r="HV4" s="467"/>
      <c r="HW4" s="467"/>
      <c r="HX4" s="467"/>
      <c r="HY4" s="467"/>
      <c r="HZ4" s="467"/>
      <c r="IA4" s="467"/>
      <c r="IB4" s="467"/>
      <c r="IC4" s="467"/>
      <c r="ID4" s="467"/>
      <c r="IE4" s="467"/>
      <c r="IF4" s="467"/>
      <c r="IG4" s="467"/>
      <c r="IH4" s="467"/>
      <c r="II4" s="467"/>
      <c r="IJ4" s="467"/>
      <c r="IK4" s="467"/>
      <c r="IL4" s="467"/>
      <c r="IM4" s="467"/>
      <c r="IN4" s="467"/>
      <c r="IO4" s="467"/>
      <c r="IP4" s="467"/>
      <c r="IQ4" s="467"/>
      <c r="IR4" s="467"/>
      <c r="IS4" s="467"/>
      <c r="IT4" s="467"/>
      <c r="IU4" s="467"/>
    </row>
    <row r="5" spans="1:255">
      <c r="A5" s="447">
        <v>20131946</v>
      </c>
      <c r="B5" s="469">
        <v>41318</v>
      </c>
      <c r="C5" s="449" t="s">
        <v>743</v>
      </c>
      <c r="D5" s="449" t="s">
        <v>653</v>
      </c>
      <c r="E5" s="449">
        <v>302</v>
      </c>
      <c r="F5" s="449">
        <v>2003</v>
      </c>
      <c r="G5" s="449" t="s">
        <v>332</v>
      </c>
      <c r="H5" s="449" t="s">
        <v>5</v>
      </c>
      <c r="I5" s="449" t="s">
        <v>738</v>
      </c>
      <c r="J5" s="449" t="s">
        <v>744</v>
      </c>
      <c r="K5" s="450" t="s">
        <v>740</v>
      </c>
      <c r="L5" s="451">
        <v>1</v>
      </c>
      <c r="M5" s="452">
        <v>900</v>
      </c>
      <c r="N5" s="452"/>
      <c r="O5" s="453">
        <v>164.625</v>
      </c>
      <c r="P5" s="453"/>
      <c r="Q5" s="454">
        <v>152</v>
      </c>
      <c r="R5" s="569"/>
      <c r="S5" s="454">
        <v>0</v>
      </c>
      <c r="T5" s="455">
        <v>-12.625</v>
      </c>
      <c r="U5" s="456">
        <v>0</v>
      </c>
      <c r="V5" s="457">
        <v>-11362.5</v>
      </c>
      <c r="W5" s="457">
        <v>0</v>
      </c>
      <c r="X5" s="458">
        <v>136800</v>
      </c>
      <c r="Y5" s="458">
        <v>0</v>
      </c>
      <c r="Z5" s="459" t="e">
        <v>#VALUE!</v>
      </c>
      <c r="AA5" s="459"/>
      <c r="AB5" s="450" t="s">
        <v>224</v>
      </c>
      <c r="AC5" s="460">
        <v>10045</v>
      </c>
      <c r="AD5" s="450">
        <v>400051</v>
      </c>
      <c r="AE5" s="450" t="s">
        <v>754</v>
      </c>
      <c r="AF5" s="461" t="s">
        <v>755</v>
      </c>
      <c r="AG5" s="461" t="s">
        <v>756</v>
      </c>
      <c r="AH5" s="450">
        <v>11334</v>
      </c>
      <c r="AI5" s="462">
        <v>1</v>
      </c>
      <c r="AJ5" s="463" t="s">
        <v>756</v>
      </c>
      <c r="AK5" s="463" t="s">
        <v>757</v>
      </c>
      <c r="AL5" s="449" t="s">
        <v>758</v>
      </c>
      <c r="AM5" s="449" t="s">
        <v>759</v>
      </c>
      <c r="AN5" s="464">
        <v>37040.625</v>
      </c>
      <c r="AP5" s="464">
        <v>37040.625</v>
      </c>
      <c r="AQ5" s="464">
        <v>37040.625</v>
      </c>
      <c r="AR5" s="464">
        <v>37040.625</v>
      </c>
      <c r="AS5" s="450" t="s">
        <v>751</v>
      </c>
      <c r="AT5" s="450" t="s">
        <v>752</v>
      </c>
      <c r="AU5" s="450" t="s">
        <v>753</v>
      </c>
      <c r="AW5" s="466" t="s">
        <v>755</v>
      </c>
    </row>
    <row r="6" spans="1:255">
      <c r="A6" s="447">
        <v>20132302</v>
      </c>
      <c r="B6" s="469">
        <v>41318</v>
      </c>
      <c r="C6" s="449" t="s">
        <v>743</v>
      </c>
      <c r="D6" s="449" t="s">
        <v>653</v>
      </c>
      <c r="E6" s="449">
        <v>302</v>
      </c>
      <c r="F6" s="449">
        <v>2007</v>
      </c>
      <c r="G6" s="449" t="s">
        <v>43</v>
      </c>
      <c r="H6" s="449" t="s">
        <v>760</v>
      </c>
      <c r="I6" s="449" t="s">
        <v>738</v>
      </c>
      <c r="J6" s="449" t="s">
        <v>744</v>
      </c>
      <c r="K6" s="450" t="s">
        <v>740</v>
      </c>
      <c r="L6" s="451">
        <v>1</v>
      </c>
      <c r="M6" s="452">
        <v>900</v>
      </c>
      <c r="N6" s="452"/>
      <c r="O6" s="453">
        <v>46.007999999999996</v>
      </c>
      <c r="P6" s="453"/>
      <c r="Q6" s="454">
        <v>50</v>
      </c>
      <c r="R6" s="569"/>
      <c r="S6" s="454">
        <v>0</v>
      </c>
      <c r="T6" s="455">
        <v>3.9920000000000044</v>
      </c>
      <c r="U6" s="456">
        <v>0</v>
      </c>
      <c r="V6" s="457">
        <v>3592.8000000000038</v>
      </c>
      <c r="W6" s="457">
        <v>0</v>
      </c>
      <c r="X6" s="458">
        <v>45000</v>
      </c>
      <c r="Y6" s="458">
        <v>0</v>
      </c>
      <c r="Z6" s="459" t="e">
        <v>#VALUE!</v>
      </c>
      <c r="AA6" s="459"/>
      <c r="AB6" s="450" t="s">
        <v>224</v>
      </c>
      <c r="AC6" s="460">
        <v>10046</v>
      </c>
      <c r="AD6" s="450">
        <v>400040</v>
      </c>
      <c r="AE6" s="450" t="s">
        <v>761</v>
      </c>
      <c r="AF6" s="461" t="s">
        <v>762</v>
      </c>
      <c r="AG6" s="461" t="s">
        <v>763</v>
      </c>
      <c r="AH6" s="450">
        <v>11334</v>
      </c>
      <c r="AI6" s="462">
        <v>1</v>
      </c>
      <c r="AJ6" s="463" t="s">
        <v>763</v>
      </c>
      <c r="AK6" s="463" t="s">
        <v>764</v>
      </c>
      <c r="AL6" s="449" t="s">
        <v>765</v>
      </c>
      <c r="AM6" s="449" t="s">
        <v>766</v>
      </c>
      <c r="AN6" s="464">
        <v>10351.799999999999</v>
      </c>
      <c r="AP6" s="464">
        <v>10351.799999999999</v>
      </c>
      <c r="AQ6" s="464">
        <v>10351.799999999999</v>
      </c>
      <c r="AR6" s="464">
        <v>10351.799999999999</v>
      </c>
      <c r="AS6" s="450" t="s">
        <v>751</v>
      </c>
      <c r="AT6" s="450" t="s">
        <v>752</v>
      </c>
      <c r="AU6" s="450" t="s">
        <v>767</v>
      </c>
      <c r="AW6" s="466" t="s">
        <v>762</v>
      </c>
    </row>
    <row r="7" spans="1:255">
      <c r="A7" s="447">
        <v>20132213</v>
      </c>
      <c r="B7" s="469">
        <v>41318</v>
      </c>
      <c r="C7" s="449" t="s">
        <v>743</v>
      </c>
      <c r="D7" s="449" t="s">
        <v>653</v>
      </c>
      <c r="E7" s="449">
        <v>302</v>
      </c>
      <c r="F7" s="449">
        <v>2008</v>
      </c>
      <c r="G7" s="449" t="s">
        <v>333</v>
      </c>
      <c r="H7" s="449" t="s">
        <v>768</v>
      </c>
      <c r="I7" s="449" t="s">
        <v>738</v>
      </c>
      <c r="J7" s="449" t="s">
        <v>744</v>
      </c>
      <c r="K7" s="450" t="s">
        <v>740</v>
      </c>
      <c r="L7" s="451">
        <v>1</v>
      </c>
      <c r="M7" s="452">
        <v>900</v>
      </c>
      <c r="N7" s="452"/>
      <c r="O7" s="453">
        <v>34.862400000000008</v>
      </c>
      <c r="P7" s="453"/>
      <c r="Q7" s="454">
        <v>39</v>
      </c>
      <c r="R7" s="569"/>
      <c r="S7" s="454">
        <v>0</v>
      </c>
      <c r="T7" s="455">
        <v>4.137599999999992</v>
      </c>
      <c r="U7" s="456">
        <v>0</v>
      </c>
      <c r="V7" s="457">
        <v>3723.8399999999929</v>
      </c>
      <c r="W7" s="457">
        <v>0</v>
      </c>
      <c r="X7" s="458">
        <v>35100</v>
      </c>
      <c r="Y7" s="458">
        <v>0</v>
      </c>
      <c r="Z7" s="459" t="e">
        <v>#VALUE!</v>
      </c>
      <c r="AA7" s="459"/>
      <c r="AB7" s="450" t="s">
        <v>224</v>
      </c>
      <c r="AC7" s="460">
        <v>10047</v>
      </c>
      <c r="AD7" s="450">
        <v>400057</v>
      </c>
      <c r="AE7" s="450" t="s">
        <v>769</v>
      </c>
      <c r="AF7" s="461" t="s">
        <v>770</v>
      </c>
      <c r="AG7" s="461" t="s">
        <v>771</v>
      </c>
      <c r="AH7" s="450">
        <v>11334</v>
      </c>
      <c r="AI7" s="462">
        <v>1</v>
      </c>
      <c r="AJ7" s="463" t="s">
        <v>771</v>
      </c>
      <c r="AK7" s="463" t="s">
        <v>772</v>
      </c>
      <c r="AL7" s="449" t="s">
        <v>773</v>
      </c>
      <c r="AM7" s="449" t="s">
        <v>774</v>
      </c>
      <c r="AN7" s="464">
        <v>7844.04</v>
      </c>
      <c r="AP7" s="464">
        <v>7844.04</v>
      </c>
      <c r="AQ7" s="464">
        <v>7844.0399999999981</v>
      </c>
      <c r="AR7" s="464">
        <v>7844.04</v>
      </c>
      <c r="AS7" s="450" t="s">
        <v>751</v>
      </c>
      <c r="AT7" s="450" t="s">
        <v>752</v>
      </c>
      <c r="AU7" s="450" t="s">
        <v>775</v>
      </c>
      <c r="AW7" s="466" t="s">
        <v>770</v>
      </c>
    </row>
    <row r="8" spans="1:255">
      <c r="A8" s="447">
        <v>20132391</v>
      </c>
      <c r="B8" s="469">
        <v>41318</v>
      </c>
      <c r="C8" s="449" t="s">
        <v>743</v>
      </c>
      <c r="D8" s="449" t="s">
        <v>653</v>
      </c>
      <c r="E8" s="449">
        <v>302</v>
      </c>
      <c r="F8" s="449">
        <v>2009</v>
      </c>
      <c r="G8" s="449" t="s">
        <v>334</v>
      </c>
      <c r="H8" s="449" t="s">
        <v>5</v>
      </c>
      <c r="I8" s="449" t="s">
        <v>738</v>
      </c>
      <c r="J8" s="449" t="s">
        <v>744</v>
      </c>
      <c r="K8" s="450" t="s">
        <v>740</v>
      </c>
      <c r="L8" s="451">
        <v>1</v>
      </c>
      <c r="M8" s="452">
        <v>900</v>
      </c>
      <c r="N8" s="452"/>
      <c r="O8" s="453">
        <v>119.08160000000001</v>
      </c>
      <c r="P8" s="453"/>
      <c r="Q8" s="454">
        <v>106</v>
      </c>
      <c r="R8" s="569"/>
      <c r="S8" s="454">
        <v>0</v>
      </c>
      <c r="T8" s="455">
        <v>-13.081600000000009</v>
      </c>
      <c r="U8" s="456">
        <v>0</v>
      </c>
      <c r="V8" s="457">
        <v>-11773.440000000008</v>
      </c>
      <c r="W8" s="457">
        <v>0</v>
      </c>
      <c r="X8" s="458">
        <v>95400</v>
      </c>
      <c r="Y8" s="458">
        <v>0</v>
      </c>
      <c r="Z8" s="459" t="e">
        <v>#VALUE!</v>
      </c>
      <c r="AA8" s="459"/>
      <c r="AB8" s="450" t="s">
        <v>224</v>
      </c>
      <c r="AC8" s="460">
        <v>10048</v>
      </c>
      <c r="AD8" s="450">
        <v>400061</v>
      </c>
      <c r="AE8" s="450" t="s">
        <v>776</v>
      </c>
      <c r="AF8" s="461" t="s">
        <v>777</v>
      </c>
      <c r="AG8" s="461" t="s">
        <v>778</v>
      </c>
      <c r="AH8" s="450">
        <v>11334</v>
      </c>
      <c r="AI8" s="462">
        <v>1</v>
      </c>
      <c r="AJ8" s="463" t="s">
        <v>778</v>
      </c>
      <c r="AK8" s="463" t="s">
        <v>779</v>
      </c>
      <c r="AL8" s="449" t="s">
        <v>780</v>
      </c>
      <c r="AM8" s="449" t="s">
        <v>781</v>
      </c>
      <c r="AN8" s="464">
        <v>26793.360000000001</v>
      </c>
      <c r="AP8" s="464">
        <v>26793.360000000001</v>
      </c>
      <c r="AQ8" s="464">
        <v>26793.360000000001</v>
      </c>
      <c r="AR8" s="464">
        <v>26793.360000000001</v>
      </c>
      <c r="AS8" s="450" t="s">
        <v>751</v>
      </c>
      <c r="AT8" s="450" t="s">
        <v>752</v>
      </c>
      <c r="AU8" s="450" t="s">
        <v>753</v>
      </c>
      <c r="AW8" s="466" t="s">
        <v>777</v>
      </c>
    </row>
    <row r="9" spans="1:255">
      <c r="A9" s="447">
        <v>20132569</v>
      </c>
      <c r="B9" s="469">
        <v>41318</v>
      </c>
      <c r="C9" s="449" t="s">
        <v>743</v>
      </c>
      <c r="D9" s="449" t="s">
        <v>653</v>
      </c>
      <c r="E9" s="449">
        <v>302</v>
      </c>
      <c r="F9" s="449">
        <v>2010</v>
      </c>
      <c r="G9" s="449" t="s">
        <v>46</v>
      </c>
      <c r="H9" s="449" t="s">
        <v>5</v>
      </c>
      <c r="I9" s="449" t="s">
        <v>738</v>
      </c>
      <c r="J9" s="449" t="s">
        <v>744</v>
      </c>
      <c r="K9" s="450" t="s">
        <v>740</v>
      </c>
      <c r="L9" s="451">
        <v>1</v>
      </c>
      <c r="M9" s="452">
        <v>900</v>
      </c>
      <c r="N9" s="452"/>
      <c r="O9" s="453">
        <v>165.6455</v>
      </c>
      <c r="P9" s="453"/>
      <c r="Q9" s="454">
        <v>164</v>
      </c>
      <c r="R9" s="569"/>
      <c r="S9" s="454">
        <v>0</v>
      </c>
      <c r="T9" s="455">
        <v>-1.6454999999999984</v>
      </c>
      <c r="U9" s="456">
        <v>0</v>
      </c>
      <c r="V9" s="457">
        <v>-1480.9499999999985</v>
      </c>
      <c r="W9" s="457">
        <v>0</v>
      </c>
      <c r="X9" s="458">
        <v>147600</v>
      </c>
      <c r="Y9" s="458">
        <v>0</v>
      </c>
      <c r="Z9" s="459" t="e">
        <v>#VALUE!</v>
      </c>
      <c r="AA9" s="459"/>
      <c r="AB9" s="450" t="s">
        <v>224</v>
      </c>
      <c r="AC9" s="460">
        <v>10049</v>
      </c>
      <c r="AD9" s="450">
        <v>400043</v>
      </c>
      <c r="AE9" s="450" t="s">
        <v>782</v>
      </c>
      <c r="AF9" s="461" t="s">
        <v>783</v>
      </c>
      <c r="AG9" s="461" t="s">
        <v>784</v>
      </c>
      <c r="AH9" s="450">
        <v>11334</v>
      </c>
      <c r="AI9" s="462">
        <v>1</v>
      </c>
      <c r="AJ9" s="463" t="s">
        <v>784</v>
      </c>
      <c r="AK9" s="463" t="s">
        <v>785</v>
      </c>
      <c r="AL9" s="449" t="s">
        <v>786</v>
      </c>
      <c r="AM9" s="449" t="s">
        <v>787</v>
      </c>
      <c r="AN9" s="464">
        <v>37270.237500000003</v>
      </c>
      <c r="AP9" s="464">
        <v>37270.237500000003</v>
      </c>
      <c r="AQ9" s="464">
        <v>37270.237500000003</v>
      </c>
      <c r="AR9" s="464">
        <v>37270.237500000003</v>
      </c>
      <c r="AS9" s="450" t="s">
        <v>751</v>
      </c>
      <c r="AT9" s="450" t="s">
        <v>752</v>
      </c>
      <c r="AU9" s="450" t="s">
        <v>753</v>
      </c>
      <c r="AW9" s="466" t="s">
        <v>783</v>
      </c>
    </row>
    <row r="10" spans="1:255">
      <c r="A10" s="447">
        <v>20132747</v>
      </c>
      <c r="B10" s="469">
        <v>41318</v>
      </c>
      <c r="C10" s="449" t="s">
        <v>743</v>
      </c>
      <c r="D10" s="449" t="s">
        <v>653</v>
      </c>
      <c r="E10" s="449">
        <v>302</v>
      </c>
      <c r="F10" s="449">
        <v>2011</v>
      </c>
      <c r="G10" s="449" t="s">
        <v>48</v>
      </c>
      <c r="H10" s="449" t="s">
        <v>5</v>
      </c>
      <c r="I10" s="449" t="s">
        <v>738</v>
      </c>
      <c r="J10" s="449" t="s">
        <v>744</v>
      </c>
      <c r="K10" s="450" t="s">
        <v>740</v>
      </c>
      <c r="L10" s="451">
        <v>1</v>
      </c>
      <c r="M10" s="452">
        <v>900</v>
      </c>
      <c r="N10" s="452"/>
      <c r="O10" s="453">
        <v>28.5</v>
      </c>
      <c r="P10" s="453"/>
      <c r="Q10" s="454">
        <v>29</v>
      </c>
      <c r="R10" s="569"/>
      <c r="S10" s="454">
        <v>0</v>
      </c>
      <c r="T10" s="455">
        <v>0.5</v>
      </c>
      <c r="U10" s="456">
        <v>0</v>
      </c>
      <c r="V10" s="457">
        <v>450</v>
      </c>
      <c r="W10" s="457">
        <v>0</v>
      </c>
      <c r="X10" s="458">
        <v>26100</v>
      </c>
      <c r="Y10" s="458">
        <v>0</v>
      </c>
      <c r="Z10" s="459" t="e">
        <v>#VALUE!</v>
      </c>
      <c r="AA10" s="459"/>
      <c r="AB10" s="450" t="s">
        <v>224</v>
      </c>
      <c r="AC10" s="460">
        <v>10051</v>
      </c>
      <c r="AD10" s="450">
        <v>400020</v>
      </c>
      <c r="AE10" s="450" t="s">
        <v>788</v>
      </c>
      <c r="AF10" s="461" t="s">
        <v>789</v>
      </c>
      <c r="AG10" s="461" t="s">
        <v>790</v>
      </c>
      <c r="AH10" s="450">
        <v>11334</v>
      </c>
      <c r="AI10" s="462">
        <v>1</v>
      </c>
      <c r="AJ10" s="463" t="s">
        <v>790</v>
      </c>
      <c r="AK10" s="463" t="s">
        <v>791</v>
      </c>
      <c r="AL10" s="449" t="s">
        <v>792</v>
      </c>
      <c r="AM10" s="449" t="s">
        <v>793</v>
      </c>
      <c r="AN10" s="464">
        <v>6412.5</v>
      </c>
      <c r="AP10" s="464">
        <v>6412.5</v>
      </c>
      <c r="AQ10" s="464">
        <v>6412.5</v>
      </c>
      <c r="AR10" s="464">
        <v>6412.5</v>
      </c>
      <c r="AS10" s="450" t="s">
        <v>751</v>
      </c>
      <c r="AT10" s="450" t="s">
        <v>752</v>
      </c>
      <c r="AU10" s="450" t="s">
        <v>753</v>
      </c>
      <c r="AW10" s="466" t="s">
        <v>789</v>
      </c>
    </row>
    <row r="11" spans="1:255">
      <c r="A11" s="447">
        <v>20132925</v>
      </c>
      <c r="B11" s="469">
        <v>41318</v>
      </c>
      <c r="C11" s="449" t="s">
        <v>743</v>
      </c>
      <c r="D11" s="449" t="s">
        <v>653</v>
      </c>
      <c r="E11" s="449">
        <v>302</v>
      </c>
      <c r="F11" s="449">
        <v>2014</v>
      </c>
      <c r="G11" s="449" t="s">
        <v>338</v>
      </c>
      <c r="H11" s="449" t="s">
        <v>5</v>
      </c>
      <c r="I11" s="449" t="s">
        <v>738</v>
      </c>
      <c r="J11" s="449" t="s">
        <v>744</v>
      </c>
      <c r="K11" s="450" t="s">
        <v>740</v>
      </c>
      <c r="L11" s="451">
        <v>1</v>
      </c>
      <c r="M11" s="452">
        <v>900</v>
      </c>
      <c r="N11" s="452"/>
      <c r="O11" s="453">
        <v>164.14789999999999</v>
      </c>
      <c r="P11" s="453"/>
      <c r="Q11" s="454">
        <v>172</v>
      </c>
      <c r="R11" s="569"/>
      <c r="S11" s="454">
        <v>0</v>
      </c>
      <c r="T11" s="455">
        <v>7.8521000000000072</v>
      </c>
      <c r="U11" s="456">
        <v>0</v>
      </c>
      <c r="V11" s="457">
        <v>7066.8900000000067</v>
      </c>
      <c r="W11" s="457">
        <v>0</v>
      </c>
      <c r="X11" s="458">
        <v>154800</v>
      </c>
      <c r="Y11" s="458">
        <v>0</v>
      </c>
      <c r="Z11" s="459" t="e">
        <v>#VALUE!</v>
      </c>
      <c r="AA11" s="459"/>
      <c r="AB11" s="450" t="s">
        <v>224</v>
      </c>
      <c r="AC11" s="460">
        <v>10054</v>
      </c>
      <c r="AD11" s="450">
        <v>400050</v>
      </c>
      <c r="AE11" s="450" t="s">
        <v>794</v>
      </c>
      <c r="AF11" s="461" t="s">
        <v>795</v>
      </c>
      <c r="AG11" s="461" t="s">
        <v>796</v>
      </c>
      <c r="AH11" s="450">
        <v>11334</v>
      </c>
      <c r="AI11" s="462">
        <v>1</v>
      </c>
      <c r="AJ11" s="463" t="s">
        <v>796</v>
      </c>
      <c r="AK11" s="463" t="s">
        <v>797</v>
      </c>
      <c r="AL11" s="449" t="s">
        <v>798</v>
      </c>
      <c r="AM11" s="449" t="s">
        <v>799</v>
      </c>
      <c r="AN11" s="464">
        <v>36933.277499999997</v>
      </c>
      <c r="AP11" s="464">
        <v>36933.277499999997</v>
      </c>
      <c r="AQ11" s="464">
        <v>36933.277499999997</v>
      </c>
      <c r="AR11" s="464">
        <v>36933.277499999997</v>
      </c>
      <c r="AS11" s="450" t="s">
        <v>751</v>
      </c>
      <c r="AT11" s="450" t="s">
        <v>752</v>
      </c>
      <c r="AU11" s="450" t="s">
        <v>753</v>
      </c>
      <c r="AW11" s="466" t="s">
        <v>795</v>
      </c>
    </row>
    <row r="12" spans="1:255">
      <c r="A12" s="447">
        <v>20133014</v>
      </c>
      <c r="B12" s="469">
        <v>41318</v>
      </c>
      <c r="C12" s="449" t="s">
        <v>743</v>
      </c>
      <c r="D12" s="449" t="s">
        <v>653</v>
      </c>
      <c r="E12" s="449">
        <v>302</v>
      </c>
      <c r="F12" s="449">
        <v>2015</v>
      </c>
      <c r="G12" s="449" t="s">
        <v>339</v>
      </c>
      <c r="H12" s="449" t="s">
        <v>5</v>
      </c>
      <c r="I12" s="449" t="s">
        <v>738</v>
      </c>
      <c r="J12" s="449" t="s">
        <v>744</v>
      </c>
      <c r="K12" s="450" t="s">
        <v>740</v>
      </c>
      <c r="L12" s="451">
        <v>1</v>
      </c>
      <c r="M12" s="452">
        <v>900</v>
      </c>
      <c r="N12" s="452"/>
      <c r="O12" s="453">
        <v>102.2424</v>
      </c>
      <c r="P12" s="453"/>
      <c r="Q12" s="454">
        <v>95</v>
      </c>
      <c r="R12" s="569"/>
      <c r="S12" s="454">
        <v>0</v>
      </c>
      <c r="T12" s="455">
        <v>-7.2424000000000035</v>
      </c>
      <c r="U12" s="456">
        <v>0</v>
      </c>
      <c r="V12" s="457">
        <v>-6518.1600000000035</v>
      </c>
      <c r="W12" s="457">
        <v>0</v>
      </c>
      <c r="X12" s="458">
        <v>85500</v>
      </c>
      <c r="Y12" s="458">
        <v>0</v>
      </c>
      <c r="Z12" s="459" t="e">
        <v>#VALUE!</v>
      </c>
      <c r="AA12" s="459"/>
      <c r="AB12" s="450" t="s">
        <v>224</v>
      </c>
      <c r="AC12" s="460">
        <v>10055</v>
      </c>
      <c r="AD12" s="450">
        <v>400059</v>
      </c>
      <c r="AE12" s="450" t="s">
        <v>800</v>
      </c>
      <c r="AF12" s="461" t="s">
        <v>801</v>
      </c>
      <c r="AG12" s="461" t="s">
        <v>802</v>
      </c>
      <c r="AH12" s="450">
        <v>11334</v>
      </c>
      <c r="AI12" s="462">
        <v>1</v>
      </c>
      <c r="AJ12" s="463" t="s">
        <v>802</v>
      </c>
      <c r="AK12" s="463" t="s">
        <v>803</v>
      </c>
      <c r="AL12" s="449" t="s">
        <v>804</v>
      </c>
      <c r="AM12" s="449" t="s">
        <v>805</v>
      </c>
      <c r="AN12" s="464">
        <v>23004.54</v>
      </c>
      <c r="AP12" s="464">
        <v>23004.54</v>
      </c>
      <c r="AQ12" s="464">
        <v>23004.539999999994</v>
      </c>
      <c r="AR12" s="464">
        <v>23004.54</v>
      </c>
      <c r="AS12" s="450" t="s">
        <v>751</v>
      </c>
      <c r="AT12" s="450" t="s">
        <v>752</v>
      </c>
      <c r="AU12" s="450" t="s">
        <v>753</v>
      </c>
      <c r="AW12" s="466" t="s">
        <v>801</v>
      </c>
    </row>
    <row r="13" spans="1:255">
      <c r="A13" s="447">
        <v>20133103</v>
      </c>
      <c r="B13" s="469">
        <v>41318</v>
      </c>
      <c r="C13" s="449" t="s">
        <v>743</v>
      </c>
      <c r="D13" s="449" t="s">
        <v>653</v>
      </c>
      <c r="E13" s="449">
        <v>302</v>
      </c>
      <c r="F13" s="449">
        <v>2016</v>
      </c>
      <c r="G13" s="449" t="s">
        <v>53</v>
      </c>
      <c r="H13" s="449" t="s">
        <v>5</v>
      </c>
      <c r="I13" s="449" t="s">
        <v>738</v>
      </c>
      <c r="J13" s="449" t="s">
        <v>744</v>
      </c>
      <c r="K13" s="450" t="s">
        <v>740</v>
      </c>
      <c r="L13" s="451">
        <v>1</v>
      </c>
      <c r="M13" s="452">
        <v>900</v>
      </c>
      <c r="N13" s="452"/>
      <c r="O13" s="453">
        <v>39.362400000000001</v>
      </c>
      <c r="P13" s="453"/>
      <c r="Q13" s="454">
        <v>45</v>
      </c>
      <c r="R13" s="569"/>
      <c r="S13" s="454">
        <v>0</v>
      </c>
      <c r="T13" s="455">
        <v>5.6375999999999991</v>
      </c>
      <c r="U13" s="456">
        <v>0</v>
      </c>
      <c r="V13" s="457">
        <v>5073.8399999999992</v>
      </c>
      <c r="W13" s="457">
        <v>0</v>
      </c>
      <c r="X13" s="458">
        <v>40500</v>
      </c>
      <c r="Y13" s="458">
        <v>0</v>
      </c>
      <c r="Z13" s="459" t="e">
        <v>#VALUE!</v>
      </c>
      <c r="AA13" s="459"/>
      <c r="AB13" s="450" t="s">
        <v>224</v>
      </c>
      <c r="AC13" s="460">
        <v>10056</v>
      </c>
      <c r="AD13" s="450">
        <v>400049</v>
      </c>
      <c r="AE13" s="450" t="s">
        <v>806</v>
      </c>
      <c r="AF13" s="461" t="s">
        <v>807</v>
      </c>
      <c r="AG13" s="461" t="s">
        <v>808</v>
      </c>
      <c r="AH13" s="450">
        <v>11334</v>
      </c>
      <c r="AI13" s="462">
        <v>1</v>
      </c>
      <c r="AJ13" s="463" t="s">
        <v>808</v>
      </c>
      <c r="AK13" s="463" t="s">
        <v>809</v>
      </c>
      <c r="AL13" s="449" t="s">
        <v>810</v>
      </c>
      <c r="AM13" s="449" t="s">
        <v>811</v>
      </c>
      <c r="AN13" s="464">
        <v>8856.5400000000009</v>
      </c>
      <c r="AP13" s="464">
        <v>8856.5400000000009</v>
      </c>
      <c r="AQ13" s="464">
        <v>8856.5400000000009</v>
      </c>
      <c r="AR13" s="464">
        <v>8856.5400000000009</v>
      </c>
      <c r="AS13" s="450" t="s">
        <v>751</v>
      </c>
      <c r="AT13" s="450" t="s">
        <v>752</v>
      </c>
      <c r="AU13" s="450" t="s">
        <v>753</v>
      </c>
      <c r="AW13" s="466" t="s">
        <v>807</v>
      </c>
    </row>
    <row r="14" spans="1:255">
      <c r="A14" s="447">
        <v>20133192</v>
      </c>
      <c r="B14" s="469">
        <v>41318</v>
      </c>
      <c r="C14" s="449" t="s">
        <v>743</v>
      </c>
      <c r="D14" s="449" t="s">
        <v>653</v>
      </c>
      <c r="E14" s="449">
        <v>302</v>
      </c>
      <c r="F14" s="449">
        <v>2017</v>
      </c>
      <c r="G14" s="449" t="s">
        <v>340</v>
      </c>
      <c r="H14" s="449" t="s">
        <v>5</v>
      </c>
      <c r="I14" s="449" t="s">
        <v>738</v>
      </c>
      <c r="J14" s="449" t="s">
        <v>744</v>
      </c>
      <c r="K14" s="450" t="s">
        <v>740</v>
      </c>
      <c r="L14" s="451">
        <v>1</v>
      </c>
      <c r="M14" s="452">
        <v>900</v>
      </c>
      <c r="N14" s="452"/>
      <c r="O14" s="453">
        <v>116.7491</v>
      </c>
      <c r="P14" s="453"/>
      <c r="Q14" s="454">
        <v>113</v>
      </c>
      <c r="R14" s="569"/>
      <c r="S14" s="454">
        <v>0</v>
      </c>
      <c r="T14" s="455">
        <v>-3.7490999999999985</v>
      </c>
      <c r="U14" s="456">
        <v>0</v>
      </c>
      <c r="V14" s="457">
        <v>-3374.1899999999987</v>
      </c>
      <c r="W14" s="457">
        <v>0</v>
      </c>
      <c r="X14" s="458">
        <v>101700</v>
      </c>
      <c r="Y14" s="458">
        <v>0</v>
      </c>
      <c r="Z14" s="459" t="e">
        <v>#VALUE!</v>
      </c>
      <c r="AA14" s="459"/>
      <c r="AB14" s="450" t="s">
        <v>224</v>
      </c>
      <c r="AC14" s="460">
        <v>10057</v>
      </c>
      <c r="AD14" s="450">
        <v>400080</v>
      </c>
      <c r="AE14" s="450" t="s">
        <v>812</v>
      </c>
      <c r="AF14" s="461" t="s">
        <v>813</v>
      </c>
      <c r="AG14" s="461" t="s">
        <v>814</v>
      </c>
      <c r="AH14" s="450">
        <v>11334</v>
      </c>
      <c r="AI14" s="462">
        <v>1</v>
      </c>
      <c r="AJ14" s="463" t="s">
        <v>814</v>
      </c>
      <c r="AK14" s="463" t="s">
        <v>815</v>
      </c>
      <c r="AL14" s="449" t="s">
        <v>816</v>
      </c>
      <c r="AM14" s="449" t="s">
        <v>817</v>
      </c>
      <c r="AN14" s="464">
        <v>26268.547500000001</v>
      </c>
      <c r="AP14" s="464">
        <v>26268.547500000001</v>
      </c>
      <c r="AQ14" s="464">
        <v>26268.547500000001</v>
      </c>
      <c r="AR14" s="464">
        <v>26268.547500000001</v>
      </c>
      <c r="AS14" s="450" t="s">
        <v>751</v>
      </c>
      <c r="AT14" s="450" t="s">
        <v>752</v>
      </c>
      <c r="AU14" s="450" t="s">
        <v>753</v>
      </c>
      <c r="AW14" s="466" t="s">
        <v>813</v>
      </c>
    </row>
    <row r="15" spans="1:255">
      <c r="A15" s="447">
        <v>20133459</v>
      </c>
      <c r="B15" s="469">
        <v>41318</v>
      </c>
      <c r="C15" s="449" t="s">
        <v>743</v>
      </c>
      <c r="D15" s="449" t="s">
        <v>653</v>
      </c>
      <c r="E15" s="449">
        <v>302</v>
      </c>
      <c r="F15" s="449">
        <v>2018</v>
      </c>
      <c r="G15" s="449" t="s">
        <v>57</v>
      </c>
      <c r="H15" s="449" t="s">
        <v>760</v>
      </c>
      <c r="I15" s="449" t="s">
        <v>818</v>
      </c>
      <c r="J15" s="449" t="s">
        <v>744</v>
      </c>
      <c r="K15" s="450" t="s">
        <v>740</v>
      </c>
      <c r="L15" s="451">
        <v>1</v>
      </c>
      <c r="M15" s="452">
        <v>900</v>
      </c>
      <c r="N15" s="452"/>
      <c r="O15" s="453">
        <v>209.17079999999996</v>
      </c>
      <c r="P15" s="453"/>
      <c r="Q15" s="454">
        <v>214</v>
      </c>
      <c r="R15" s="569"/>
      <c r="S15" s="454">
        <v>0</v>
      </c>
      <c r="T15" s="455">
        <v>4.8292000000000428</v>
      </c>
      <c r="U15" s="456">
        <v>0</v>
      </c>
      <c r="V15" s="457">
        <v>4346.2800000000389</v>
      </c>
      <c r="W15" s="457">
        <v>0</v>
      </c>
      <c r="X15" s="458">
        <v>192600</v>
      </c>
      <c r="Y15" s="458">
        <v>0</v>
      </c>
      <c r="Z15" s="459" t="e">
        <v>#VALUE!</v>
      </c>
      <c r="AA15" s="459"/>
      <c r="AB15" s="450" t="s">
        <v>224</v>
      </c>
      <c r="AC15" s="460" t="s">
        <v>699</v>
      </c>
      <c r="AD15" s="450">
        <v>151094</v>
      </c>
      <c r="AE15" s="450" t="s">
        <v>819</v>
      </c>
      <c r="AF15" s="461" t="s">
        <v>820</v>
      </c>
      <c r="AG15" s="461" t="s">
        <v>821</v>
      </c>
      <c r="AH15" s="450" t="s">
        <v>822</v>
      </c>
      <c r="AI15" s="462">
        <v>0</v>
      </c>
      <c r="AJ15" s="463" t="s">
        <v>821</v>
      </c>
      <c r="AK15" s="463" t="s">
        <v>823</v>
      </c>
      <c r="AL15" s="449" t="s">
        <v>824</v>
      </c>
      <c r="AM15" s="449" t="s">
        <v>825</v>
      </c>
      <c r="AN15" s="464" t="s">
        <v>826</v>
      </c>
      <c r="AS15" s="450" t="s">
        <v>827</v>
      </c>
      <c r="AT15" s="450" t="s">
        <v>752</v>
      </c>
      <c r="AU15" s="450" t="s">
        <v>767</v>
      </c>
      <c r="AW15" s="466" t="s">
        <v>820</v>
      </c>
    </row>
    <row r="16" spans="1:255">
      <c r="A16" s="447">
        <v>20133370</v>
      </c>
      <c r="B16" s="469">
        <v>41318</v>
      </c>
      <c r="C16" s="449" t="s">
        <v>743</v>
      </c>
      <c r="D16" s="449" t="s">
        <v>653</v>
      </c>
      <c r="E16" s="449">
        <v>302</v>
      </c>
      <c r="F16" s="449">
        <v>2019</v>
      </c>
      <c r="G16" s="449" t="s">
        <v>56</v>
      </c>
      <c r="H16" s="449" t="s">
        <v>768</v>
      </c>
      <c r="I16" s="449" t="s">
        <v>738</v>
      </c>
      <c r="J16" s="449" t="s">
        <v>744</v>
      </c>
      <c r="K16" s="450" t="s">
        <v>740</v>
      </c>
      <c r="L16" s="451">
        <v>1</v>
      </c>
      <c r="M16" s="452">
        <v>900</v>
      </c>
      <c r="N16" s="452"/>
      <c r="O16" s="453">
        <v>138.52670000000001</v>
      </c>
      <c r="P16" s="453"/>
      <c r="Q16" s="454">
        <v>125</v>
      </c>
      <c r="R16" s="569"/>
      <c r="S16" s="454">
        <v>0</v>
      </c>
      <c r="T16" s="455">
        <v>-13.526700000000005</v>
      </c>
      <c r="U16" s="456">
        <v>0</v>
      </c>
      <c r="V16" s="457">
        <v>-12174.030000000004</v>
      </c>
      <c r="W16" s="457">
        <v>0</v>
      </c>
      <c r="X16" s="458">
        <v>112500</v>
      </c>
      <c r="Y16" s="458">
        <v>0</v>
      </c>
      <c r="Z16" s="459" t="e">
        <v>#VALUE!</v>
      </c>
      <c r="AA16" s="459"/>
      <c r="AB16" s="450" t="s">
        <v>224</v>
      </c>
      <c r="AC16" s="460">
        <v>10059</v>
      </c>
      <c r="AD16" s="450">
        <v>400036</v>
      </c>
      <c r="AE16" s="450" t="s">
        <v>828</v>
      </c>
      <c r="AF16" s="461" t="s">
        <v>829</v>
      </c>
      <c r="AG16" s="461" t="s">
        <v>830</v>
      </c>
      <c r="AH16" s="450">
        <v>11334</v>
      </c>
      <c r="AI16" s="462">
        <v>1</v>
      </c>
      <c r="AJ16" s="463" t="s">
        <v>830</v>
      </c>
      <c r="AK16" s="463" t="s">
        <v>831</v>
      </c>
      <c r="AL16" s="449" t="s">
        <v>832</v>
      </c>
      <c r="AM16" s="449" t="s">
        <v>833</v>
      </c>
      <c r="AN16" s="464">
        <v>31168.5075</v>
      </c>
      <c r="AP16" s="464">
        <v>31168.5075</v>
      </c>
      <c r="AQ16" s="464">
        <v>31168.507499999992</v>
      </c>
      <c r="AR16" s="464">
        <v>31168.5075</v>
      </c>
      <c r="AS16" s="450" t="s">
        <v>751</v>
      </c>
      <c r="AT16" s="450" t="s">
        <v>752</v>
      </c>
      <c r="AU16" s="450" t="s">
        <v>775</v>
      </c>
      <c r="AW16" s="466" t="s">
        <v>829</v>
      </c>
    </row>
    <row r="17" spans="1:49">
      <c r="A17" s="447">
        <v>20133548</v>
      </c>
      <c r="B17" s="469">
        <v>41318</v>
      </c>
      <c r="C17" s="449" t="s">
        <v>743</v>
      </c>
      <c r="D17" s="449" t="s">
        <v>653</v>
      </c>
      <c r="E17" s="449">
        <v>302</v>
      </c>
      <c r="F17" s="449">
        <v>2021</v>
      </c>
      <c r="G17" s="449" t="s">
        <v>58</v>
      </c>
      <c r="H17" s="449" t="s">
        <v>768</v>
      </c>
      <c r="I17" s="449" t="s">
        <v>738</v>
      </c>
      <c r="J17" s="449" t="s">
        <v>744</v>
      </c>
      <c r="K17" s="450" t="s">
        <v>740</v>
      </c>
      <c r="L17" s="451">
        <v>1</v>
      </c>
      <c r="M17" s="452">
        <v>900</v>
      </c>
      <c r="N17" s="452">
        <v>300</v>
      </c>
      <c r="O17" s="453">
        <v>124.44340000000001</v>
      </c>
      <c r="P17" s="453"/>
      <c r="Q17" s="454">
        <v>116</v>
      </c>
      <c r="R17" s="569"/>
      <c r="S17" s="454">
        <v>1</v>
      </c>
      <c r="T17" s="455">
        <v>-8.4434000000000111</v>
      </c>
      <c r="U17" s="456">
        <v>1</v>
      </c>
      <c r="V17" s="457">
        <v>-7599.0600000000104</v>
      </c>
      <c r="W17" s="457">
        <v>300</v>
      </c>
      <c r="X17" s="458">
        <v>104400</v>
      </c>
      <c r="Y17" s="458">
        <v>300</v>
      </c>
      <c r="Z17" s="459" t="e">
        <v>#VALUE!</v>
      </c>
      <c r="AA17" s="459"/>
      <c r="AB17" s="450" t="s">
        <v>224</v>
      </c>
      <c r="AC17" s="460">
        <v>10061</v>
      </c>
      <c r="AD17" s="450">
        <v>400042</v>
      </c>
      <c r="AE17" s="450" t="s">
        <v>834</v>
      </c>
      <c r="AF17" s="461" t="s">
        <v>835</v>
      </c>
      <c r="AG17" s="461" t="s">
        <v>836</v>
      </c>
      <c r="AH17" s="450">
        <v>11334</v>
      </c>
      <c r="AI17" s="462">
        <v>1</v>
      </c>
      <c r="AJ17" s="463" t="s">
        <v>836</v>
      </c>
      <c r="AK17" s="463" t="s">
        <v>837</v>
      </c>
      <c r="AL17" s="449" t="s">
        <v>838</v>
      </c>
      <c r="AM17" s="449" t="s">
        <v>839</v>
      </c>
      <c r="AN17" s="464">
        <v>27999.764999999999</v>
      </c>
      <c r="AP17" s="464">
        <v>27999.764999999999</v>
      </c>
      <c r="AQ17" s="464">
        <v>27999.764999999999</v>
      </c>
      <c r="AR17" s="464">
        <v>27999.764999999999</v>
      </c>
      <c r="AS17" s="450" t="s">
        <v>751</v>
      </c>
      <c r="AT17" s="450" t="s">
        <v>752</v>
      </c>
      <c r="AU17" s="450" t="s">
        <v>775</v>
      </c>
      <c r="AW17" s="466" t="s">
        <v>835</v>
      </c>
    </row>
    <row r="18" spans="1:49">
      <c r="A18" s="447">
        <v>20133904</v>
      </c>
      <c r="B18" s="469">
        <v>41318</v>
      </c>
      <c r="C18" s="449" t="s">
        <v>743</v>
      </c>
      <c r="D18" s="449" t="s">
        <v>653</v>
      </c>
      <c r="E18" s="449">
        <v>302</v>
      </c>
      <c r="F18" s="449">
        <v>2022</v>
      </c>
      <c r="G18" s="449" t="s">
        <v>61</v>
      </c>
      <c r="H18" s="449" t="s">
        <v>760</v>
      </c>
      <c r="I18" s="449" t="s">
        <v>738</v>
      </c>
      <c r="J18" s="449" t="s">
        <v>744</v>
      </c>
      <c r="K18" s="450" t="s">
        <v>740</v>
      </c>
      <c r="L18" s="451">
        <v>1</v>
      </c>
      <c r="M18" s="452">
        <v>900</v>
      </c>
      <c r="N18" s="452"/>
      <c r="O18" s="453">
        <v>164.76400000000001</v>
      </c>
      <c r="P18" s="453"/>
      <c r="Q18" s="454">
        <v>159</v>
      </c>
      <c r="R18" s="569"/>
      <c r="S18" s="454">
        <v>0</v>
      </c>
      <c r="T18" s="455">
        <v>-5.76400000000001</v>
      </c>
      <c r="U18" s="456">
        <v>0</v>
      </c>
      <c r="V18" s="457">
        <v>-5187.6000000000095</v>
      </c>
      <c r="W18" s="457">
        <v>0</v>
      </c>
      <c r="X18" s="458">
        <v>143100</v>
      </c>
      <c r="Y18" s="458">
        <v>0</v>
      </c>
      <c r="Z18" s="459" t="e">
        <v>#VALUE!</v>
      </c>
      <c r="AA18" s="459"/>
      <c r="AB18" s="450" t="s">
        <v>224</v>
      </c>
      <c r="AC18" s="460">
        <v>10062</v>
      </c>
      <c r="AD18" s="450">
        <v>400081</v>
      </c>
      <c r="AE18" s="450" t="s">
        <v>840</v>
      </c>
      <c r="AF18" s="461" t="s">
        <v>841</v>
      </c>
      <c r="AG18" s="461" t="s">
        <v>842</v>
      </c>
      <c r="AH18" s="450">
        <v>11334</v>
      </c>
      <c r="AI18" s="462">
        <v>1</v>
      </c>
      <c r="AJ18" s="463" t="s">
        <v>842</v>
      </c>
      <c r="AK18" s="463" t="s">
        <v>843</v>
      </c>
      <c r="AL18" s="449" t="s">
        <v>844</v>
      </c>
      <c r="AM18" s="449" t="s">
        <v>845</v>
      </c>
      <c r="AN18" s="464">
        <v>37071.9</v>
      </c>
      <c r="AP18" s="464">
        <v>37071.9</v>
      </c>
      <c r="AQ18" s="464">
        <v>37071.900000000016</v>
      </c>
      <c r="AR18" s="464">
        <v>37071.9</v>
      </c>
      <c r="AS18" s="450" t="s">
        <v>751</v>
      </c>
      <c r="AT18" s="450" t="s">
        <v>752</v>
      </c>
      <c r="AU18" s="450" t="s">
        <v>767</v>
      </c>
      <c r="AW18" s="466" t="s">
        <v>841</v>
      </c>
    </row>
    <row r="19" spans="1:49">
      <c r="A19" s="447">
        <v>20133815</v>
      </c>
      <c r="B19" s="469">
        <v>41318</v>
      </c>
      <c r="C19" s="449" t="s">
        <v>743</v>
      </c>
      <c r="D19" s="449" t="s">
        <v>653</v>
      </c>
      <c r="E19" s="449">
        <v>302</v>
      </c>
      <c r="F19" s="449">
        <v>2023</v>
      </c>
      <c r="G19" s="449" t="s">
        <v>60</v>
      </c>
      <c r="H19" s="449" t="s">
        <v>768</v>
      </c>
      <c r="I19" s="449" t="s">
        <v>738</v>
      </c>
      <c r="J19" s="449" t="s">
        <v>744</v>
      </c>
      <c r="K19" s="450" t="s">
        <v>740</v>
      </c>
      <c r="L19" s="451">
        <v>1</v>
      </c>
      <c r="M19" s="452">
        <v>900</v>
      </c>
      <c r="N19" s="452"/>
      <c r="O19" s="453">
        <v>98.765799999999999</v>
      </c>
      <c r="P19" s="453"/>
      <c r="Q19" s="454">
        <v>80</v>
      </c>
      <c r="R19" s="569"/>
      <c r="S19" s="454">
        <v>0</v>
      </c>
      <c r="T19" s="455">
        <v>-18.765799999999999</v>
      </c>
      <c r="U19" s="456">
        <v>0</v>
      </c>
      <c r="V19" s="457">
        <v>-16889.219999999998</v>
      </c>
      <c r="W19" s="457">
        <v>0</v>
      </c>
      <c r="X19" s="458">
        <v>72000</v>
      </c>
      <c r="Y19" s="458">
        <v>0</v>
      </c>
      <c r="Z19" s="459" t="e">
        <v>#VALUE!</v>
      </c>
      <c r="AA19" s="459"/>
      <c r="AB19" s="450" t="s">
        <v>224</v>
      </c>
      <c r="AC19" s="460">
        <v>10063</v>
      </c>
      <c r="AD19" s="450">
        <v>400068</v>
      </c>
      <c r="AE19" s="450" t="s">
        <v>846</v>
      </c>
      <c r="AF19" s="461" t="s">
        <v>847</v>
      </c>
      <c r="AG19" s="461" t="s">
        <v>848</v>
      </c>
      <c r="AH19" s="450">
        <v>11334</v>
      </c>
      <c r="AI19" s="462">
        <v>1</v>
      </c>
      <c r="AJ19" s="463" t="s">
        <v>848</v>
      </c>
      <c r="AK19" s="463" t="s">
        <v>849</v>
      </c>
      <c r="AL19" s="449" t="s">
        <v>850</v>
      </c>
      <c r="AM19" s="449" t="s">
        <v>851</v>
      </c>
      <c r="AN19" s="464">
        <v>22222.305</v>
      </c>
      <c r="AP19" s="464">
        <v>22222.305</v>
      </c>
      <c r="AQ19" s="464">
        <v>22222.305000000008</v>
      </c>
      <c r="AR19" s="464">
        <v>22222.305</v>
      </c>
      <c r="AS19" s="450" t="s">
        <v>751</v>
      </c>
      <c r="AT19" s="450" t="s">
        <v>752</v>
      </c>
      <c r="AU19" s="450" t="s">
        <v>775</v>
      </c>
      <c r="AW19" s="466" t="s">
        <v>847</v>
      </c>
    </row>
    <row r="20" spans="1:49">
      <c r="A20" s="447">
        <v>20134082</v>
      </c>
      <c r="B20" s="469">
        <v>41318</v>
      </c>
      <c r="C20" s="449" t="s">
        <v>743</v>
      </c>
      <c r="D20" s="449" t="s">
        <v>653</v>
      </c>
      <c r="E20" s="449">
        <v>302</v>
      </c>
      <c r="F20" s="449">
        <v>2024</v>
      </c>
      <c r="G20" s="449" t="s">
        <v>342</v>
      </c>
      <c r="H20" s="449" t="s">
        <v>5</v>
      </c>
      <c r="I20" s="449" t="s">
        <v>738</v>
      </c>
      <c r="J20" s="449" t="s">
        <v>744</v>
      </c>
      <c r="K20" s="450" t="s">
        <v>740</v>
      </c>
      <c r="L20" s="451">
        <v>1</v>
      </c>
      <c r="M20" s="452">
        <v>900</v>
      </c>
      <c r="N20" s="452"/>
      <c r="O20" s="453">
        <v>87.985200000000006</v>
      </c>
      <c r="P20" s="453"/>
      <c r="Q20" s="454">
        <v>84</v>
      </c>
      <c r="R20" s="569"/>
      <c r="S20" s="454">
        <v>0</v>
      </c>
      <c r="T20" s="455">
        <v>-3.9852000000000061</v>
      </c>
      <c r="U20" s="456">
        <v>0</v>
      </c>
      <c r="V20" s="457">
        <v>-3586.6800000000053</v>
      </c>
      <c r="W20" s="457">
        <v>0</v>
      </c>
      <c r="X20" s="458">
        <v>75600</v>
      </c>
      <c r="Y20" s="458">
        <v>0</v>
      </c>
      <c r="Z20" s="459" t="e">
        <v>#VALUE!</v>
      </c>
      <c r="AA20" s="459"/>
      <c r="AB20" s="450" t="s">
        <v>224</v>
      </c>
      <c r="AC20" s="460">
        <v>10064</v>
      </c>
      <c r="AD20" s="450">
        <v>400047</v>
      </c>
      <c r="AE20" s="450" t="s">
        <v>852</v>
      </c>
      <c r="AF20" s="461" t="s">
        <v>853</v>
      </c>
      <c r="AG20" s="461" t="s">
        <v>854</v>
      </c>
      <c r="AH20" s="450">
        <v>11334</v>
      </c>
      <c r="AI20" s="462">
        <v>1</v>
      </c>
      <c r="AJ20" s="463" t="s">
        <v>854</v>
      </c>
      <c r="AK20" s="463" t="s">
        <v>855</v>
      </c>
      <c r="AL20" s="449" t="s">
        <v>856</v>
      </c>
      <c r="AM20" s="449" t="s">
        <v>857</v>
      </c>
      <c r="AN20" s="464">
        <v>19796.669999999998</v>
      </c>
      <c r="AP20" s="464">
        <v>19796.669999999998</v>
      </c>
      <c r="AQ20" s="464">
        <v>19796.669999999998</v>
      </c>
      <c r="AR20" s="464">
        <v>19796.669999999998</v>
      </c>
      <c r="AS20" s="450" t="s">
        <v>751</v>
      </c>
      <c r="AT20" s="450" t="s">
        <v>752</v>
      </c>
      <c r="AU20" s="450" t="s">
        <v>753</v>
      </c>
      <c r="AW20" s="466" t="s">
        <v>853</v>
      </c>
    </row>
    <row r="21" spans="1:49">
      <c r="A21" s="447">
        <v>20134171</v>
      </c>
      <c r="B21" s="469">
        <v>41318</v>
      </c>
      <c r="C21" s="449" t="s">
        <v>743</v>
      </c>
      <c r="D21" s="449" t="s">
        <v>653</v>
      </c>
      <c r="E21" s="449">
        <v>302</v>
      </c>
      <c r="F21" s="449">
        <v>2025</v>
      </c>
      <c r="G21" s="449" t="s">
        <v>63</v>
      </c>
      <c r="H21" s="449" t="s">
        <v>5</v>
      </c>
      <c r="I21" s="449" t="s">
        <v>738</v>
      </c>
      <c r="J21" s="449" t="s">
        <v>744</v>
      </c>
      <c r="K21" s="450" t="s">
        <v>740</v>
      </c>
      <c r="L21" s="451">
        <v>1</v>
      </c>
      <c r="M21" s="452">
        <v>900</v>
      </c>
      <c r="N21" s="452"/>
      <c r="O21" s="453">
        <v>19.057500000000001</v>
      </c>
      <c r="P21" s="453"/>
      <c r="Q21" s="454">
        <v>22</v>
      </c>
      <c r="R21" s="569"/>
      <c r="S21" s="454">
        <v>0</v>
      </c>
      <c r="T21" s="455">
        <v>2.942499999999999</v>
      </c>
      <c r="U21" s="456">
        <v>0</v>
      </c>
      <c r="V21" s="457">
        <v>2648.2499999999991</v>
      </c>
      <c r="W21" s="457">
        <v>0</v>
      </c>
      <c r="X21" s="458">
        <v>19800</v>
      </c>
      <c r="Y21" s="458">
        <v>0</v>
      </c>
      <c r="Z21" s="459" t="e">
        <v>#VALUE!</v>
      </c>
      <c r="AA21" s="459"/>
      <c r="AB21" s="450" t="s">
        <v>224</v>
      </c>
      <c r="AC21" s="460">
        <v>10065</v>
      </c>
      <c r="AD21" s="450">
        <v>400001</v>
      </c>
      <c r="AE21" s="450" t="s">
        <v>858</v>
      </c>
      <c r="AF21" s="461" t="s">
        <v>859</v>
      </c>
      <c r="AG21" s="461" t="s">
        <v>860</v>
      </c>
      <c r="AH21" s="450">
        <v>11334</v>
      </c>
      <c r="AI21" s="462">
        <v>1</v>
      </c>
      <c r="AJ21" s="463" t="s">
        <v>860</v>
      </c>
      <c r="AK21" s="463" t="s">
        <v>861</v>
      </c>
      <c r="AL21" s="449" t="s">
        <v>862</v>
      </c>
      <c r="AM21" s="449" t="s">
        <v>863</v>
      </c>
      <c r="AN21" s="464">
        <v>4287.9375</v>
      </c>
      <c r="AP21" s="464">
        <v>4287.9375</v>
      </c>
      <c r="AQ21" s="464">
        <v>4287.9375</v>
      </c>
      <c r="AR21" s="464">
        <v>4287.9375</v>
      </c>
      <c r="AS21" s="450" t="s">
        <v>751</v>
      </c>
      <c r="AT21" s="450" t="s">
        <v>752</v>
      </c>
      <c r="AU21" s="450" t="s">
        <v>753</v>
      </c>
      <c r="AW21" s="466" t="s">
        <v>859</v>
      </c>
    </row>
    <row r="22" spans="1:49">
      <c r="A22" s="447">
        <v>20134260</v>
      </c>
      <c r="B22" s="469">
        <v>41318</v>
      </c>
      <c r="C22" s="449" t="s">
        <v>743</v>
      </c>
      <c r="D22" s="449" t="s">
        <v>653</v>
      </c>
      <c r="E22" s="449">
        <v>302</v>
      </c>
      <c r="F22" s="449">
        <v>2026</v>
      </c>
      <c r="G22" s="449" t="s">
        <v>343</v>
      </c>
      <c r="H22" s="449" t="s">
        <v>5</v>
      </c>
      <c r="I22" s="449" t="s">
        <v>738</v>
      </c>
      <c r="J22" s="449" t="s">
        <v>744</v>
      </c>
      <c r="K22" s="450" t="s">
        <v>740</v>
      </c>
      <c r="L22" s="451">
        <v>1</v>
      </c>
      <c r="M22" s="452">
        <v>900</v>
      </c>
      <c r="N22" s="452"/>
      <c r="O22" s="453">
        <v>120.744</v>
      </c>
      <c r="P22" s="453"/>
      <c r="Q22" s="454">
        <v>130</v>
      </c>
      <c r="R22" s="569"/>
      <c r="S22" s="454">
        <v>0</v>
      </c>
      <c r="T22" s="455">
        <v>9.2560000000000002</v>
      </c>
      <c r="U22" s="456">
        <v>0</v>
      </c>
      <c r="V22" s="457">
        <v>8330.4</v>
      </c>
      <c r="W22" s="457">
        <v>0</v>
      </c>
      <c r="X22" s="458">
        <v>117000</v>
      </c>
      <c r="Y22" s="458">
        <v>0</v>
      </c>
      <c r="Z22" s="459" t="e">
        <v>#VALUE!</v>
      </c>
      <c r="AA22" s="459"/>
      <c r="AB22" s="450" t="s">
        <v>224</v>
      </c>
      <c r="AC22" s="460">
        <v>10066</v>
      </c>
      <c r="AD22" s="450">
        <v>400082</v>
      </c>
      <c r="AE22" s="450" t="s">
        <v>864</v>
      </c>
      <c r="AF22" s="461" t="s">
        <v>865</v>
      </c>
      <c r="AG22" s="461" t="s">
        <v>866</v>
      </c>
      <c r="AH22" s="450">
        <v>11334</v>
      </c>
      <c r="AI22" s="462">
        <v>1</v>
      </c>
      <c r="AJ22" s="463" t="s">
        <v>866</v>
      </c>
      <c r="AK22" s="463" t="s">
        <v>867</v>
      </c>
      <c r="AL22" s="449" t="s">
        <v>868</v>
      </c>
      <c r="AM22" s="449" t="s">
        <v>869</v>
      </c>
      <c r="AN22" s="464">
        <v>27167.4</v>
      </c>
      <c r="AP22" s="464">
        <v>27167.4</v>
      </c>
      <c r="AQ22" s="464">
        <v>27167.400000000009</v>
      </c>
      <c r="AR22" s="464">
        <v>27167.4</v>
      </c>
      <c r="AS22" s="450" t="s">
        <v>751</v>
      </c>
      <c r="AT22" s="450" t="s">
        <v>752</v>
      </c>
      <c r="AU22" s="450" t="s">
        <v>753</v>
      </c>
      <c r="AW22" s="466" t="s">
        <v>865</v>
      </c>
    </row>
    <row r="23" spans="1:49">
      <c r="A23" s="447">
        <v>20134438</v>
      </c>
      <c r="B23" s="469">
        <v>41318</v>
      </c>
      <c r="C23" s="449" t="s">
        <v>743</v>
      </c>
      <c r="D23" s="449" t="s">
        <v>653</v>
      </c>
      <c r="E23" s="449">
        <v>302</v>
      </c>
      <c r="F23" s="449">
        <v>2027</v>
      </c>
      <c r="G23" s="449" t="s">
        <v>66</v>
      </c>
      <c r="H23" s="449" t="s">
        <v>760</v>
      </c>
      <c r="I23" s="449" t="s">
        <v>738</v>
      </c>
      <c r="J23" s="449" t="s">
        <v>744</v>
      </c>
      <c r="K23" s="450" t="s">
        <v>740</v>
      </c>
      <c r="L23" s="451">
        <v>1</v>
      </c>
      <c r="M23" s="452">
        <v>900</v>
      </c>
      <c r="N23" s="452"/>
      <c r="O23" s="453">
        <v>70.787000000000006</v>
      </c>
      <c r="P23" s="453"/>
      <c r="Q23" s="454">
        <v>74</v>
      </c>
      <c r="R23" s="569"/>
      <c r="S23" s="454">
        <v>0</v>
      </c>
      <c r="T23" s="455">
        <v>3.2129999999999939</v>
      </c>
      <c r="U23" s="456">
        <v>0</v>
      </c>
      <c r="V23" s="457">
        <v>2891.6999999999944</v>
      </c>
      <c r="W23" s="457">
        <v>0</v>
      </c>
      <c r="X23" s="458">
        <v>66600</v>
      </c>
      <c r="Y23" s="458">
        <v>0</v>
      </c>
      <c r="Z23" s="459" t="e">
        <v>#VALUE!</v>
      </c>
      <c r="AA23" s="459"/>
      <c r="AB23" s="450" t="s">
        <v>224</v>
      </c>
      <c r="AC23" s="460">
        <v>10067</v>
      </c>
      <c r="AD23" s="450">
        <v>400002</v>
      </c>
      <c r="AE23" s="450" t="s">
        <v>870</v>
      </c>
      <c r="AF23" s="461" t="s">
        <v>871</v>
      </c>
      <c r="AG23" s="461" t="s">
        <v>872</v>
      </c>
      <c r="AH23" s="450">
        <v>11334</v>
      </c>
      <c r="AI23" s="462">
        <v>1</v>
      </c>
      <c r="AJ23" s="463" t="s">
        <v>872</v>
      </c>
      <c r="AK23" s="463" t="s">
        <v>873</v>
      </c>
      <c r="AL23" s="449" t="s">
        <v>874</v>
      </c>
      <c r="AM23" s="449" t="s">
        <v>875</v>
      </c>
      <c r="AN23" s="464">
        <v>15927.075000000001</v>
      </c>
      <c r="AP23" s="464">
        <v>15927.075000000001</v>
      </c>
      <c r="AQ23" s="464">
        <v>15927.075000000004</v>
      </c>
      <c r="AR23" s="464">
        <v>15927.075000000001</v>
      </c>
      <c r="AS23" s="450" t="s">
        <v>751</v>
      </c>
      <c r="AT23" s="450" t="s">
        <v>752</v>
      </c>
      <c r="AU23" s="450" t="s">
        <v>767</v>
      </c>
      <c r="AW23" s="466" t="s">
        <v>871</v>
      </c>
    </row>
    <row r="24" spans="1:49">
      <c r="A24" s="447">
        <v>20134349</v>
      </c>
      <c r="B24" s="469">
        <v>41318</v>
      </c>
      <c r="C24" s="449" t="s">
        <v>743</v>
      </c>
      <c r="D24" s="449" t="s">
        <v>653</v>
      </c>
      <c r="E24" s="449">
        <v>302</v>
      </c>
      <c r="F24" s="449">
        <v>2028</v>
      </c>
      <c r="G24" s="449" t="s">
        <v>65</v>
      </c>
      <c r="H24" s="449" t="s">
        <v>768</v>
      </c>
      <c r="I24" s="449" t="s">
        <v>738</v>
      </c>
      <c r="J24" s="449" t="s">
        <v>744</v>
      </c>
      <c r="K24" s="450" t="s">
        <v>740</v>
      </c>
      <c r="L24" s="451">
        <v>1</v>
      </c>
      <c r="M24" s="452">
        <v>900</v>
      </c>
      <c r="N24" s="452"/>
      <c r="O24" s="453">
        <v>41.164900000000003</v>
      </c>
      <c r="P24" s="453"/>
      <c r="Q24" s="454">
        <v>42</v>
      </c>
      <c r="R24" s="569"/>
      <c r="S24" s="454">
        <v>0</v>
      </c>
      <c r="T24" s="455">
        <v>0.83509999999999707</v>
      </c>
      <c r="U24" s="456">
        <v>0</v>
      </c>
      <c r="V24" s="457">
        <v>751.58999999999742</v>
      </c>
      <c r="W24" s="457">
        <v>0</v>
      </c>
      <c r="X24" s="458">
        <v>37800</v>
      </c>
      <c r="Y24" s="458">
        <v>0</v>
      </c>
      <c r="Z24" s="459" t="e">
        <v>#VALUE!</v>
      </c>
      <c r="AA24" s="459"/>
      <c r="AB24" s="450" t="s">
        <v>224</v>
      </c>
      <c r="AC24" s="460">
        <v>10068</v>
      </c>
      <c r="AD24" s="450">
        <v>400067</v>
      </c>
      <c r="AE24" s="450" t="s">
        <v>876</v>
      </c>
      <c r="AF24" s="461" t="s">
        <v>877</v>
      </c>
      <c r="AG24" s="461" t="s">
        <v>878</v>
      </c>
      <c r="AH24" s="450">
        <v>11334</v>
      </c>
      <c r="AI24" s="462">
        <v>1</v>
      </c>
      <c r="AJ24" s="463" t="s">
        <v>878</v>
      </c>
      <c r="AK24" s="463" t="s">
        <v>879</v>
      </c>
      <c r="AL24" s="449" t="s">
        <v>880</v>
      </c>
      <c r="AM24" s="449" t="s">
        <v>881</v>
      </c>
      <c r="AN24" s="464">
        <v>9262.1025000000009</v>
      </c>
      <c r="AP24" s="464">
        <v>9262.1025000000009</v>
      </c>
      <c r="AQ24" s="464">
        <v>9262.1025000000009</v>
      </c>
      <c r="AR24" s="464">
        <v>9262.1025000000009</v>
      </c>
      <c r="AS24" s="450" t="s">
        <v>751</v>
      </c>
      <c r="AT24" s="450" t="s">
        <v>752</v>
      </c>
      <c r="AU24" s="450" t="s">
        <v>775</v>
      </c>
      <c r="AW24" s="466" t="s">
        <v>877</v>
      </c>
    </row>
    <row r="25" spans="1:49">
      <c r="A25" s="447">
        <v>20134527</v>
      </c>
      <c r="B25" s="469">
        <v>41318</v>
      </c>
      <c r="C25" s="449" t="s">
        <v>743</v>
      </c>
      <c r="D25" s="449" t="s">
        <v>653</v>
      </c>
      <c r="E25" s="449">
        <v>302</v>
      </c>
      <c r="F25" s="449">
        <v>2029</v>
      </c>
      <c r="G25" s="449" t="s">
        <v>344</v>
      </c>
      <c r="H25" s="449" t="s">
        <v>5</v>
      </c>
      <c r="I25" s="449" t="s">
        <v>738</v>
      </c>
      <c r="J25" s="449" t="s">
        <v>744</v>
      </c>
      <c r="K25" s="450" t="s">
        <v>740</v>
      </c>
      <c r="L25" s="451">
        <v>1</v>
      </c>
      <c r="M25" s="452">
        <v>900</v>
      </c>
      <c r="N25" s="452"/>
      <c r="O25" s="453">
        <v>219.59209999999996</v>
      </c>
      <c r="P25" s="453"/>
      <c r="Q25" s="454">
        <v>228</v>
      </c>
      <c r="R25" s="569"/>
      <c r="S25" s="454">
        <v>0</v>
      </c>
      <c r="T25" s="455">
        <v>8.4079000000000406</v>
      </c>
      <c r="U25" s="456">
        <v>0</v>
      </c>
      <c r="V25" s="457">
        <v>7567.110000000037</v>
      </c>
      <c r="W25" s="457">
        <v>0</v>
      </c>
      <c r="X25" s="458">
        <v>205200</v>
      </c>
      <c r="Y25" s="458">
        <v>0</v>
      </c>
      <c r="Z25" s="459" t="e">
        <v>#VALUE!</v>
      </c>
      <c r="AA25" s="459"/>
      <c r="AB25" s="450" t="s">
        <v>224</v>
      </c>
      <c r="AC25" s="460">
        <v>10069</v>
      </c>
      <c r="AD25" s="450">
        <v>400035</v>
      </c>
      <c r="AE25" s="450" t="s">
        <v>882</v>
      </c>
      <c r="AF25" s="461" t="s">
        <v>883</v>
      </c>
      <c r="AG25" s="461" t="s">
        <v>884</v>
      </c>
      <c r="AH25" s="450">
        <v>11334</v>
      </c>
      <c r="AI25" s="462">
        <v>1</v>
      </c>
      <c r="AJ25" s="463" t="s">
        <v>884</v>
      </c>
      <c r="AK25" s="463" t="s">
        <v>885</v>
      </c>
      <c r="AL25" s="449" t="s">
        <v>886</v>
      </c>
      <c r="AM25" s="449" t="s">
        <v>887</v>
      </c>
      <c r="AN25" s="464">
        <v>49408.222500000003</v>
      </c>
      <c r="AP25" s="464">
        <v>49408.222500000003</v>
      </c>
      <c r="AQ25" s="464">
        <v>49408.222500000003</v>
      </c>
      <c r="AR25" s="464">
        <v>49408.222500000003</v>
      </c>
      <c r="AS25" s="450" t="s">
        <v>751</v>
      </c>
      <c r="AT25" s="450" t="s">
        <v>752</v>
      </c>
      <c r="AU25" s="450" t="s">
        <v>753</v>
      </c>
      <c r="AW25" s="466" t="s">
        <v>883</v>
      </c>
    </row>
    <row r="26" spans="1:49">
      <c r="A26" s="447">
        <v>20134616</v>
      </c>
      <c r="B26" s="469">
        <v>41318</v>
      </c>
      <c r="C26" s="449" t="s">
        <v>743</v>
      </c>
      <c r="D26" s="449" t="s">
        <v>653</v>
      </c>
      <c r="E26" s="449">
        <v>302</v>
      </c>
      <c r="F26" s="449">
        <v>2030</v>
      </c>
      <c r="G26" s="449" t="s">
        <v>68</v>
      </c>
      <c r="H26" s="449" t="s">
        <v>768</v>
      </c>
      <c r="I26" s="449" t="s">
        <v>818</v>
      </c>
      <c r="J26" s="449" t="s">
        <v>744</v>
      </c>
      <c r="K26" s="450" t="s">
        <v>740</v>
      </c>
      <c r="L26" s="451">
        <v>1</v>
      </c>
      <c r="M26" s="452">
        <v>900</v>
      </c>
      <c r="N26" s="452"/>
      <c r="O26" s="453">
        <v>25.690599999999996</v>
      </c>
      <c r="P26" s="453"/>
      <c r="Q26" s="454">
        <v>27</v>
      </c>
      <c r="R26" s="569"/>
      <c r="S26" s="454">
        <v>0</v>
      </c>
      <c r="T26" s="455">
        <v>1.3094000000000037</v>
      </c>
      <c r="U26" s="456">
        <v>0</v>
      </c>
      <c r="V26" s="457">
        <v>1178.4600000000032</v>
      </c>
      <c r="W26" s="457">
        <v>0</v>
      </c>
      <c r="X26" s="458">
        <v>24300</v>
      </c>
      <c r="Y26" s="458">
        <v>0</v>
      </c>
      <c r="Z26" s="459" t="e">
        <v>#VALUE!</v>
      </c>
      <c r="AA26" s="459"/>
      <c r="AB26" s="450" t="s">
        <v>224</v>
      </c>
      <c r="AC26" s="460" t="s">
        <v>699</v>
      </c>
      <c r="AD26" s="450">
        <v>148347</v>
      </c>
      <c r="AE26" s="450" t="s">
        <v>888</v>
      </c>
      <c r="AF26" s="461" t="s">
        <v>889</v>
      </c>
      <c r="AG26" s="461" t="s">
        <v>890</v>
      </c>
      <c r="AH26" s="450" t="s">
        <v>822</v>
      </c>
      <c r="AI26" s="462">
        <v>0</v>
      </c>
      <c r="AJ26" s="463" t="s">
        <v>890</v>
      </c>
      <c r="AK26" s="463" t="s">
        <v>891</v>
      </c>
      <c r="AL26" s="449" t="s">
        <v>892</v>
      </c>
      <c r="AM26" s="449" t="s">
        <v>893</v>
      </c>
      <c r="AN26" s="464" t="s">
        <v>826</v>
      </c>
      <c r="AS26" s="450" t="s">
        <v>827</v>
      </c>
      <c r="AT26" s="450" t="s">
        <v>752</v>
      </c>
      <c r="AU26" s="450" t="s">
        <v>775</v>
      </c>
      <c r="AW26" s="466" t="s">
        <v>889</v>
      </c>
    </row>
    <row r="27" spans="1:49">
      <c r="A27" s="447">
        <v>20134794</v>
      </c>
      <c r="B27" s="469">
        <v>41318</v>
      </c>
      <c r="C27" s="449" t="s">
        <v>743</v>
      </c>
      <c r="D27" s="449" t="s">
        <v>653</v>
      </c>
      <c r="E27" s="449">
        <v>302</v>
      </c>
      <c r="F27" s="449">
        <v>2031</v>
      </c>
      <c r="G27" s="449" t="s">
        <v>345</v>
      </c>
      <c r="H27" s="449" t="s">
        <v>5</v>
      </c>
      <c r="I27" s="449" t="s">
        <v>738</v>
      </c>
      <c r="J27" s="449" t="s">
        <v>744</v>
      </c>
      <c r="K27" s="450" t="s">
        <v>740</v>
      </c>
      <c r="L27" s="451">
        <v>1</v>
      </c>
      <c r="M27" s="452">
        <v>900</v>
      </c>
      <c r="N27" s="452">
        <v>300</v>
      </c>
      <c r="O27" s="453">
        <v>106.3725</v>
      </c>
      <c r="P27" s="453"/>
      <c r="Q27" s="454">
        <v>92</v>
      </c>
      <c r="R27" s="569"/>
      <c r="S27" s="454">
        <v>7</v>
      </c>
      <c r="T27" s="455">
        <v>-14.372500000000002</v>
      </c>
      <c r="U27" s="456">
        <v>7</v>
      </c>
      <c r="V27" s="457">
        <v>-12935.250000000002</v>
      </c>
      <c r="W27" s="457">
        <v>2100</v>
      </c>
      <c r="X27" s="458">
        <v>82800</v>
      </c>
      <c r="Y27" s="458">
        <v>2100</v>
      </c>
      <c r="Z27" s="459" t="e">
        <v>#VALUE!</v>
      </c>
      <c r="AA27" s="459"/>
      <c r="AB27" s="450" t="s">
        <v>224</v>
      </c>
      <c r="AC27" s="460">
        <v>10071</v>
      </c>
      <c r="AD27" s="450">
        <v>400026</v>
      </c>
      <c r="AE27" s="450" t="s">
        <v>894</v>
      </c>
      <c r="AF27" s="461" t="s">
        <v>895</v>
      </c>
      <c r="AG27" s="461" t="s">
        <v>896</v>
      </c>
      <c r="AH27" s="450">
        <v>11334</v>
      </c>
      <c r="AI27" s="462">
        <v>1</v>
      </c>
      <c r="AJ27" s="463" t="s">
        <v>896</v>
      </c>
      <c r="AK27" s="463" t="s">
        <v>897</v>
      </c>
      <c r="AL27" s="449" t="s">
        <v>898</v>
      </c>
      <c r="AM27" s="449" t="s">
        <v>899</v>
      </c>
      <c r="AN27" s="464">
        <v>23933.8125</v>
      </c>
      <c r="AP27" s="464">
        <v>23933.8125</v>
      </c>
      <c r="AQ27" s="464">
        <v>23933.8125</v>
      </c>
      <c r="AR27" s="464">
        <v>23933.8125</v>
      </c>
      <c r="AS27" s="450" t="s">
        <v>751</v>
      </c>
      <c r="AT27" s="450" t="s">
        <v>752</v>
      </c>
      <c r="AU27" s="450" t="s">
        <v>753</v>
      </c>
      <c r="AW27" s="466" t="s">
        <v>895</v>
      </c>
    </row>
    <row r="28" spans="1:49">
      <c r="A28" s="447">
        <v>20134883</v>
      </c>
      <c r="B28" s="469">
        <v>41318</v>
      </c>
      <c r="C28" s="449" t="s">
        <v>743</v>
      </c>
      <c r="D28" s="449" t="s">
        <v>653</v>
      </c>
      <c r="E28" s="449">
        <v>302</v>
      </c>
      <c r="F28" s="449">
        <v>2032</v>
      </c>
      <c r="G28" s="449" t="s">
        <v>346</v>
      </c>
      <c r="H28" s="449" t="s">
        <v>5</v>
      </c>
      <c r="I28" s="449" t="s">
        <v>738</v>
      </c>
      <c r="J28" s="449" t="s">
        <v>744</v>
      </c>
      <c r="K28" s="450" t="s">
        <v>740</v>
      </c>
      <c r="L28" s="451">
        <v>1</v>
      </c>
      <c r="M28" s="452">
        <v>900</v>
      </c>
      <c r="N28" s="452">
        <v>300</v>
      </c>
      <c r="O28" s="453">
        <v>128.4248</v>
      </c>
      <c r="P28" s="453">
        <v>1</v>
      </c>
      <c r="Q28" s="454">
        <v>120</v>
      </c>
      <c r="R28" s="569"/>
      <c r="S28" s="454">
        <v>0</v>
      </c>
      <c r="T28" s="455">
        <v>-8.4248000000000047</v>
      </c>
      <c r="U28" s="456">
        <v>-1</v>
      </c>
      <c r="V28" s="457">
        <v>-7582.3200000000043</v>
      </c>
      <c r="W28" s="457">
        <v>-300</v>
      </c>
      <c r="X28" s="458">
        <v>108000</v>
      </c>
      <c r="Y28" s="458">
        <v>0</v>
      </c>
      <c r="Z28" s="459" t="e">
        <v>#VALUE!</v>
      </c>
      <c r="AA28" s="459">
        <v>300</v>
      </c>
      <c r="AB28" s="450" t="s">
        <v>224</v>
      </c>
      <c r="AC28" s="460">
        <v>10072</v>
      </c>
      <c r="AD28" s="450">
        <v>400084</v>
      </c>
      <c r="AE28" s="450" t="s">
        <v>900</v>
      </c>
      <c r="AF28" s="461" t="s">
        <v>901</v>
      </c>
      <c r="AG28" s="461" t="s">
        <v>902</v>
      </c>
      <c r="AH28" s="450">
        <v>11334</v>
      </c>
      <c r="AI28" s="462">
        <v>1</v>
      </c>
      <c r="AJ28" s="463" t="s">
        <v>902</v>
      </c>
      <c r="AK28" s="463" t="s">
        <v>903</v>
      </c>
      <c r="AL28" s="449" t="s">
        <v>904</v>
      </c>
      <c r="AM28" s="449" t="s">
        <v>905</v>
      </c>
      <c r="AN28" s="464">
        <v>28895.58</v>
      </c>
      <c r="AP28" s="464">
        <v>28895.58</v>
      </c>
      <c r="AQ28" s="464">
        <v>28895.58</v>
      </c>
      <c r="AR28" s="464">
        <v>28895.58</v>
      </c>
      <c r="AS28" s="450" t="s">
        <v>751</v>
      </c>
      <c r="AT28" s="450" t="s">
        <v>752</v>
      </c>
      <c r="AU28" s="450" t="s">
        <v>753</v>
      </c>
      <c r="AW28" s="466" t="s">
        <v>901</v>
      </c>
    </row>
    <row r="29" spans="1:49">
      <c r="A29" s="447">
        <v>20135239</v>
      </c>
      <c r="B29" s="469">
        <v>41318</v>
      </c>
      <c r="C29" s="449" t="s">
        <v>743</v>
      </c>
      <c r="D29" s="449" t="s">
        <v>653</v>
      </c>
      <c r="E29" s="449">
        <v>302</v>
      </c>
      <c r="F29" s="449">
        <v>2036</v>
      </c>
      <c r="G29" s="449" t="s">
        <v>348</v>
      </c>
      <c r="H29" s="449" t="s">
        <v>5</v>
      </c>
      <c r="I29" s="449" t="s">
        <v>738</v>
      </c>
      <c r="J29" s="449" t="s">
        <v>744</v>
      </c>
      <c r="K29" s="450" t="s">
        <v>740</v>
      </c>
      <c r="L29" s="451">
        <v>1</v>
      </c>
      <c r="M29" s="452">
        <v>900</v>
      </c>
      <c r="N29" s="452"/>
      <c r="O29" s="453">
        <v>92.078800000000001</v>
      </c>
      <c r="P29" s="453"/>
      <c r="Q29" s="454">
        <v>97</v>
      </c>
      <c r="R29" s="569"/>
      <c r="S29" s="454">
        <v>0</v>
      </c>
      <c r="T29" s="455">
        <v>4.9211999999999989</v>
      </c>
      <c r="U29" s="456">
        <v>0</v>
      </c>
      <c r="V29" s="457">
        <v>4429.079999999999</v>
      </c>
      <c r="W29" s="457">
        <v>0</v>
      </c>
      <c r="X29" s="458">
        <v>87300</v>
      </c>
      <c r="Y29" s="458">
        <v>0</v>
      </c>
      <c r="Z29" s="459" t="e">
        <v>#VALUE!</v>
      </c>
      <c r="AA29" s="459"/>
      <c r="AB29" s="450" t="s">
        <v>224</v>
      </c>
      <c r="AC29" s="460">
        <v>10074</v>
      </c>
      <c r="AD29" s="450">
        <v>400046</v>
      </c>
      <c r="AE29" s="450" t="s">
        <v>906</v>
      </c>
      <c r="AF29" s="461" t="s">
        <v>907</v>
      </c>
      <c r="AG29" s="461" t="s">
        <v>908</v>
      </c>
      <c r="AH29" s="450">
        <v>11334</v>
      </c>
      <c r="AI29" s="462">
        <v>1</v>
      </c>
      <c r="AJ29" s="463" t="s">
        <v>908</v>
      </c>
      <c r="AK29" s="463" t="s">
        <v>909</v>
      </c>
      <c r="AL29" s="449" t="s">
        <v>910</v>
      </c>
      <c r="AM29" s="449" t="s">
        <v>911</v>
      </c>
      <c r="AN29" s="464">
        <v>20717.73</v>
      </c>
      <c r="AP29" s="464">
        <v>20717.73</v>
      </c>
      <c r="AQ29" s="464">
        <v>20717.730000000007</v>
      </c>
      <c r="AR29" s="464">
        <v>20717.73</v>
      </c>
      <c r="AS29" s="450" t="s">
        <v>751</v>
      </c>
      <c r="AT29" s="450" t="s">
        <v>752</v>
      </c>
      <c r="AU29" s="450" t="s">
        <v>753</v>
      </c>
      <c r="AW29" s="466" t="s">
        <v>907</v>
      </c>
    </row>
    <row r="30" spans="1:49">
      <c r="A30" s="447">
        <v>20135328</v>
      </c>
      <c r="B30" s="469">
        <v>41318</v>
      </c>
      <c r="C30" s="449" t="s">
        <v>743</v>
      </c>
      <c r="D30" s="449" t="s">
        <v>653</v>
      </c>
      <c r="E30" s="449">
        <v>302</v>
      </c>
      <c r="F30" s="449">
        <v>2037</v>
      </c>
      <c r="G30" s="449" t="s">
        <v>349</v>
      </c>
      <c r="H30" s="449" t="s">
        <v>5</v>
      </c>
      <c r="I30" s="449" t="s">
        <v>738</v>
      </c>
      <c r="J30" s="449" t="s">
        <v>744</v>
      </c>
      <c r="K30" s="450" t="s">
        <v>740</v>
      </c>
      <c r="L30" s="451">
        <v>1</v>
      </c>
      <c r="M30" s="452">
        <v>900</v>
      </c>
      <c r="N30" s="452"/>
      <c r="O30" s="453">
        <v>85.281499999999994</v>
      </c>
      <c r="P30" s="453"/>
      <c r="Q30" s="454">
        <v>82</v>
      </c>
      <c r="R30" s="569"/>
      <c r="S30" s="454">
        <v>0</v>
      </c>
      <c r="T30" s="455">
        <v>-3.2814999999999941</v>
      </c>
      <c r="U30" s="456">
        <v>0</v>
      </c>
      <c r="V30" s="457">
        <v>-2953.3499999999949</v>
      </c>
      <c r="W30" s="457">
        <v>0</v>
      </c>
      <c r="X30" s="458">
        <v>73800</v>
      </c>
      <c r="Y30" s="458">
        <v>0</v>
      </c>
      <c r="Z30" s="459" t="e">
        <v>#VALUE!</v>
      </c>
      <c r="AA30" s="459"/>
      <c r="AB30" s="450" t="s">
        <v>224</v>
      </c>
      <c r="AC30" s="460">
        <v>10075</v>
      </c>
      <c r="AD30" s="450">
        <v>400030</v>
      </c>
      <c r="AE30" s="450" t="s">
        <v>912</v>
      </c>
      <c r="AF30" s="461" t="s">
        <v>913</v>
      </c>
      <c r="AG30" s="461" t="s">
        <v>914</v>
      </c>
      <c r="AH30" s="450">
        <v>11334</v>
      </c>
      <c r="AI30" s="462">
        <v>1</v>
      </c>
      <c r="AJ30" s="463" t="s">
        <v>914</v>
      </c>
      <c r="AK30" s="463" t="s">
        <v>915</v>
      </c>
      <c r="AL30" s="449" t="s">
        <v>916</v>
      </c>
      <c r="AM30" s="449" t="s">
        <v>917</v>
      </c>
      <c r="AN30" s="464">
        <v>19188.337500000001</v>
      </c>
      <c r="AP30" s="464">
        <v>19188.337500000001</v>
      </c>
      <c r="AQ30" s="464">
        <v>19188.337500000001</v>
      </c>
      <c r="AR30" s="464">
        <v>19188.337500000001</v>
      </c>
      <c r="AS30" s="450" t="s">
        <v>751</v>
      </c>
      <c r="AT30" s="450" t="s">
        <v>752</v>
      </c>
      <c r="AU30" s="450" t="s">
        <v>753</v>
      </c>
      <c r="AW30" s="466" t="s">
        <v>913</v>
      </c>
    </row>
    <row r="31" spans="1:49">
      <c r="A31" s="447">
        <v>20143679</v>
      </c>
      <c r="B31" s="469">
        <v>41326</v>
      </c>
      <c r="C31" s="449" t="s">
        <v>478</v>
      </c>
      <c r="D31" s="449" t="s">
        <v>653</v>
      </c>
      <c r="E31" s="460">
        <v>302</v>
      </c>
      <c r="F31" s="460">
        <v>2041</v>
      </c>
      <c r="G31" s="449" t="s">
        <v>689</v>
      </c>
      <c r="H31" s="449" t="s">
        <v>5</v>
      </c>
      <c r="I31" s="449" t="s">
        <v>738</v>
      </c>
      <c r="J31" s="449" t="s">
        <v>744</v>
      </c>
      <c r="K31" s="450" t="s">
        <v>740</v>
      </c>
      <c r="L31" s="451">
        <v>1</v>
      </c>
      <c r="M31" s="452">
        <v>900</v>
      </c>
      <c r="N31" s="452"/>
      <c r="O31" s="453">
        <v>12.983700000000001</v>
      </c>
      <c r="P31" s="453"/>
      <c r="Q31" s="454">
        <v>0</v>
      </c>
      <c r="R31" s="569"/>
      <c r="S31" s="454">
        <v>0</v>
      </c>
      <c r="T31" s="455">
        <v>-12.983700000000001</v>
      </c>
      <c r="U31" s="456">
        <v>0</v>
      </c>
      <c r="V31" s="457">
        <v>-11685.33</v>
      </c>
      <c r="W31" s="457">
        <v>0</v>
      </c>
      <c r="X31" s="458">
        <v>0</v>
      </c>
      <c r="Y31" s="458">
        <v>0</v>
      </c>
      <c r="Z31" s="459" t="e">
        <v>#VALUE!</v>
      </c>
      <c r="AA31" s="459"/>
      <c r="AB31" s="450" t="s">
        <v>224</v>
      </c>
      <c r="AC31" s="460">
        <v>0</v>
      </c>
      <c r="AD31" s="450">
        <v>400155</v>
      </c>
      <c r="AE31" s="450" t="s">
        <v>918</v>
      </c>
      <c r="AF31" s="461" t="s">
        <v>919</v>
      </c>
      <c r="AG31" s="461" t="s">
        <v>920</v>
      </c>
      <c r="AH31" s="450">
        <v>11334</v>
      </c>
      <c r="AI31" s="462">
        <v>1</v>
      </c>
      <c r="AJ31" s="463" t="s">
        <v>920</v>
      </c>
      <c r="AK31" s="463" t="s">
        <v>921</v>
      </c>
      <c r="AL31" s="449" t="s">
        <v>922</v>
      </c>
      <c r="AM31" s="449" t="s">
        <v>923</v>
      </c>
      <c r="AN31" s="464">
        <v>2921.3325</v>
      </c>
      <c r="AP31" s="464">
        <v>2921.3325</v>
      </c>
      <c r="AQ31" s="464">
        <v>2921.3324999999991</v>
      </c>
      <c r="AR31" s="464">
        <v>2921.3325</v>
      </c>
      <c r="AS31" s="450" t="s">
        <v>751</v>
      </c>
      <c r="AT31" s="450" t="s">
        <v>752</v>
      </c>
      <c r="AU31" s="450" t="s">
        <v>753</v>
      </c>
      <c r="AW31" s="466" t="s">
        <v>919</v>
      </c>
    </row>
    <row r="32" spans="1:49">
      <c r="A32" s="447">
        <v>20135862</v>
      </c>
      <c r="B32" s="469">
        <v>41318</v>
      </c>
      <c r="C32" s="449" t="s">
        <v>743</v>
      </c>
      <c r="D32" s="449" t="s">
        <v>653</v>
      </c>
      <c r="E32" s="449">
        <v>302</v>
      </c>
      <c r="F32" s="449">
        <v>2042</v>
      </c>
      <c r="G32" s="449" t="s">
        <v>353</v>
      </c>
      <c r="H32" s="449" t="s">
        <v>5</v>
      </c>
      <c r="I32" s="449" t="s">
        <v>738</v>
      </c>
      <c r="J32" s="449" t="s">
        <v>744</v>
      </c>
      <c r="K32" s="450" t="s">
        <v>740</v>
      </c>
      <c r="L32" s="451">
        <v>1</v>
      </c>
      <c r="M32" s="452">
        <v>900</v>
      </c>
      <c r="N32" s="452"/>
      <c r="O32" s="453">
        <v>28.126000000000001</v>
      </c>
      <c r="P32" s="453"/>
      <c r="Q32" s="454">
        <v>33</v>
      </c>
      <c r="R32" s="569"/>
      <c r="S32" s="454">
        <v>0</v>
      </c>
      <c r="T32" s="455">
        <v>4.8739999999999988</v>
      </c>
      <c r="U32" s="456">
        <v>0</v>
      </c>
      <c r="V32" s="457">
        <v>4386.5999999999985</v>
      </c>
      <c r="W32" s="457">
        <v>0</v>
      </c>
      <c r="X32" s="458">
        <v>29700</v>
      </c>
      <c r="Y32" s="458">
        <v>0</v>
      </c>
      <c r="Z32" s="459" t="e">
        <v>#VALUE!</v>
      </c>
      <c r="AA32" s="459"/>
      <c r="AB32" s="450" t="s">
        <v>224</v>
      </c>
      <c r="AC32" s="460">
        <v>10079</v>
      </c>
      <c r="AD32" s="450">
        <v>400048</v>
      </c>
      <c r="AE32" s="450" t="s">
        <v>924</v>
      </c>
      <c r="AF32" s="461" t="s">
        <v>925</v>
      </c>
      <c r="AG32" s="461" t="s">
        <v>926</v>
      </c>
      <c r="AH32" s="450">
        <v>11334</v>
      </c>
      <c r="AI32" s="462">
        <v>1</v>
      </c>
      <c r="AJ32" s="463" t="s">
        <v>926</v>
      </c>
      <c r="AK32" s="463" t="s">
        <v>927</v>
      </c>
      <c r="AL32" s="449" t="s">
        <v>928</v>
      </c>
      <c r="AM32" s="449" t="s">
        <v>929</v>
      </c>
      <c r="AN32" s="464">
        <v>6328.35</v>
      </c>
      <c r="AP32" s="464">
        <v>6328.35</v>
      </c>
      <c r="AQ32" s="464">
        <v>6328.3500000000022</v>
      </c>
      <c r="AR32" s="464">
        <v>6328.35</v>
      </c>
      <c r="AS32" s="450" t="s">
        <v>751</v>
      </c>
      <c r="AT32" s="450" t="s">
        <v>752</v>
      </c>
      <c r="AU32" s="450" t="s">
        <v>753</v>
      </c>
      <c r="AW32" s="466" t="s">
        <v>925</v>
      </c>
    </row>
    <row r="33" spans="1:49">
      <c r="A33" s="447">
        <v>20136040</v>
      </c>
      <c r="B33" s="469">
        <v>41318</v>
      </c>
      <c r="C33" s="449" t="s">
        <v>743</v>
      </c>
      <c r="D33" s="449" t="s">
        <v>653</v>
      </c>
      <c r="E33" s="449">
        <v>302</v>
      </c>
      <c r="F33" s="449">
        <v>2043</v>
      </c>
      <c r="G33" s="449" t="s">
        <v>83</v>
      </c>
      <c r="H33" s="449" t="s">
        <v>760</v>
      </c>
      <c r="I33" s="449" t="s">
        <v>738</v>
      </c>
      <c r="J33" s="449" t="s">
        <v>744</v>
      </c>
      <c r="K33" s="450" t="s">
        <v>740</v>
      </c>
      <c r="L33" s="451">
        <v>1</v>
      </c>
      <c r="M33" s="452">
        <v>900</v>
      </c>
      <c r="N33" s="452"/>
      <c r="O33" s="453">
        <v>77.102999999999994</v>
      </c>
      <c r="P33" s="453"/>
      <c r="Q33" s="454">
        <v>93</v>
      </c>
      <c r="R33" s="569"/>
      <c r="S33" s="454">
        <v>0</v>
      </c>
      <c r="T33" s="455">
        <v>15.897000000000006</v>
      </c>
      <c r="U33" s="456">
        <v>0</v>
      </c>
      <c r="V33" s="457">
        <v>14307.300000000005</v>
      </c>
      <c r="W33" s="457">
        <v>0</v>
      </c>
      <c r="X33" s="458">
        <v>83700</v>
      </c>
      <c r="Y33" s="458">
        <v>0</v>
      </c>
      <c r="Z33" s="459" t="e">
        <v>#VALUE!</v>
      </c>
      <c r="AA33" s="459"/>
      <c r="AB33" s="450" t="s">
        <v>224</v>
      </c>
      <c r="AC33" s="460">
        <v>10080</v>
      </c>
      <c r="AD33" s="450">
        <v>400088</v>
      </c>
      <c r="AE33" s="450" t="s">
        <v>930</v>
      </c>
      <c r="AF33" s="461" t="s">
        <v>931</v>
      </c>
      <c r="AG33" s="461" t="s">
        <v>932</v>
      </c>
      <c r="AH33" s="450">
        <v>11334</v>
      </c>
      <c r="AI33" s="462">
        <v>1</v>
      </c>
      <c r="AJ33" s="463" t="s">
        <v>932</v>
      </c>
      <c r="AK33" s="463" t="s">
        <v>933</v>
      </c>
      <c r="AL33" s="449" t="s">
        <v>934</v>
      </c>
      <c r="AM33" s="449" t="s">
        <v>935</v>
      </c>
      <c r="AN33" s="464">
        <v>17348.174999999999</v>
      </c>
      <c r="AP33" s="464">
        <v>17348.174999999999</v>
      </c>
      <c r="AQ33" s="464">
        <v>17348.174999999992</v>
      </c>
      <c r="AR33" s="464">
        <v>17348.174999999999</v>
      </c>
      <c r="AS33" s="450" t="s">
        <v>751</v>
      </c>
      <c r="AT33" s="450" t="s">
        <v>752</v>
      </c>
      <c r="AU33" s="450" t="s">
        <v>767</v>
      </c>
      <c r="AW33" s="466" t="s">
        <v>931</v>
      </c>
    </row>
    <row r="34" spans="1:49">
      <c r="A34" s="447">
        <v>20135951</v>
      </c>
      <c r="B34" s="469">
        <v>41318</v>
      </c>
      <c r="C34" s="449" t="s">
        <v>743</v>
      </c>
      <c r="D34" s="449" t="s">
        <v>653</v>
      </c>
      <c r="E34" s="449">
        <v>302</v>
      </c>
      <c r="F34" s="449">
        <v>2044</v>
      </c>
      <c r="G34" s="449" t="s">
        <v>82</v>
      </c>
      <c r="H34" s="449" t="s">
        <v>768</v>
      </c>
      <c r="I34" s="449" t="s">
        <v>738</v>
      </c>
      <c r="J34" s="449" t="s">
        <v>744</v>
      </c>
      <c r="K34" s="450" t="s">
        <v>740</v>
      </c>
      <c r="L34" s="451">
        <v>1</v>
      </c>
      <c r="M34" s="452">
        <v>900</v>
      </c>
      <c r="N34" s="452"/>
      <c r="O34" s="453">
        <v>53.721900000000005</v>
      </c>
      <c r="P34" s="453"/>
      <c r="Q34" s="454">
        <v>45</v>
      </c>
      <c r="R34" s="569"/>
      <c r="S34" s="454">
        <v>0</v>
      </c>
      <c r="T34" s="455">
        <v>-8.7219000000000051</v>
      </c>
      <c r="U34" s="456">
        <v>0</v>
      </c>
      <c r="V34" s="457">
        <v>-7849.7100000000046</v>
      </c>
      <c r="W34" s="457">
        <v>0</v>
      </c>
      <c r="X34" s="458">
        <v>40500</v>
      </c>
      <c r="Y34" s="458">
        <v>0</v>
      </c>
      <c r="Z34" s="459" t="e">
        <v>#VALUE!</v>
      </c>
      <c r="AA34" s="459"/>
      <c r="AB34" s="450" t="s">
        <v>224</v>
      </c>
      <c r="AC34" s="460">
        <v>10081</v>
      </c>
      <c r="AD34" s="450">
        <v>400087</v>
      </c>
      <c r="AE34" s="450" t="s">
        <v>936</v>
      </c>
      <c r="AF34" s="461" t="s">
        <v>937</v>
      </c>
      <c r="AG34" s="461" t="s">
        <v>938</v>
      </c>
      <c r="AH34" s="450">
        <v>11334</v>
      </c>
      <c r="AI34" s="462">
        <v>1</v>
      </c>
      <c r="AJ34" s="463" t="s">
        <v>938</v>
      </c>
      <c r="AK34" s="463" t="s">
        <v>939</v>
      </c>
      <c r="AL34" s="449" t="s">
        <v>940</v>
      </c>
      <c r="AM34" s="449" t="s">
        <v>941</v>
      </c>
      <c r="AN34" s="464">
        <v>12087.4275</v>
      </c>
      <c r="AP34" s="464">
        <v>12087.4275</v>
      </c>
      <c r="AQ34" s="464">
        <v>12087.427500000003</v>
      </c>
      <c r="AR34" s="464">
        <v>12087.4275</v>
      </c>
      <c r="AS34" s="450" t="s">
        <v>751</v>
      </c>
      <c r="AT34" s="450" t="s">
        <v>752</v>
      </c>
      <c r="AU34" s="450" t="s">
        <v>775</v>
      </c>
      <c r="AW34" s="466" t="s">
        <v>937</v>
      </c>
    </row>
    <row r="35" spans="1:49">
      <c r="A35" s="447">
        <v>20136129</v>
      </c>
      <c r="B35" s="469">
        <v>41318</v>
      </c>
      <c r="C35" s="449" t="s">
        <v>743</v>
      </c>
      <c r="D35" s="449" t="s">
        <v>653</v>
      </c>
      <c r="E35" s="449">
        <v>302</v>
      </c>
      <c r="F35" s="449">
        <v>2045</v>
      </c>
      <c r="G35" s="449" t="s">
        <v>354</v>
      </c>
      <c r="H35" s="449" t="s">
        <v>5</v>
      </c>
      <c r="I35" s="449" t="s">
        <v>738</v>
      </c>
      <c r="J35" s="449" t="s">
        <v>744</v>
      </c>
      <c r="K35" s="450" t="s">
        <v>740</v>
      </c>
      <c r="L35" s="451">
        <v>1</v>
      </c>
      <c r="M35" s="452">
        <v>900</v>
      </c>
      <c r="N35" s="452"/>
      <c r="O35" s="453">
        <v>68.993099999999998</v>
      </c>
      <c r="P35" s="453"/>
      <c r="Q35" s="454">
        <v>68</v>
      </c>
      <c r="R35" s="569"/>
      <c r="S35" s="454">
        <v>0</v>
      </c>
      <c r="T35" s="455">
        <v>-0.99309999999999832</v>
      </c>
      <c r="U35" s="456">
        <v>0</v>
      </c>
      <c r="V35" s="457">
        <v>-893.78999999999849</v>
      </c>
      <c r="W35" s="457">
        <v>0</v>
      </c>
      <c r="X35" s="458">
        <v>61200</v>
      </c>
      <c r="Y35" s="458">
        <v>0</v>
      </c>
      <c r="Z35" s="459" t="e">
        <v>#VALUE!</v>
      </c>
      <c r="AA35" s="459"/>
      <c r="AB35" s="450" t="s">
        <v>224</v>
      </c>
      <c r="AC35" s="460">
        <v>10082</v>
      </c>
      <c r="AD35" s="450">
        <v>400089</v>
      </c>
      <c r="AE35" s="450" t="s">
        <v>942</v>
      </c>
      <c r="AF35" s="461" t="s">
        <v>943</v>
      </c>
      <c r="AG35" s="461" t="s">
        <v>944</v>
      </c>
      <c r="AH35" s="450">
        <v>11334</v>
      </c>
      <c r="AI35" s="462">
        <v>1</v>
      </c>
      <c r="AJ35" s="463" t="s">
        <v>944</v>
      </c>
      <c r="AK35" s="463" t="s">
        <v>945</v>
      </c>
      <c r="AL35" s="449" t="s">
        <v>946</v>
      </c>
      <c r="AM35" s="449" t="s">
        <v>947</v>
      </c>
      <c r="AN35" s="464">
        <v>15523.4475</v>
      </c>
      <c r="AP35" s="464">
        <v>15523.4475</v>
      </c>
      <c r="AQ35" s="464">
        <v>15523.447499999997</v>
      </c>
      <c r="AR35" s="464">
        <v>15523.4475</v>
      </c>
      <c r="AS35" s="450" t="s">
        <v>751</v>
      </c>
      <c r="AT35" s="450" t="s">
        <v>752</v>
      </c>
      <c r="AU35" s="450" t="s">
        <v>753</v>
      </c>
      <c r="AW35" s="466" t="s">
        <v>943</v>
      </c>
    </row>
    <row r="36" spans="1:49">
      <c r="A36" s="447">
        <v>20138176</v>
      </c>
      <c r="B36" s="469">
        <v>41318</v>
      </c>
      <c r="C36" s="449" t="s">
        <v>743</v>
      </c>
      <c r="D36" s="449" t="s">
        <v>653</v>
      </c>
      <c r="E36" s="449">
        <v>302</v>
      </c>
      <c r="F36" s="449">
        <v>2052</v>
      </c>
      <c r="G36" s="449" t="s">
        <v>369</v>
      </c>
      <c r="H36" s="449" t="s">
        <v>5</v>
      </c>
      <c r="I36" s="449" t="s">
        <v>738</v>
      </c>
      <c r="J36" s="449" t="s">
        <v>744</v>
      </c>
      <c r="K36" s="450" t="s">
        <v>740</v>
      </c>
      <c r="L36" s="451">
        <v>1</v>
      </c>
      <c r="M36" s="452">
        <v>900</v>
      </c>
      <c r="N36" s="452"/>
      <c r="O36" s="453">
        <v>160.679</v>
      </c>
      <c r="P36" s="453"/>
      <c r="Q36" s="454">
        <v>162</v>
      </c>
      <c r="R36" s="569"/>
      <c r="S36" s="454">
        <v>0</v>
      </c>
      <c r="T36" s="455">
        <v>1.320999999999998</v>
      </c>
      <c r="U36" s="456">
        <v>0</v>
      </c>
      <c r="V36" s="457">
        <v>1188.8999999999983</v>
      </c>
      <c r="W36" s="457">
        <v>0</v>
      </c>
      <c r="X36" s="458">
        <v>145800</v>
      </c>
      <c r="Y36" s="458">
        <v>0</v>
      </c>
      <c r="Z36" s="459" t="e">
        <v>#VALUE!</v>
      </c>
      <c r="AA36" s="459"/>
      <c r="AB36" s="450" t="s">
        <v>224</v>
      </c>
      <c r="AC36" s="460">
        <v>10098</v>
      </c>
      <c r="AD36" s="450">
        <v>400099</v>
      </c>
      <c r="AE36" s="450" t="s">
        <v>948</v>
      </c>
      <c r="AF36" s="461" t="s">
        <v>949</v>
      </c>
      <c r="AG36" s="461" t="s">
        <v>950</v>
      </c>
      <c r="AH36" s="450">
        <v>11334</v>
      </c>
      <c r="AI36" s="462">
        <v>1</v>
      </c>
      <c r="AJ36" s="463" t="s">
        <v>950</v>
      </c>
      <c r="AK36" s="463" t="s">
        <v>951</v>
      </c>
      <c r="AL36" s="449" t="s">
        <v>952</v>
      </c>
      <c r="AM36" s="449" t="s">
        <v>953</v>
      </c>
      <c r="AN36" s="464">
        <v>36152.775000000001</v>
      </c>
      <c r="AP36" s="464">
        <v>36152.775000000001</v>
      </c>
      <c r="AQ36" s="464">
        <v>36152.775000000016</v>
      </c>
      <c r="AR36" s="464">
        <v>36152.775000000001</v>
      </c>
      <c r="AS36" s="450" t="s">
        <v>751</v>
      </c>
      <c r="AT36" s="450" t="s">
        <v>752</v>
      </c>
      <c r="AU36" s="450" t="s">
        <v>753</v>
      </c>
      <c r="AW36" s="466" t="s">
        <v>949</v>
      </c>
    </row>
    <row r="37" spans="1:49">
      <c r="A37" s="447">
        <v>20139333</v>
      </c>
      <c r="B37" s="469">
        <v>41318</v>
      </c>
      <c r="C37" s="449" t="s">
        <v>743</v>
      </c>
      <c r="D37" s="449" t="s">
        <v>653</v>
      </c>
      <c r="E37" s="449">
        <v>302</v>
      </c>
      <c r="F37" s="449">
        <v>2054</v>
      </c>
      <c r="G37" s="449" t="s">
        <v>379</v>
      </c>
      <c r="H37" s="449" t="s">
        <v>5</v>
      </c>
      <c r="I37" s="449" t="s">
        <v>738</v>
      </c>
      <c r="J37" s="449" t="s">
        <v>744</v>
      </c>
      <c r="K37" s="450" t="s">
        <v>740</v>
      </c>
      <c r="L37" s="451">
        <v>1</v>
      </c>
      <c r="M37" s="452">
        <v>900</v>
      </c>
      <c r="N37" s="452"/>
      <c r="O37" s="453">
        <v>18.215999999999998</v>
      </c>
      <c r="P37" s="453"/>
      <c r="Q37" s="454">
        <v>17</v>
      </c>
      <c r="R37" s="569"/>
      <c r="S37" s="454">
        <v>0</v>
      </c>
      <c r="T37" s="455">
        <v>-1.2159999999999975</v>
      </c>
      <c r="U37" s="456">
        <v>0</v>
      </c>
      <c r="V37" s="457">
        <v>-1094.3999999999978</v>
      </c>
      <c r="W37" s="457">
        <v>0</v>
      </c>
      <c r="X37" s="458">
        <v>15300</v>
      </c>
      <c r="Y37" s="458">
        <v>0</v>
      </c>
      <c r="Z37" s="459" t="e">
        <v>#VALUE!</v>
      </c>
      <c r="AA37" s="459"/>
      <c r="AB37" s="450" t="s">
        <v>224</v>
      </c>
      <c r="AC37" s="460">
        <v>10109</v>
      </c>
      <c r="AD37" s="450">
        <v>400004</v>
      </c>
      <c r="AE37" s="450" t="s">
        <v>954</v>
      </c>
      <c r="AF37" s="461" t="s">
        <v>955</v>
      </c>
      <c r="AG37" s="461" t="s">
        <v>956</v>
      </c>
      <c r="AH37" s="450">
        <v>11334</v>
      </c>
      <c r="AI37" s="462">
        <v>1</v>
      </c>
      <c r="AJ37" s="463" t="s">
        <v>956</v>
      </c>
      <c r="AK37" s="463" t="s">
        <v>957</v>
      </c>
      <c r="AL37" s="449" t="s">
        <v>958</v>
      </c>
      <c r="AM37" s="449" t="s">
        <v>959</v>
      </c>
      <c r="AN37" s="464">
        <v>4098.6000000000004</v>
      </c>
      <c r="AP37" s="464">
        <v>4098.6000000000004</v>
      </c>
      <c r="AQ37" s="464">
        <v>4098.6000000000004</v>
      </c>
      <c r="AR37" s="464">
        <v>4098.6000000000004</v>
      </c>
      <c r="AS37" s="450" t="s">
        <v>751</v>
      </c>
      <c r="AT37" s="450" t="s">
        <v>752</v>
      </c>
      <c r="AU37" s="450" t="s">
        <v>753</v>
      </c>
      <c r="AW37" s="466" t="s">
        <v>955</v>
      </c>
    </row>
    <row r="38" spans="1:49">
      <c r="A38" s="447">
        <v>20138799</v>
      </c>
      <c r="B38" s="469">
        <v>41318</v>
      </c>
      <c r="C38" s="449" t="s">
        <v>743</v>
      </c>
      <c r="D38" s="449" t="s">
        <v>653</v>
      </c>
      <c r="E38" s="449">
        <v>302</v>
      </c>
      <c r="F38" s="449">
        <v>2055</v>
      </c>
      <c r="G38" s="449" t="s">
        <v>376</v>
      </c>
      <c r="H38" s="449" t="s">
        <v>5</v>
      </c>
      <c r="I38" s="449" t="s">
        <v>738</v>
      </c>
      <c r="J38" s="449" t="s">
        <v>744</v>
      </c>
      <c r="K38" s="450" t="s">
        <v>740</v>
      </c>
      <c r="L38" s="451">
        <v>1</v>
      </c>
      <c r="M38" s="452">
        <v>900</v>
      </c>
      <c r="N38" s="452"/>
      <c r="O38" s="453">
        <v>82.505400000000009</v>
      </c>
      <c r="P38" s="453"/>
      <c r="Q38" s="454">
        <v>73</v>
      </c>
      <c r="R38" s="569"/>
      <c r="S38" s="454">
        <v>0</v>
      </c>
      <c r="T38" s="455">
        <v>-9.5054000000000087</v>
      </c>
      <c r="U38" s="456">
        <v>0</v>
      </c>
      <c r="V38" s="457">
        <v>-8554.8600000000079</v>
      </c>
      <c r="W38" s="457">
        <v>0</v>
      </c>
      <c r="X38" s="458">
        <v>65700</v>
      </c>
      <c r="Y38" s="458">
        <v>0</v>
      </c>
      <c r="Z38" s="459" t="e">
        <v>#VALUE!</v>
      </c>
      <c r="AA38" s="459"/>
      <c r="AB38" s="450" t="s">
        <v>224</v>
      </c>
      <c r="AC38" s="460">
        <v>10101</v>
      </c>
      <c r="AD38" s="450">
        <v>400101</v>
      </c>
      <c r="AE38" s="450" t="s">
        <v>960</v>
      </c>
      <c r="AF38" s="461" t="s">
        <v>961</v>
      </c>
      <c r="AG38" s="461" t="s">
        <v>962</v>
      </c>
      <c r="AH38" s="450">
        <v>11334</v>
      </c>
      <c r="AI38" s="462">
        <v>1</v>
      </c>
      <c r="AJ38" s="463" t="s">
        <v>962</v>
      </c>
      <c r="AK38" s="463" t="s">
        <v>963</v>
      </c>
      <c r="AL38" s="449" t="s">
        <v>964</v>
      </c>
      <c r="AM38" s="449" t="s">
        <v>965</v>
      </c>
      <c r="AN38" s="464">
        <v>18563.715</v>
      </c>
      <c r="AP38" s="464">
        <v>18563.715</v>
      </c>
      <c r="AQ38" s="464">
        <v>18563.715000000007</v>
      </c>
      <c r="AR38" s="464">
        <v>18563.715</v>
      </c>
      <c r="AS38" s="450" t="s">
        <v>751</v>
      </c>
      <c r="AT38" s="450" t="s">
        <v>752</v>
      </c>
      <c r="AU38" s="450" t="s">
        <v>753</v>
      </c>
      <c r="AW38" s="466" t="s">
        <v>961</v>
      </c>
    </row>
    <row r="39" spans="1:49">
      <c r="A39" s="447">
        <v>20138977</v>
      </c>
      <c r="B39" s="469">
        <v>41318</v>
      </c>
      <c r="C39" s="449" t="s">
        <v>743</v>
      </c>
      <c r="D39" s="449" t="s">
        <v>653</v>
      </c>
      <c r="E39" s="449">
        <v>302</v>
      </c>
      <c r="F39" s="449">
        <v>2056</v>
      </c>
      <c r="G39" s="449" t="s">
        <v>113</v>
      </c>
      <c r="H39" s="449" t="s">
        <v>760</v>
      </c>
      <c r="I39" s="449" t="s">
        <v>738</v>
      </c>
      <c r="J39" s="449" t="s">
        <v>744</v>
      </c>
      <c r="K39" s="450" t="s">
        <v>740</v>
      </c>
      <c r="L39" s="451">
        <v>1</v>
      </c>
      <c r="M39" s="452">
        <v>900</v>
      </c>
      <c r="N39" s="452"/>
      <c r="O39" s="453">
        <v>115.1636</v>
      </c>
      <c r="P39" s="453"/>
      <c r="Q39" s="454">
        <v>133</v>
      </c>
      <c r="R39" s="569"/>
      <c r="S39" s="454">
        <v>0</v>
      </c>
      <c r="T39" s="455">
        <v>17.836399999999998</v>
      </c>
      <c r="U39" s="456">
        <v>0</v>
      </c>
      <c r="V39" s="457">
        <v>16052.759999999998</v>
      </c>
      <c r="W39" s="457">
        <v>0</v>
      </c>
      <c r="X39" s="458">
        <v>119700</v>
      </c>
      <c r="Y39" s="458">
        <v>0</v>
      </c>
      <c r="Z39" s="459" t="e">
        <v>#VALUE!</v>
      </c>
      <c r="AA39" s="459"/>
      <c r="AB39" s="450" t="s">
        <v>224</v>
      </c>
      <c r="AC39" s="460">
        <v>10102</v>
      </c>
      <c r="AD39" s="450">
        <v>400055</v>
      </c>
      <c r="AE39" s="450" t="s">
        <v>966</v>
      </c>
      <c r="AF39" s="461" t="s">
        <v>967</v>
      </c>
      <c r="AG39" s="461" t="s">
        <v>968</v>
      </c>
      <c r="AH39" s="450">
        <v>11334</v>
      </c>
      <c r="AI39" s="462">
        <v>1</v>
      </c>
      <c r="AJ39" s="463" t="s">
        <v>968</v>
      </c>
      <c r="AK39" s="463" t="s">
        <v>969</v>
      </c>
      <c r="AL39" s="449" t="s">
        <v>970</v>
      </c>
      <c r="AM39" s="449" t="s">
        <v>971</v>
      </c>
      <c r="AN39" s="464">
        <v>25911.81</v>
      </c>
      <c r="AP39" s="464">
        <v>25911.81</v>
      </c>
      <c r="AQ39" s="464">
        <v>25911.810000000009</v>
      </c>
      <c r="AR39" s="464">
        <v>25911.81</v>
      </c>
      <c r="AS39" s="450" t="s">
        <v>751</v>
      </c>
      <c r="AT39" s="450" t="s">
        <v>752</v>
      </c>
      <c r="AU39" s="450" t="s">
        <v>767</v>
      </c>
      <c r="AW39" s="466" t="s">
        <v>967</v>
      </c>
    </row>
    <row r="40" spans="1:49">
      <c r="A40" s="447">
        <v>20138888</v>
      </c>
      <c r="B40" s="469">
        <v>41318</v>
      </c>
      <c r="C40" s="449" t="s">
        <v>743</v>
      </c>
      <c r="D40" s="449" t="s">
        <v>653</v>
      </c>
      <c r="E40" s="449">
        <v>302</v>
      </c>
      <c r="F40" s="449">
        <v>2057</v>
      </c>
      <c r="G40" s="449" t="s">
        <v>112</v>
      </c>
      <c r="H40" s="449" t="s">
        <v>768</v>
      </c>
      <c r="I40" s="449" t="s">
        <v>738</v>
      </c>
      <c r="J40" s="449" t="s">
        <v>744</v>
      </c>
      <c r="K40" s="450" t="s">
        <v>740</v>
      </c>
      <c r="L40" s="451">
        <v>1</v>
      </c>
      <c r="M40" s="452">
        <v>900</v>
      </c>
      <c r="N40" s="452"/>
      <c r="O40" s="453">
        <v>94.627899999999997</v>
      </c>
      <c r="P40" s="453"/>
      <c r="Q40" s="454">
        <v>96</v>
      </c>
      <c r="R40" s="569"/>
      <c r="S40" s="454">
        <v>0</v>
      </c>
      <c r="T40" s="455">
        <v>1.3721000000000032</v>
      </c>
      <c r="U40" s="456">
        <v>0</v>
      </c>
      <c r="V40" s="457">
        <v>1234.8900000000028</v>
      </c>
      <c r="W40" s="457">
        <v>0</v>
      </c>
      <c r="X40" s="458">
        <v>86400</v>
      </c>
      <c r="Y40" s="458">
        <v>0</v>
      </c>
      <c r="Z40" s="459" t="e">
        <v>#VALUE!</v>
      </c>
      <c r="AA40" s="459"/>
      <c r="AB40" s="450" t="s">
        <v>224</v>
      </c>
      <c r="AC40" s="460">
        <v>10103</v>
      </c>
      <c r="AD40" s="450">
        <v>400053</v>
      </c>
      <c r="AE40" s="450" t="s">
        <v>972</v>
      </c>
      <c r="AF40" s="461" t="s">
        <v>973</v>
      </c>
      <c r="AG40" s="461" t="s">
        <v>974</v>
      </c>
      <c r="AH40" s="450">
        <v>11334</v>
      </c>
      <c r="AI40" s="462">
        <v>1</v>
      </c>
      <c r="AJ40" s="463" t="s">
        <v>974</v>
      </c>
      <c r="AK40" s="463" t="s">
        <v>975</v>
      </c>
      <c r="AL40" s="449" t="s">
        <v>976</v>
      </c>
      <c r="AM40" s="449" t="s">
        <v>977</v>
      </c>
      <c r="AN40" s="464">
        <v>21291.2775</v>
      </c>
      <c r="AP40" s="464">
        <v>21291.2775</v>
      </c>
      <c r="AQ40" s="464">
        <v>21291.277500000007</v>
      </c>
      <c r="AR40" s="464">
        <v>21291.2775</v>
      </c>
      <c r="AS40" s="450" t="s">
        <v>751</v>
      </c>
      <c r="AT40" s="450" t="s">
        <v>752</v>
      </c>
      <c r="AU40" s="450" t="s">
        <v>775</v>
      </c>
      <c r="AW40" s="466" t="s">
        <v>973</v>
      </c>
    </row>
    <row r="41" spans="1:49">
      <c r="A41" s="447">
        <v>20139155</v>
      </c>
      <c r="B41" s="469">
        <v>41318</v>
      </c>
      <c r="C41" s="449" t="s">
        <v>743</v>
      </c>
      <c r="D41" s="449" t="s">
        <v>653</v>
      </c>
      <c r="E41" s="449">
        <v>302</v>
      </c>
      <c r="F41" s="449">
        <v>2060</v>
      </c>
      <c r="G41" s="449" t="s">
        <v>378</v>
      </c>
      <c r="H41" s="449" t="s">
        <v>5</v>
      </c>
      <c r="I41" s="449" t="s">
        <v>738</v>
      </c>
      <c r="J41" s="449" t="s">
        <v>744</v>
      </c>
      <c r="K41" s="450" t="s">
        <v>740</v>
      </c>
      <c r="L41" s="451">
        <v>1</v>
      </c>
      <c r="M41" s="452">
        <v>900</v>
      </c>
      <c r="N41" s="452">
        <v>300</v>
      </c>
      <c r="O41" s="453">
        <v>203.28749999999999</v>
      </c>
      <c r="P41" s="453">
        <v>1</v>
      </c>
      <c r="Q41" s="454">
        <v>185</v>
      </c>
      <c r="R41" s="569"/>
      <c r="S41" s="454">
        <v>0</v>
      </c>
      <c r="T41" s="455">
        <v>-18.287499999999994</v>
      </c>
      <c r="U41" s="456">
        <v>-1</v>
      </c>
      <c r="V41" s="457">
        <v>-16458.749999999996</v>
      </c>
      <c r="W41" s="457">
        <v>-300</v>
      </c>
      <c r="X41" s="458">
        <v>166500</v>
      </c>
      <c r="Y41" s="458">
        <v>0</v>
      </c>
      <c r="Z41" s="459" t="e">
        <v>#VALUE!</v>
      </c>
      <c r="AA41" s="459">
        <v>300</v>
      </c>
      <c r="AB41" s="450" t="s">
        <v>224</v>
      </c>
      <c r="AC41" s="460">
        <v>10105</v>
      </c>
      <c r="AD41" s="450">
        <v>400011</v>
      </c>
      <c r="AE41" s="450" t="s">
        <v>978</v>
      </c>
      <c r="AF41" s="461" t="s">
        <v>979</v>
      </c>
      <c r="AG41" s="461" t="s">
        <v>980</v>
      </c>
      <c r="AH41" s="450">
        <v>11334</v>
      </c>
      <c r="AI41" s="462">
        <v>1</v>
      </c>
      <c r="AJ41" s="463" t="s">
        <v>980</v>
      </c>
      <c r="AK41" s="463" t="s">
        <v>981</v>
      </c>
      <c r="AL41" s="449" t="s">
        <v>982</v>
      </c>
      <c r="AM41" s="449" t="s">
        <v>983</v>
      </c>
      <c r="AN41" s="464">
        <v>45739.6875</v>
      </c>
      <c r="AP41" s="464">
        <v>45739.6875</v>
      </c>
      <c r="AQ41" s="464">
        <v>45739.6875</v>
      </c>
      <c r="AR41" s="464">
        <v>45739.6875</v>
      </c>
      <c r="AS41" s="450" t="s">
        <v>751</v>
      </c>
      <c r="AT41" s="450" t="s">
        <v>752</v>
      </c>
      <c r="AU41" s="450" t="s">
        <v>753</v>
      </c>
      <c r="AW41" s="466" t="s">
        <v>979</v>
      </c>
    </row>
    <row r="42" spans="1:49">
      <c r="A42" s="447">
        <v>20132480</v>
      </c>
      <c r="B42" s="469">
        <v>41318</v>
      </c>
      <c r="C42" s="449" t="s">
        <v>743</v>
      </c>
      <c r="D42" s="449" t="s">
        <v>653</v>
      </c>
      <c r="E42" s="449">
        <v>302</v>
      </c>
      <c r="F42" s="449">
        <v>2067</v>
      </c>
      <c r="G42" s="449" t="s">
        <v>335</v>
      </c>
      <c r="H42" s="449" t="s">
        <v>5</v>
      </c>
      <c r="I42" s="449" t="s">
        <v>738</v>
      </c>
      <c r="J42" s="449" t="s">
        <v>744</v>
      </c>
      <c r="K42" s="450" t="s">
        <v>740</v>
      </c>
      <c r="L42" s="451">
        <v>1</v>
      </c>
      <c r="M42" s="452">
        <v>900</v>
      </c>
      <c r="N42" s="452">
        <v>300</v>
      </c>
      <c r="O42" s="453">
        <v>60.597999999999992</v>
      </c>
      <c r="P42" s="453">
        <v>1</v>
      </c>
      <c r="Q42" s="454">
        <v>56</v>
      </c>
      <c r="R42" s="569"/>
      <c r="S42" s="454">
        <v>0</v>
      </c>
      <c r="T42" s="455">
        <v>-4.5979999999999919</v>
      </c>
      <c r="U42" s="456">
        <v>-1</v>
      </c>
      <c r="V42" s="457">
        <v>-4138.1999999999925</v>
      </c>
      <c r="W42" s="457">
        <v>-300</v>
      </c>
      <c r="X42" s="458">
        <v>50400</v>
      </c>
      <c r="Y42" s="458">
        <v>0</v>
      </c>
      <c r="Z42" s="459" t="e">
        <v>#VALUE!</v>
      </c>
      <c r="AA42" s="459">
        <v>300</v>
      </c>
      <c r="AB42" s="450" t="s">
        <v>224</v>
      </c>
      <c r="AC42" s="460">
        <v>10118</v>
      </c>
      <c r="AD42" s="450">
        <v>400065</v>
      </c>
      <c r="AE42" s="450" t="s">
        <v>984</v>
      </c>
      <c r="AF42" s="461" t="s">
        <v>985</v>
      </c>
      <c r="AG42" s="461" t="s">
        <v>986</v>
      </c>
      <c r="AH42" s="450">
        <v>11334</v>
      </c>
      <c r="AI42" s="462">
        <v>1</v>
      </c>
      <c r="AJ42" s="463" t="s">
        <v>986</v>
      </c>
      <c r="AK42" s="463" t="s">
        <v>987</v>
      </c>
      <c r="AL42" s="449" t="s">
        <v>988</v>
      </c>
      <c r="AM42" s="449" t="s">
        <v>989</v>
      </c>
      <c r="AN42" s="464">
        <v>13634.55</v>
      </c>
      <c r="AP42" s="464">
        <v>13634.55</v>
      </c>
      <c r="AQ42" s="464">
        <v>13634.549999999996</v>
      </c>
      <c r="AR42" s="464">
        <v>13634.55</v>
      </c>
      <c r="AS42" s="450" t="s">
        <v>751</v>
      </c>
      <c r="AT42" s="450" t="s">
        <v>752</v>
      </c>
      <c r="AU42" s="450" t="s">
        <v>753</v>
      </c>
      <c r="AW42" s="466" t="s">
        <v>985</v>
      </c>
    </row>
    <row r="43" spans="1:49">
      <c r="A43" s="447">
        <v>20138265</v>
      </c>
      <c r="B43" s="469">
        <v>41318</v>
      </c>
      <c r="C43" s="449" t="s">
        <v>743</v>
      </c>
      <c r="D43" s="449" t="s">
        <v>653</v>
      </c>
      <c r="E43" s="449">
        <v>302</v>
      </c>
      <c r="F43" s="449">
        <v>2070</v>
      </c>
      <c r="G43" s="449" t="s">
        <v>370</v>
      </c>
      <c r="H43" s="449" t="s">
        <v>5</v>
      </c>
      <c r="I43" s="449" t="s">
        <v>738</v>
      </c>
      <c r="J43" s="449" t="s">
        <v>744</v>
      </c>
      <c r="K43" s="450" t="s">
        <v>740</v>
      </c>
      <c r="L43" s="451">
        <v>1</v>
      </c>
      <c r="M43" s="452">
        <v>900</v>
      </c>
      <c r="N43" s="452"/>
      <c r="O43" s="453">
        <v>84.219200000000001</v>
      </c>
      <c r="P43" s="453"/>
      <c r="Q43" s="454">
        <v>83</v>
      </c>
      <c r="R43" s="569"/>
      <c r="S43" s="454">
        <v>0</v>
      </c>
      <c r="T43" s="455">
        <v>-1.2192000000000007</v>
      </c>
      <c r="U43" s="456">
        <v>0</v>
      </c>
      <c r="V43" s="457">
        <v>-1097.2800000000007</v>
      </c>
      <c r="W43" s="457">
        <v>0</v>
      </c>
      <c r="X43" s="458">
        <v>74700</v>
      </c>
      <c r="Y43" s="458">
        <v>0</v>
      </c>
      <c r="Z43" s="459" t="e">
        <v>#VALUE!</v>
      </c>
      <c r="AA43" s="459"/>
      <c r="AB43" s="450" t="s">
        <v>224</v>
      </c>
      <c r="AC43" s="460">
        <v>10097</v>
      </c>
      <c r="AD43" s="450">
        <v>400038</v>
      </c>
      <c r="AE43" s="450" t="s">
        <v>990</v>
      </c>
      <c r="AF43" s="461" t="s">
        <v>991</v>
      </c>
      <c r="AG43" s="461" t="s">
        <v>992</v>
      </c>
      <c r="AH43" s="450">
        <v>11334</v>
      </c>
      <c r="AI43" s="462">
        <v>1</v>
      </c>
      <c r="AJ43" s="463" t="s">
        <v>992</v>
      </c>
      <c r="AK43" s="463" t="s">
        <v>993</v>
      </c>
      <c r="AL43" s="449" t="s">
        <v>994</v>
      </c>
      <c r="AM43" s="449" t="s">
        <v>995</v>
      </c>
      <c r="AN43" s="464">
        <v>18949.32</v>
      </c>
      <c r="AP43" s="464">
        <v>18949.32</v>
      </c>
      <c r="AQ43" s="464">
        <v>18949.32</v>
      </c>
      <c r="AR43" s="464">
        <v>18949.32</v>
      </c>
      <c r="AS43" s="450" t="s">
        <v>751</v>
      </c>
      <c r="AT43" s="450" t="s">
        <v>752</v>
      </c>
      <c r="AU43" s="450" t="s">
        <v>753</v>
      </c>
      <c r="AW43" s="466" t="s">
        <v>991</v>
      </c>
    </row>
    <row r="44" spans="1:49">
      <c r="A44" s="447">
        <v>20136574</v>
      </c>
      <c r="B44" s="469">
        <v>41318</v>
      </c>
      <c r="C44" s="449" t="s">
        <v>743</v>
      </c>
      <c r="D44" s="449" t="s">
        <v>653</v>
      </c>
      <c r="E44" s="449">
        <v>302</v>
      </c>
      <c r="F44" s="449">
        <v>2071</v>
      </c>
      <c r="G44" s="449" t="s">
        <v>90</v>
      </c>
      <c r="H44" s="449" t="s">
        <v>768</v>
      </c>
      <c r="I44" s="449" t="s">
        <v>738</v>
      </c>
      <c r="J44" s="449" t="s">
        <v>744</v>
      </c>
      <c r="K44" s="450" t="s">
        <v>740</v>
      </c>
      <c r="L44" s="451">
        <v>1</v>
      </c>
      <c r="M44" s="452">
        <v>900</v>
      </c>
      <c r="N44" s="452">
        <v>300</v>
      </c>
      <c r="O44" s="453">
        <v>121.392</v>
      </c>
      <c r="P44" s="453">
        <v>2</v>
      </c>
      <c r="Q44" s="454">
        <v>117</v>
      </c>
      <c r="R44" s="569"/>
      <c r="S44" s="454">
        <v>0</v>
      </c>
      <c r="T44" s="455">
        <v>-4.3919999999999959</v>
      </c>
      <c r="U44" s="456">
        <v>-2</v>
      </c>
      <c r="V44" s="457">
        <v>-3952.7999999999965</v>
      </c>
      <c r="W44" s="457">
        <v>-600</v>
      </c>
      <c r="X44" s="458">
        <v>105300</v>
      </c>
      <c r="Y44" s="458">
        <v>0</v>
      </c>
      <c r="Z44" s="459" t="e">
        <v>#VALUE!</v>
      </c>
      <c r="AA44" s="459">
        <v>600</v>
      </c>
      <c r="AB44" s="450" t="s">
        <v>224</v>
      </c>
      <c r="AC44" s="460">
        <v>10119</v>
      </c>
      <c r="AD44" s="450">
        <v>400010</v>
      </c>
      <c r="AE44" s="450" t="s">
        <v>996</v>
      </c>
      <c r="AF44" s="461" t="s">
        <v>997</v>
      </c>
      <c r="AG44" s="461" t="s">
        <v>998</v>
      </c>
      <c r="AH44" s="450">
        <v>11334</v>
      </c>
      <c r="AI44" s="462">
        <v>1</v>
      </c>
      <c r="AJ44" s="463" t="s">
        <v>998</v>
      </c>
      <c r="AK44" s="463" t="s">
        <v>999</v>
      </c>
      <c r="AL44" s="449" t="s">
        <v>1000</v>
      </c>
      <c r="AM44" s="449" t="s">
        <v>1001</v>
      </c>
      <c r="AN44" s="464">
        <v>27313.200000000001</v>
      </c>
      <c r="AP44" s="464">
        <v>27313.200000000001</v>
      </c>
      <c r="AQ44" s="464">
        <v>27313.200000000008</v>
      </c>
      <c r="AR44" s="464">
        <v>27313.200000000001</v>
      </c>
      <c r="AS44" s="450" t="s">
        <v>751</v>
      </c>
      <c r="AT44" s="450" t="s">
        <v>752</v>
      </c>
      <c r="AU44" s="450" t="s">
        <v>775</v>
      </c>
      <c r="AW44" s="466" t="s">
        <v>997</v>
      </c>
    </row>
    <row r="45" spans="1:49">
      <c r="A45" s="447">
        <v>20136663</v>
      </c>
      <c r="B45" s="469">
        <v>41318</v>
      </c>
      <c r="C45" s="449" t="s">
        <v>743</v>
      </c>
      <c r="D45" s="449" t="s">
        <v>653</v>
      </c>
      <c r="E45" s="449">
        <v>302</v>
      </c>
      <c r="F45" s="449">
        <v>2072</v>
      </c>
      <c r="G45" s="449" t="s">
        <v>91</v>
      </c>
      <c r="H45" s="449" t="s">
        <v>760</v>
      </c>
      <c r="I45" s="449" t="s">
        <v>738</v>
      </c>
      <c r="J45" s="449" t="s">
        <v>744</v>
      </c>
      <c r="K45" s="450" t="s">
        <v>740</v>
      </c>
      <c r="L45" s="451">
        <v>1</v>
      </c>
      <c r="M45" s="452">
        <v>900</v>
      </c>
      <c r="N45" s="452">
        <v>300</v>
      </c>
      <c r="O45" s="453">
        <v>161.24160000000001</v>
      </c>
      <c r="P45" s="453">
        <v>7</v>
      </c>
      <c r="Q45" s="454">
        <v>158</v>
      </c>
      <c r="R45" s="569"/>
      <c r="S45" s="454">
        <v>0</v>
      </c>
      <c r="T45" s="455">
        <v>-3.2416000000000054</v>
      </c>
      <c r="U45" s="456">
        <v>-7</v>
      </c>
      <c r="V45" s="457">
        <v>-2917.4400000000051</v>
      </c>
      <c r="W45" s="457">
        <v>-2100</v>
      </c>
      <c r="X45" s="458">
        <v>142200</v>
      </c>
      <c r="Y45" s="458">
        <v>0</v>
      </c>
      <c r="Z45" s="459" t="e">
        <v>#VALUE!</v>
      </c>
      <c r="AA45" s="459">
        <v>2100</v>
      </c>
      <c r="AB45" s="450" t="s">
        <v>224</v>
      </c>
      <c r="AC45" s="460">
        <v>10086</v>
      </c>
      <c r="AD45" s="450">
        <v>400012</v>
      </c>
      <c r="AE45" s="450" t="s">
        <v>1002</v>
      </c>
      <c r="AF45" s="461" t="s">
        <v>1003</v>
      </c>
      <c r="AG45" s="461" t="s">
        <v>1004</v>
      </c>
      <c r="AH45" s="450">
        <v>11334</v>
      </c>
      <c r="AI45" s="462">
        <v>1</v>
      </c>
      <c r="AJ45" s="463" t="s">
        <v>1004</v>
      </c>
      <c r="AK45" s="463" t="s">
        <v>1005</v>
      </c>
      <c r="AL45" s="449" t="s">
        <v>1006</v>
      </c>
      <c r="AM45" s="449" t="s">
        <v>1007</v>
      </c>
      <c r="AN45" s="464">
        <v>36279.360000000001</v>
      </c>
      <c r="AP45" s="464">
        <v>36279.360000000001</v>
      </c>
      <c r="AQ45" s="464">
        <v>36279.360000000001</v>
      </c>
      <c r="AR45" s="464">
        <v>36279.360000000001</v>
      </c>
      <c r="AS45" s="450" t="s">
        <v>751</v>
      </c>
      <c r="AT45" s="450" t="s">
        <v>752</v>
      </c>
      <c r="AU45" s="450" t="s">
        <v>767</v>
      </c>
      <c r="AW45" s="466" t="s">
        <v>1003</v>
      </c>
    </row>
    <row r="46" spans="1:49">
      <c r="A46" s="447">
        <v>20133281</v>
      </c>
      <c r="B46" s="469">
        <v>41318</v>
      </c>
      <c r="C46" s="449" t="s">
        <v>743</v>
      </c>
      <c r="D46" s="449" t="s">
        <v>653</v>
      </c>
      <c r="E46" s="449">
        <v>302</v>
      </c>
      <c r="F46" s="449">
        <v>2073</v>
      </c>
      <c r="G46" s="449" t="s">
        <v>341</v>
      </c>
      <c r="H46" s="449" t="s">
        <v>5</v>
      </c>
      <c r="I46" s="449" t="s">
        <v>738</v>
      </c>
      <c r="J46" s="449" t="s">
        <v>744</v>
      </c>
      <c r="K46" s="450" t="s">
        <v>740</v>
      </c>
      <c r="L46" s="451">
        <v>1</v>
      </c>
      <c r="M46" s="452">
        <v>900</v>
      </c>
      <c r="N46" s="452"/>
      <c r="O46" s="453">
        <v>173.31659999999999</v>
      </c>
      <c r="P46" s="453"/>
      <c r="Q46" s="454">
        <v>180</v>
      </c>
      <c r="R46" s="569"/>
      <c r="S46" s="454">
        <v>0</v>
      </c>
      <c r="T46" s="455">
        <v>6.683400000000006</v>
      </c>
      <c r="U46" s="456">
        <v>0</v>
      </c>
      <c r="V46" s="457">
        <v>6015.0600000000049</v>
      </c>
      <c r="W46" s="457">
        <v>0</v>
      </c>
      <c r="X46" s="458">
        <v>162000</v>
      </c>
      <c r="Y46" s="458">
        <v>0</v>
      </c>
      <c r="Z46" s="459" t="e">
        <v>#VALUE!</v>
      </c>
      <c r="AA46" s="459"/>
      <c r="AB46" s="450" t="s">
        <v>224</v>
      </c>
      <c r="AC46" s="460">
        <v>10083</v>
      </c>
      <c r="AD46" s="450">
        <v>400105</v>
      </c>
      <c r="AE46" s="450" t="s">
        <v>1008</v>
      </c>
      <c r="AF46" s="461" t="s">
        <v>1009</v>
      </c>
      <c r="AG46" s="461" t="s">
        <v>1010</v>
      </c>
      <c r="AH46" s="450">
        <v>11334</v>
      </c>
      <c r="AI46" s="462">
        <v>1</v>
      </c>
      <c r="AJ46" s="463" t="s">
        <v>1010</v>
      </c>
      <c r="AK46" s="463" t="s">
        <v>1011</v>
      </c>
      <c r="AL46" s="449" t="s">
        <v>1012</v>
      </c>
      <c r="AM46" s="449" t="s">
        <v>1013</v>
      </c>
      <c r="AN46" s="464">
        <v>38996.235000000001</v>
      </c>
      <c r="AP46" s="464">
        <v>38996.235000000001</v>
      </c>
      <c r="AQ46" s="464">
        <v>38996.235000000001</v>
      </c>
      <c r="AR46" s="464">
        <v>38996.235000000001</v>
      </c>
      <c r="AS46" s="450" t="s">
        <v>751</v>
      </c>
      <c r="AT46" s="450" t="s">
        <v>752</v>
      </c>
      <c r="AU46" s="450" t="s">
        <v>753</v>
      </c>
      <c r="AW46" s="466" t="s">
        <v>1009</v>
      </c>
    </row>
    <row r="47" spans="1:49">
      <c r="A47" s="447">
        <v>20139066</v>
      </c>
      <c r="B47" s="469">
        <v>41318</v>
      </c>
      <c r="C47" s="449" t="s">
        <v>743</v>
      </c>
      <c r="D47" s="449" t="s">
        <v>653</v>
      </c>
      <c r="E47" s="449">
        <v>302</v>
      </c>
      <c r="F47" s="449">
        <v>2076</v>
      </c>
      <c r="G47" s="449" t="s">
        <v>377</v>
      </c>
      <c r="H47" s="449" t="s">
        <v>5</v>
      </c>
      <c r="I47" s="449" t="s">
        <v>738</v>
      </c>
      <c r="J47" s="449" t="s">
        <v>744</v>
      </c>
      <c r="K47" s="450" t="s">
        <v>740</v>
      </c>
      <c r="L47" s="451">
        <v>1</v>
      </c>
      <c r="M47" s="452">
        <v>900</v>
      </c>
      <c r="N47" s="452"/>
      <c r="O47" s="453">
        <v>185.45669999999998</v>
      </c>
      <c r="P47" s="453"/>
      <c r="Q47" s="454">
        <v>194</v>
      </c>
      <c r="R47" s="569"/>
      <c r="S47" s="454">
        <v>0</v>
      </c>
      <c r="T47" s="455">
        <v>8.5433000000000163</v>
      </c>
      <c r="U47" s="456">
        <v>0</v>
      </c>
      <c r="V47" s="457">
        <v>7688.9700000000148</v>
      </c>
      <c r="W47" s="457">
        <v>0</v>
      </c>
      <c r="X47" s="458">
        <v>174600</v>
      </c>
      <c r="Y47" s="458">
        <v>0</v>
      </c>
      <c r="Z47" s="459" t="e">
        <v>#VALUE!</v>
      </c>
      <c r="AA47" s="459"/>
      <c r="AB47" s="450" t="s">
        <v>224</v>
      </c>
      <c r="AC47" s="460">
        <v>10124</v>
      </c>
      <c r="AD47" s="450">
        <v>400111</v>
      </c>
      <c r="AE47" s="450" t="s">
        <v>1014</v>
      </c>
      <c r="AF47" s="461" t="s">
        <v>1015</v>
      </c>
      <c r="AG47" s="461" t="s">
        <v>1016</v>
      </c>
      <c r="AH47" s="450">
        <v>11334</v>
      </c>
      <c r="AI47" s="462">
        <v>1</v>
      </c>
      <c r="AJ47" s="463" t="s">
        <v>1016</v>
      </c>
      <c r="AK47" s="463" t="s">
        <v>1017</v>
      </c>
      <c r="AL47" s="449" t="s">
        <v>1018</v>
      </c>
      <c r="AM47" s="449" t="s">
        <v>1019</v>
      </c>
      <c r="AN47" s="464">
        <v>41727.7575</v>
      </c>
      <c r="AP47" s="464">
        <v>41727.7575</v>
      </c>
      <c r="AQ47" s="464">
        <v>41727.757499999985</v>
      </c>
      <c r="AR47" s="464">
        <v>41727.7575</v>
      </c>
      <c r="AS47" s="450" t="s">
        <v>751</v>
      </c>
      <c r="AT47" s="450" t="s">
        <v>752</v>
      </c>
      <c r="AU47" s="450" t="s">
        <v>753</v>
      </c>
      <c r="AW47" s="466" t="s">
        <v>1015</v>
      </c>
    </row>
    <row r="48" spans="1:49">
      <c r="A48" s="447">
        <v>20138621</v>
      </c>
      <c r="B48" s="469">
        <v>41318</v>
      </c>
      <c r="C48" s="449" t="s">
        <v>743</v>
      </c>
      <c r="D48" s="449" t="s">
        <v>653</v>
      </c>
      <c r="E48" s="449">
        <v>302</v>
      </c>
      <c r="F48" s="449">
        <v>2077</v>
      </c>
      <c r="G48" s="449" t="s">
        <v>374</v>
      </c>
      <c r="H48" s="449" t="s">
        <v>5</v>
      </c>
      <c r="I48" s="449" t="s">
        <v>738</v>
      </c>
      <c r="J48" s="449" t="s">
        <v>744</v>
      </c>
      <c r="K48" s="450" t="s">
        <v>740</v>
      </c>
      <c r="L48" s="451">
        <v>1</v>
      </c>
      <c r="M48" s="452">
        <v>900</v>
      </c>
      <c r="N48" s="452"/>
      <c r="O48" s="453">
        <v>269.74169999999998</v>
      </c>
      <c r="P48" s="453"/>
      <c r="Q48" s="454">
        <v>257</v>
      </c>
      <c r="R48" s="569"/>
      <c r="S48" s="454">
        <v>0</v>
      </c>
      <c r="T48" s="455">
        <v>-12.74169999999998</v>
      </c>
      <c r="U48" s="456">
        <v>0</v>
      </c>
      <c r="V48" s="457">
        <v>-11467.529999999982</v>
      </c>
      <c r="W48" s="457">
        <v>0</v>
      </c>
      <c r="X48" s="458">
        <v>231300</v>
      </c>
      <c r="Y48" s="458">
        <v>0</v>
      </c>
      <c r="Z48" s="459" t="e">
        <v>#VALUE!</v>
      </c>
      <c r="AA48" s="459"/>
      <c r="AB48" s="450" t="s">
        <v>224</v>
      </c>
      <c r="AC48" s="460">
        <v>10127</v>
      </c>
      <c r="AD48" s="450">
        <v>400113</v>
      </c>
      <c r="AE48" s="450" t="s">
        <v>1020</v>
      </c>
      <c r="AF48" s="461" t="s">
        <v>1021</v>
      </c>
      <c r="AG48" s="461" t="s">
        <v>1022</v>
      </c>
      <c r="AH48" s="450">
        <v>11334</v>
      </c>
      <c r="AI48" s="462">
        <v>1</v>
      </c>
      <c r="AJ48" s="463" t="s">
        <v>1022</v>
      </c>
      <c r="AK48" s="463" t="s">
        <v>1023</v>
      </c>
      <c r="AL48" s="449" t="s">
        <v>1024</v>
      </c>
      <c r="AM48" s="449" t="s">
        <v>1025</v>
      </c>
      <c r="AN48" s="464">
        <v>60691.8825</v>
      </c>
      <c r="AP48" s="464">
        <v>60691.8825</v>
      </c>
      <c r="AQ48" s="464">
        <v>60691.882499999985</v>
      </c>
      <c r="AR48" s="464">
        <v>60691.8825</v>
      </c>
      <c r="AS48" s="450" t="s">
        <v>751</v>
      </c>
      <c r="AT48" s="450" t="s">
        <v>752</v>
      </c>
      <c r="AU48" s="450" t="s">
        <v>753</v>
      </c>
      <c r="AW48" s="466" t="s">
        <v>1021</v>
      </c>
    </row>
    <row r="49" spans="1:49">
      <c r="A49" s="447">
        <v>20136396</v>
      </c>
      <c r="B49" s="469">
        <v>41318</v>
      </c>
      <c r="C49" s="449" t="s">
        <v>743</v>
      </c>
      <c r="D49" s="449" t="s">
        <v>653</v>
      </c>
      <c r="E49" s="449">
        <v>302</v>
      </c>
      <c r="F49" s="449">
        <v>2078</v>
      </c>
      <c r="G49" s="449" t="s">
        <v>356</v>
      </c>
      <c r="H49" s="449" t="s">
        <v>5</v>
      </c>
      <c r="I49" s="449" t="s">
        <v>738</v>
      </c>
      <c r="J49" s="449" t="s">
        <v>744</v>
      </c>
      <c r="K49" s="450" t="s">
        <v>740</v>
      </c>
      <c r="L49" s="451">
        <v>1</v>
      </c>
      <c r="M49" s="452">
        <v>900</v>
      </c>
      <c r="N49" s="452"/>
      <c r="O49" s="453">
        <v>26.132000000000001</v>
      </c>
      <c r="P49" s="453"/>
      <c r="Q49" s="454">
        <v>27</v>
      </c>
      <c r="R49" s="569"/>
      <c r="S49" s="454">
        <v>0</v>
      </c>
      <c r="T49" s="455">
        <v>0.86799999999999855</v>
      </c>
      <c r="U49" s="456">
        <v>0</v>
      </c>
      <c r="V49" s="457">
        <v>781.19999999999868</v>
      </c>
      <c r="W49" s="457">
        <v>0</v>
      </c>
      <c r="X49" s="458">
        <v>24300</v>
      </c>
      <c r="Y49" s="458">
        <v>0</v>
      </c>
      <c r="Z49" s="459" t="e">
        <v>#VALUE!</v>
      </c>
      <c r="AA49" s="459"/>
      <c r="AB49" s="450" t="s">
        <v>224</v>
      </c>
      <c r="AC49" s="460">
        <v>10129</v>
      </c>
      <c r="AD49" s="450">
        <v>400014</v>
      </c>
      <c r="AE49" s="450" t="s">
        <v>1026</v>
      </c>
      <c r="AF49" s="461" t="s">
        <v>1027</v>
      </c>
      <c r="AG49" s="461" t="s">
        <v>1028</v>
      </c>
      <c r="AH49" s="450">
        <v>11334</v>
      </c>
      <c r="AI49" s="462">
        <v>1</v>
      </c>
      <c r="AJ49" s="463" t="s">
        <v>1028</v>
      </c>
      <c r="AK49" s="463" t="s">
        <v>1029</v>
      </c>
      <c r="AL49" s="449" t="s">
        <v>1030</v>
      </c>
      <c r="AM49" s="449" t="s">
        <v>1031</v>
      </c>
      <c r="AN49" s="464">
        <v>5879.7</v>
      </c>
      <c r="AP49" s="464">
        <v>5879.7</v>
      </c>
      <c r="AQ49" s="464">
        <v>5879.699999999998</v>
      </c>
      <c r="AR49" s="464">
        <v>5879.7</v>
      </c>
      <c r="AS49" s="450" t="s">
        <v>751</v>
      </c>
      <c r="AT49" s="450" t="s">
        <v>752</v>
      </c>
      <c r="AU49" s="450" t="s">
        <v>753</v>
      </c>
      <c r="AW49" s="466" t="s">
        <v>1027</v>
      </c>
    </row>
    <row r="50" spans="1:49">
      <c r="A50" s="447">
        <v>20131857</v>
      </c>
      <c r="B50" s="469">
        <v>41318</v>
      </c>
      <c r="C50" s="449" t="s">
        <v>743</v>
      </c>
      <c r="D50" s="449" t="s">
        <v>653</v>
      </c>
      <c r="E50" s="449">
        <v>302</v>
      </c>
      <c r="F50" s="449">
        <v>2079</v>
      </c>
      <c r="G50" s="449" t="s">
        <v>331</v>
      </c>
      <c r="H50" s="449" t="s">
        <v>5</v>
      </c>
      <c r="I50" s="449" t="s">
        <v>738</v>
      </c>
      <c r="J50" s="449" t="s">
        <v>744</v>
      </c>
      <c r="K50" s="450" t="s">
        <v>740</v>
      </c>
      <c r="L50" s="451">
        <v>1</v>
      </c>
      <c r="M50" s="452">
        <v>900</v>
      </c>
      <c r="N50" s="452"/>
      <c r="O50" s="453">
        <v>18.956699999999998</v>
      </c>
      <c r="P50" s="453"/>
      <c r="Q50" s="454">
        <v>29</v>
      </c>
      <c r="R50" s="569"/>
      <c r="S50" s="454">
        <v>0</v>
      </c>
      <c r="T50" s="455">
        <v>10.043300000000002</v>
      </c>
      <c r="U50" s="456">
        <v>0</v>
      </c>
      <c r="V50" s="457">
        <v>9038.9700000000012</v>
      </c>
      <c r="W50" s="457">
        <v>0</v>
      </c>
      <c r="X50" s="458">
        <v>26100</v>
      </c>
      <c r="Y50" s="458">
        <v>0</v>
      </c>
      <c r="Z50" s="459" t="e">
        <v>#VALUE!</v>
      </c>
      <c r="AA50" s="459"/>
      <c r="AB50" s="450" t="s">
        <v>224</v>
      </c>
      <c r="AC50" s="460">
        <v>10128</v>
      </c>
      <c r="AD50" s="450">
        <v>400070</v>
      </c>
      <c r="AE50" s="450" t="s">
        <v>1032</v>
      </c>
      <c r="AF50" s="461" t="s">
        <v>1033</v>
      </c>
      <c r="AG50" s="461" t="s">
        <v>1034</v>
      </c>
      <c r="AH50" s="450">
        <v>11334</v>
      </c>
      <c r="AI50" s="462">
        <v>1</v>
      </c>
      <c r="AJ50" s="463" t="s">
        <v>1034</v>
      </c>
      <c r="AK50" s="463" t="s">
        <v>1035</v>
      </c>
      <c r="AL50" s="449" t="s">
        <v>1036</v>
      </c>
      <c r="AM50" s="449" t="s">
        <v>1037</v>
      </c>
      <c r="AN50" s="464">
        <v>4265.2574999999997</v>
      </c>
      <c r="AP50" s="464">
        <v>4265.2574999999997</v>
      </c>
      <c r="AQ50" s="464">
        <v>4265.2574999999997</v>
      </c>
      <c r="AR50" s="464">
        <v>4265.2574999999997</v>
      </c>
      <c r="AS50" s="450" t="s">
        <v>751</v>
      </c>
      <c r="AT50" s="450" t="s">
        <v>752</v>
      </c>
      <c r="AU50" s="450" t="s">
        <v>753</v>
      </c>
      <c r="AW50" s="466" t="s">
        <v>1033</v>
      </c>
    </row>
    <row r="51" spans="1:49">
      <c r="A51" s="447">
        <v>20131590</v>
      </c>
      <c r="B51" s="469">
        <v>41318</v>
      </c>
      <c r="C51" s="449" t="s">
        <v>743</v>
      </c>
      <c r="D51" s="449" t="s">
        <v>653</v>
      </c>
      <c r="E51" s="449">
        <v>302</v>
      </c>
      <c r="F51" s="449">
        <v>3300</v>
      </c>
      <c r="G51" s="449" t="s">
        <v>329</v>
      </c>
      <c r="H51" s="449" t="s">
        <v>5</v>
      </c>
      <c r="I51" s="449" t="s">
        <v>738</v>
      </c>
      <c r="J51" s="449" t="s">
        <v>744</v>
      </c>
      <c r="K51" s="450" t="s">
        <v>740</v>
      </c>
      <c r="L51" s="451">
        <v>1</v>
      </c>
      <c r="M51" s="452">
        <v>900</v>
      </c>
      <c r="N51" s="452"/>
      <c r="O51" s="453">
        <v>89.294399999999996</v>
      </c>
      <c r="P51" s="453"/>
      <c r="Q51" s="454">
        <v>94</v>
      </c>
      <c r="R51" s="569"/>
      <c r="S51" s="454">
        <v>0</v>
      </c>
      <c r="T51" s="455">
        <v>4.705600000000004</v>
      </c>
      <c r="U51" s="456">
        <v>0</v>
      </c>
      <c r="V51" s="457">
        <v>4235.0400000000036</v>
      </c>
      <c r="W51" s="457">
        <v>0</v>
      </c>
      <c r="X51" s="458">
        <v>84600</v>
      </c>
      <c r="Y51" s="458">
        <v>0</v>
      </c>
      <c r="Z51" s="459" t="e">
        <v>#VALUE!</v>
      </c>
      <c r="AA51" s="459"/>
      <c r="AB51" s="450" t="s">
        <v>224</v>
      </c>
      <c r="AC51" s="460">
        <v>10040</v>
      </c>
      <c r="AD51" s="450">
        <v>400069</v>
      </c>
      <c r="AE51" s="450" t="s">
        <v>1038</v>
      </c>
      <c r="AF51" s="461" t="s">
        <v>1039</v>
      </c>
      <c r="AG51" s="461" t="s">
        <v>1040</v>
      </c>
      <c r="AH51" s="450">
        <v>11334</v>
      </c>
      <c r="AI51" s="462">
        <v>1</v>
      </c>
      <c r="AJ51" s="463" t="s">
        <v>1040</v>
      </c>
      <c r="AK51" s="463" t="s">
        <v>1041</v>
      </c>
      <c r="AL51" s="449" t="s">
        <v>1042</v>
      </c>
      <c r="AM51" s="449" t="s">
        <v>1043</v>
      </c>
      <c r="AN51" s="464">
        <v>20091.240000000002</v>
      </c>
      <c r="AP51" s="464">
        <v>20091.240000000002</v>
      </c>
      <c r="AQ51" s="464">
        <v>20091.239999999994</v>
      </c>
      <c r="AR51" s="464">
        <v>20091.240000000002</v>
      </c>
      <c r="AS51" s="450" t="s">
        <v>751</v>
      </c>
      <c r="AT51" s="450" t="s">
        <v>752</v>
      </c>
      <c r="AU51" s="450" t="s">
        <v>753</v>
      </c>
      <c r="AW51" s="466" t="s">
        <v>1039</v>
      </c>
    </row>
    <row r="52" spans="1:49">
      <c r="A52" s="447">
        <v>20132658</v>
      </c>
      <c r="B52" s="469">
        <v>41318</v>
      </c>
      <c r="C52" s="449" t="s">
        <v>743</v>
      </c>
      <c r="D52" s="449" t="s">
        <v>653</v>
      </c>
      <c r="E52" s="449">
        <v>302</v>
      </c>
      <c r="F52" s="449">
        <v>3302</v>
      </c>
      <c r="G52" s="449" t="s">
        <v>336</v>
      </c>
      <c r="H52" s="449" t="s">
        <v>5</v>
      </c>
      <c r="I52" s="449" t="s">
        <v>738</v>
      </c>
      <c r="J52" s="449" t="s">
        <v>744</v>
      </c>
      <c r="K52" s="450" t="s">
        <v>740</v>
      </c>
      <c r="L52" s="451">
        <v>1</v>
      </c>
      <c r="M52" s="452">
        <v>900</v>
      </c>
      <c r="N52" s="452"/>
      <c r="O52" s="453">
        <v>20.8</v>
      </c>
      <c r="P52" s="453"/>
      <c r="Q52" s="454">
        <v>20</v>
      </c>
      <c r="R52" s="569"/>
      <c r="S52" s="454">
        <v>0</v>
      </c>
      <c r="T52" s="455">
        <v>-0.80000000000000071</v>
      </c>
      <c r="U52" s="456">
        <v>0</v>
      </c>
      <c r="V52" s="457">
        <v>-720.00000000000068</v>
      </c>
      <c r="W52" s="457">
        <v>0</v>
      </c>
      <c r="X52" s="458">
        <v>18000</v>
      </c>
      <c r="Y52" s="458">
        <v>0</v>
      </c>
      <c r="Z52" s="459" t="e">
        <v>#VALUE!</v>
      </c>
      <c r="AA52" s="459"/>
      <c r="AB52" s="450" t="s">
        <v>224</v>
      </c>
      <c r="AC52" s="460">
        <v>10050</v>
      </c>
      <c r="AD52" s="450">
        <v>400039</v>
      </c>
      <c r="AE52" s="450" t="s">
        <v>1044</v>
      </c>
      <c r="AF52" s="461" t="s">
        <v>1045</v>
      </c>
      <c r="AG52" s="461" t="s">
        <v>1046</v>
      </c>
      <c r="AH52" s="450">
        <v>11334</v>
      </c>
      <c r="AI52" s="462">
        <v>1</v>
      </c>
      <c r="AJ52" s="463" t="s">
        <v>1046</v>
      </c>
      <c r="AK52" s="463" t="s">
        <v>1047</v>
      </c>
      <c r="AL52" s="449" t="s">
        <v>1048</v>
      </c>
      <c r="AM52" s="449" t="s">
        <v>1049</v>
      </c>
      <c r="AN52" s="464">
        <v>4680</v>
      </c>
      <c r="AP52" s="464">
        <v>4680</v>
      </c>
      <c r="AQ52" s="464">
        <v>4680</v>
      </c>
      <c r="AR52" s="464">
        <v>4680</v>
      </c>
      <c r="AS52" s="450" t="s">
        <v>751</v>
      </c>
      <c r="AT52" s="450" t="s">
        <v>752</v>
      </c>
      <c r="AU52" s="450" t="s">
        <v>753</v>
      </c>
      <c r="AW52" s="466" t="s">
        <v>1045</v>
      </c>
    </row>
    <row r="53" spans="1:49">
      <c r="A53" s="447">
        <v>20134972</v>
      </c>
      <c r="B53" s="469">
        <v>41318</v>
      </c>
      <c r="C53" s="449" t="s">
        <v>743</v>
      </c>
      <c r="D53" s="449" t="s">
        <v>653</v>
      </c>
      <c r="E53" s="449">
        <v>302</v>
      </c>
      <c r="F53" s="449">
        <v>3304</v>
      </c>
      <c r="G53" s="449" t="s">
        <v>347</v>
      </c>
      <c r="H53" s="449" t="s">
        <v>5</v>
      </c>
      <c r="I53" s="449" t="s">
        <v>738</v>
      </c>
      <c r="J53" s="449" t="s">
        <v>744</v>
      </c>
      <c r="K53" s="450" t="s">
        <v>740</v>
      </c>
      <c r="L53" s="451">
        <v>1</v>
      </c>
      <c r="M53" s="452">
        <v>900</v>
      </c>
      <c r="N53" s="452"/>
      <c r="O53" s="453">
        <v>46.223099999999995</v>
      </c>
      <c r="P53" s="453"/>
      <c r="Q53" s="454">
        <v>49</v>
      </c>
      <c r="R53" s="569"/>
      <c r="S53" s="454">
        <v>0</v>
      </c>
      <c r="T53" s="455">
        <v>2.7769000000000048</v>
      </c>
      <c r="U53" s="456">
        <v>0</v>
      </c>
      <c r="V53" s="457">
        <v>2499.2100000000041</v>
      </c>
      <c r="W53" s="457">
        <v>0</v>
      </c>
      <c r="X53" s="458">
        <v>44100</v>
      </c>
      <c r="Y53" s="458">
        <v>0</v>
      </c>
      <c r="Z53" s="459" t="e">
        <v>#VALUE!</v>
      </c>
      <c r="AA53" s="459"/>
      <c r="AB53" s="450" t="s">
        <v>224</v>
      </c>
      <c r="AC53" s="460">
        <v>10073</v>
      </c>
      <c r="AD53" s="450">
        <v>400008</v>
      </c>
      <c r="AE53" s="450" t="s">
        <v>1050</v>
      </c>
      <c r="AF53" s="461" t="s">
        <v>1051</v>
      </c>
      <c r="AG53" s="461" t="s">
        <v>1052</v>
      </c>
      <c r="AH53" s="450">
        <v>11334</v>
      </c>
      <c r="AI53" s="462">
        <v>1</v>
      </c>
      <c r="AJ53" s="463" t="s">
        <v>1052</v>
      </c>
      <c r="AK53" s="463" t="s">
        <v>1053</v>
      </c>
      <c r="AL53" s="449" t="s">
        <v>1054</v>
      </c>
      <c r="AM53" s="449" t="s">
        <v>1055</v>
      </c>
      <c r="AN53" s="464">
        <v>10400.1975</v>
      </c>
      <c r="AP53" s="464">
        <v>10400.1975</v>
      </c>
      <c r="AQ53" s="464">
        <v>10400.197499999997</v>
      </c>
      <c r="AR53" s="464">
        <v>10400.1975</v>
      </c>
      <c r="AS53" s="450" t="s">
        <v>751</v>
      </c>
      <c r="AT53" s="450" t="s">
        <v>752</v>
      </c>
      <c r="AU53" s="450" t="s">
        <v>753</v>
      </c>
      <c r="AW53" s="466" t="s">
        <v>1051</v>
      </c>
    </row>
    <row r="54" spans="1:49">
      <c r="A54" s="447">
        <v>20135773</v>
      </c>
      <c r="B54" s="469">
        <v>41318</v>
      </c>
      <c r="C54" s="449" t="s">
        <v>743</v>
      </c>
      <c r="D54" s="449" t="s">
        <v>653</v>
      </c>
      <c r="E54" s="449">
        <v>302</v>
      </c>
      <c r="F54" s="449">
        <v>3305</v>
      </c>
      <c r="G54" s="449" t="s">
        <v>352</v>
      </c>
      <c r="H54" s="449" t="s">
        <v>5</v>
      </c>
      <c r="I54" s="449" t="s">
        <v>738</v>
      </c>
      <c r="J54" s="449" t="s">
        <v>744</v>
      </c>
      <c r="K54" s="450" t="s">
        <v>740</v>
      </c>
      <c r="L54" s="451">
        <v>1</v>
      </c>
      <c r="M54" s="452">
        <v>900</v>
      </c>
      <c r="N54" s="452"/>
      <c r="O54" s="453">
        <v>3</v>
      </c>
      <c r="P54" s="453"/>
      <c r="Q54" s="454">
        <v>5</v>
      </c>
      <c r="R54" s="569"/>
      <c r="S54" s="454">
        <v>0</v>
      </c>
      <c r="T54" s="455">
        <v>2</v>
      </c>
      <c r="U54" s="456">
        <v>0</v>
      </c>
      <c r="V54" s="457">
        <v>1800</v>
      </c>
      <c r="W54" s="457">
        <v>0</v>
      </c>
      <c r="X54" s="458">
        <v>4500</v>
      </c>
      <c r="Y54" s="458">
        <v>0</v>
      </c>
      <c r="Z54" s="459" t="e">
        <v>#VALUE!</v>
      </c>
      <c r="AA54" s="459"/>
      <c r="AB54" s="450" t="s">
        <v>224</v>
      </c>
      <c r="AC54" s="460">
        <v>10078</v>
      </c>
      <c r="AD54" s="450">
        <v>400086</v>
      </c>
      <c r="AE54" s="450" t="s">
        <v>1056</v>
      </c>
      <c r="AF54" s="461" t="s">
        <v>1057</v>
      </c>
      <c r="AG54" s="461" t="s">
        <v>1058</v>
      </c>
      <c r="AH54" s="450">
        <v>11334</v>
      </c>
      <c r="AI54" s="462">
        <v>1</v>
      </c>
      <c r="AJ54" s="463" t="s">
        <v>1058</v>
      </c>
      <c r="AK54" s="463" t="s">
        <v>1059</v>
      </c>
      <c r="AL54" s="449" t="s">
        <v>1060</v>
      </c>
      <c r="AM54" s="449" t="s">
        <v>1061</v>
      </c>
      <c r="AN54" s="464">
        <v>675</v>
      </c>
      <c r="AP54" s="464">
        <v>675</v>
      </c>
      <c r="AQ54" s="464">
        <v>675</v>
      </c>
      <c r="AR54" s="464">
        <v>675</v>
      </c>
      <c r="AS54" s="450" t="s">
        <v>751</v>
      </c>
      <c r="AT54" s="450" t="s">
        <v>752</v>
      </c>
      <c r="AU54" s="450" t="s">
        <v>753</v>
      </c>
      <c r="AW54" s="466" t="s">
        <v>1057</v>
      </c>
    </row>
    <row r="55" spans="1:49">
      <c r="A55" s="447">
        <v>20137197</v>
      </c>
      <c r="B55" s="469">
        <v>41318</v>
      </c>
      <c r="C55" s="449" t="s">
        <v>743</v>
      </c>
      <c r="D55" s="449" t="s">
        <v>653</v>
      </c>
      <c r="E55" s="449">
        <v>302</v>
      </c>
      <c r="F55" s="449">
        <v>3307</v>
      </c>
      <c r="G55" s="449" t="s">
        <v>606</v>
      </c>
      <c r="H55" s="449" t="s">
        <v>5</v>
      </c>
      <c r="I55" s="449" t="s">
        <v>738</v>
      </c>
      <c r="J55" s="449" t="s">
        <v>744</v>
      </c>
      <c r="K55" s="450" t="s">
        <v>740</v>
      </c>
      <c r="L55" s="451">
        <v>1</v>
      </c>
      <c r="M55" s="452">
        <v>900</v>
      </c>
      <c r="N55" s="452"/>
      <c r="O55" s="453">
        <v>29.148</v>
      </c>
      <c r="P55" s="453"/>
      <c r="Q55" s="454">
        <v>29</v>
      </c>
      <c r="R55" s="569"/>
      <c r="S55" s="454">
        <v>0</v>
      </c>
      <c r="T55" s="455">
        <v>-0.14799999999999969</v>
      </c>
      <c r="U55" s="456">
        <v>0</v>
      </c>
      <c r="V55" s="457">
        <v>-133.1999999999997</v>
      </c>
      <c r="W55" s="457">
        <v>0</v>
      </c>
      <c r="X55" s="458">
        <v>26100</v>
      </c>
      <c r="Y55" s="458">
        <v>0</v>
      </c>
      <c r="Z55" s="459" t="e">
        <v>#VALUE!</v>
      </c>
      <c r="AA55" s="459"/>
      <c r="AB55" s="450" t="s">
        <v>224</v>
      </c>
      <c r="AC55" s="460">
        <v>10089</v>
      </c>
      <c r="AD55" s="450">
        <v>400114</v>
      </c>
      <c r="AE55" s="450" t="s">
        <v>1062</v>
      </c>
      <c r="AF55" s="461" t="s">
        <v>1063</v>
      </c>
      <c r="AG55" s="461" t="s">
        <v>1064</v>
      </c>
      <c r="AH55" s="450">
        <v>11334</v>
      </c>
      <c r="AI55" s="462">
        <v>1</v>
      </c>
      <c r="AJ55" s="463" t="s">
        <v>1064</v>
      </c>
      <c r="AK55" s="463" t="s">
        <v>1065</v>
      </c>
      <c r="AL55" s="449" t="s">
        <v>1066</v>
      </c>
      <c r="AM55" s="449" t="s">
        <v>1067</v>
      </c>
      <c r="AN55" s="464">
        <v>6558.3</v>
      </c>
      <c r="AP55" s="464">
        <v>6558.3</v>
      </c>
      <c r="AQ55" s="464">
        <v>6558.300000000002</v>
      </c>
      <c r="AR55" s="464">
        <v>6558.3</v>
      </c>
      <c r="AS55" s="450" t="s">
        <v>751</v>
      </c>
      <c r="AT55" s="450" t="s">
        <v>752</v>
      </c>
      <c r="AU55" s="450" t="s">
        <v>753</v>
      </c>
      <c r="AW55" s="466" t="s">
        <v>1063</v>
      </c>
    </row>
    <row r="56" spans="1:49">
      <c r="A56" s="447">
        <v>20137286</v>
      </c>
      <c r="B56" s="469">
        <v>41318</v>
      </c>
      <c r="C56" s="449" t="s">
        <v>743</v>
      </c>
      <c r="D56" s="449" t="s">
        <v>653</v>
      </c>
      <c r="E56" s="449">
        <v>302</v>
      </c>
      <c r="F56" s="449">
        <v>3309</v>
      </c>
      <c r="G56" s="449" t="s">
        <v>607</v>
      </c>
      <c r="H56" s="449" t="s">
        <v>5</v>
      </c>
      <c r="I56" s="449" t="s">
        <v>738</v>
      </c>
      <c r="J56" s="449" t="s">
        <v>744</v>
      </c>
      <c r="K56" s="450" t="s">
        <v>740</v>
      </c>
      <c r="L56" s="451">
        <v>1</v>
      </c>
      <c r="M56" s="452">
        <v>900</v>
      </c>
      <c r="N56" s="452">
        <v>300</v>
      </c>
      <c r="O56" s="453">
        <v>40.277999999999999</v>
      </c>
      <c r="P56" s="453">
        <v>4</v>
      </c>
      <c r="Q56" s="454">
        <v>42</v>
      </c>
      <c r="R56" s="569"/>
      <c r="S56" s="454">
        <v>0</v>
      </c>
      <c r="T56" s="455">
        <v>1.7220000000000013</v>
      </c>
      <c r="U56" s="456">
        <v>-4</v>
      </c>
      <c r="V56" s="457">
        <v>1549.8000000000011</v>
      </c>
      <c r="W56" s="457">
        <v>-1200</v>
      </c>
      <c r="X56" s="458">
        <v>37800</v>
      </c>
      <c r="Y56" s="458">
        <v>0</v>
      </c>
      <c r="Z56" s="459" t="e">
        <v>#VALUE!</v>
      </c>
      <c r="AA56" s="459">
        <v>1200</v>
      </c>
      <c r="AB56" s="450" t="s">
        <v>224</v>
      </c>
      <c r="AC56" s="460">
        <v>10116</v>
      </c>
      <c r="AD56" s="450">
        <v>400098</v>
      </c>
      <c r="AE56" s="450" t="s">
        <v>1068</v>
      </c>
      <c r="AF56" s="461" t="s">
        <v>1069</v>
      </c>
      <c r="AG56" s="461" t="s">
        <v>1070</v>
      </c>
      <c r="AH56" s="450">
        <v>11334</v>
      </c>
      <c r="AI56" s="462">
        <v>1</v>
      </c>
      <c r="AJ56" s="463" t="s">
        <v>1070</v>
      </c>
      <c r="AK56" s="463" t="s">
        <v>1071</v>
      </c>
      <c r="AL56" s="449" t="s">
        <v>1072</v>
      </c>
      <c r="AM56" s="449" t="s">
        <v>1073</v>
      </c>
      <c r="AN56" s="464">
        <v>9062.5499999999993</v>
      </c>
      <c r="AP56" s="464">
        <v>9062.5499999999993</v>
      </c>
      <c r="AQ56" s="464">
        <v>9062.5499999999993</v>
      </c>
      <c r="AR56" s="464">
        <v>9062.5499999999993</v>
      </c>
      <c r="AS56" s="450" t="s">
        <v>751</v>
      </c>
      <c r="AT56" s="450" t="s">
        <v>752</v>
      </c>
      <c r="AU56" s="450" t="s">
        <v>753</v>
      </c>
      <c r="AW56" s="466" t="s">
        <v>1069</v>
      </c>
    </row>
    <row r="57" spans="1:49">
      <c r="A57" s="447">
        <v>20137642</v>
      </c>
      <c r="B57" s="469">
        <v>41318</v>
      </c>
      <c r="C57" s="449" t="s">
        <v>743</v>
      </c>
      <c r="D57" s="449" t="s">
        <v>653</v>
      </c>
      <c r="E57" s="449">
        <v>302</v>
      </c>
      <c r="F57" s="449">
        <v>3311</v>
      </c>
      <c r="G57" s="449" t="s">
        <v>608</v>
      </c>
      <c r="H57" s="449" t="s">
        <v>5</v>
      </c>
      <c r="I57" s="449" t="s">
        <v>738</v>
      </c>
      <c r="J57" s="449" t="s">
        <v>744</v>
      </c>
      <c r="K57" s="450" t="s">
        <v>740</v>
      </c>
      <c r="L57" s="451">
        <v>1</v>
      </c>
      <c r="M57" s="452">
        <v>900</v>
      </c>
      <c r="N57" s="452"/>
      <c r="O57" s="453">
        <v>32.080200000000005</v>
      </c>
      <c r="P57" s="453"/>
      <c r="Q57" s="454">
        <v>35</v>
      </c>
      <c r="R57" s="569"/>
      <c r="S57" s="454">
        <v>0</v>
      </c>
      <c r="T57" s="455">
        <v>2.9197999999999951</v>
      </c>
      <c r="U57" s="456">
        <v>0</v>
      </c>
      <c r="V57" s="457">
        <v>2627.8199999999956</v>
      </c>
      <c r="W57" s="457">
        <v>0</v>
      </c>
      <c r="X57" s="458">
        <v>31500</v>
      </c>
      <c r="Y57" s="458">
        <v>0</v>
      </c>
      <c r="Z57" s="459" t="e">
        <v>#VALUE!</v>
      </c>
      <c r="AA57" s="459"/>
      <c r="AB57" s="450" t="s">
        <v>224</v>
      </c>
      <c r="AC57" s="460">
        <v>10092</v>
      </c>
      <c r="AD57" s="450">
        <v>400058</v>
      </c>
      <c r="AE57" s="450" t="s">
        <v>1074</v>
      </c>
      <c r="AF57" s="461" t="s">
        <v>1075</v>
      </c>
      <c r="AG57" s="461" t="s">
        <v>1076</v>
      </c>
      <c r="AH57" s="450">
        <v>11334</v>
      </c>
      <c r="AI57" s="462">
        <v>1</v>
      </c>
      <c r="AJ57" s="463" t="s">
        <v>1076</v>
      </c>
      <c r="AK57" s="463" t="s">
        <v>1077</v>
      </c>
      <c r="AL57" s="449" t="s">
        <v>1078</v>
      </c>
      <c r="AM57" s="449" t="s">
        <v>1079</v>
      </c>
      <c r="AN57" s="464">
        <v>7218.0450000000001</v>
      </c>
      <c r="AP57" s="464">
        <v>7218.0450000000001</v>
      </c>
      <c r="AQ57" s="464">
        <v>7218.0450000000019</v>
      </c>
      <c r="AR57" s="464">
        <v>7218.0450000000001</v>
      </c>
      <c r="AS57" s="450" t="s">
        <v>751</v>
      </c>
      <c r="AT57" s="450" t="s">
        <v>752</v>
      </c>
      <c r="AU57" s="450" t="s">
        <v>753</v>
      </c>
      <c r="AW57" s="466" t="s">
        <v>1075</v>
      </c>
    </row>
    <row r="58" spans="1:49">
      <c r="A58" s="447">
        <v>20137731</v>
      </c>
      <c r="B58" s="469">
        <v>41318</v>
      </c>
      <c r="C58" s="449" t="s">
        <v>743</v>
      </c>
      <c r="D58" s="449" t="s">
        <v>653</v>
      </c>
      <c r="E58" s="449">
        <v>302</v>
      </c>
      <c r="F58" s="449">
        <v>3312</v>
      </c>
      <c r="G58" s="449" t="s">
        <v>365</v>
      </c>
      <c r="H58" s="449" t="s">
        <v>5</v>
      </c>
      <c r="I58" s="449" t="s">
        <v>738</v>
      </c>
      <c r="J58" s="449" t="s">
        <v>744</v>
      </c>
      <c r="K58" s="450" t="s">
        <v>740</v>
      </c>
      <c r="L58" s="451">
        <v>1</v>
      </c>
      <c r="M58" s="452">
        <v>900</v>
      </c>
      <c r="N58" s="452">
        <v>300</v>
      </c>
      <c r="O58" s="453">
        <v>30.858799999999999</v>
      </c>
      <c r="P58" s="453">
        <v>1</v>
      </c>
      <c r="Q58" s="454">
        <v>28</v>
      </c>
      <c r="R58" s="569"/>
      <c r="S58" s="454">
        <v>0</v>
      </c>
      <c r="T58" s="455">
        <v>-2.8587999999999987</v>
      </c>
      <c r="U58" s="456">
        <v>-1</v>
      </c>
      <c r="V58" s="457">
        <v>-2572.9199999999987</v>
      </c>
      <c r="W58" s="457">
        <v>-300</v>
      </c>
      <c r="X58" s="458">
        <v>25200</v>
      </c>
      <c r="Y58" s="458">
        <v>0</v>
      </c>
      <c r="Z58" s="459" t="e">
        <v>#VALUE!</v>
      </c>
      <c r="AA58" s="459">
        <v>300</v>
      </c>
      <c r="AB58" s="450" t="s">
        <v>224</v>
      </c>
      <c r="AC58" s="460">
        <v>10093</v>
      </c>
      <c r="AD58" s="450">
        <v>400017</v>
      </c>
      <c r="AE58" s="450" t="s">
        <v>1080</v>
      </c>
      <c r="AF58" s="461" t="s">
        <v>1081</v>
      </c>
      <c r="AG58" s="461" t="s">
        <v>1082</v>
      </c>
      <c r="AH58" s="450">
        <v>11334</v>
      </c>
      <c r="AI58" s="462">
        <v>1</v>
      </c>
      <c r="AJ58" s="463" t="s">
        <v>1082</v>
      </c>
      <c r="AK58" s="463" t="s">
        <v>1083</v>
      </c>
      <c r="AL58" s="449" t="s">
        <v>1084</v>
      </c>
      <c r="AM58" s="449" t="s">
        <v>1085</v>
      </c>
      <c r="AN58" s="464">
        <v>6943.23</v>
      </c>
      <c r="AP58" s="464">
        <v>6943.23</v>
      </c>
      <c r="AQ58" s="464">
        <v>6943.23</v>
      </c>
      <c r="AR58" s="464">
        <v>6943.23</v>
      </c>
      <c r="AS58" s="450" t="s">
        <v>751</v>
      </c>
      <c r="AT58" s="450" t="s">
        <v>752</v>
      </c>
      <c r="AU58" s="450" t="s">
        <v>753</v>
      </c>
      <c r="AW58" s="466" t="s">
        <v>1081</v>
      </c>
    </row>
    <row r="59" spans="1:49">
      <c r="A59" s="447">
        <v>20137820</v>
      </c>
      <c r="B59" s="469">
        <v>41318</v>
      </c>
      <c r="C59" s="449" t="s">
        <v>743</v>
      </c>
      <c r="D59" s="449" t="s">
        <v>653</v>
      </c>
      <c r="E59" s="449">
        <v>302</v>
      </c>
      <c r="F59" s="449">
        <v>3313</v>
      </c>
      <c r="G59" s="449" t="s">
        <v>366</v>
      </c>
      <c r="H59" s="449" t="s">
        <v>5</v>
      </c>
      <c r="I59" s="449" t="s">
        <v>738</v>
      </c>
      <c r="J59" s="449" t="s">
        <v>744</v>
      </c>
      <c r="K59" s="450" t="s">
        <v>740</v>
      </c>
      <c r="L59" s="451">
        <v>1</v>
      </c>
      <c r="M59" s="452">
        <v>900</v>
      </c>
      <c r="N59" s="452"/>
      <c r="O59" s="453">
        <v>55.731799999999993</v>
      </c>
      <c r="P59" s="453"/>
      <c r="Q59" s="454">
        <v>53</v>
      </c>
      <c r="R59" s="569"/>
      <c r="S59" s="454">
        <v>0</v>
      </c>
      <c r="T59" s="455">
        <v>-2.7317999999999927</v>
      </c>
      <c r="U59" s="456">
        <v>0</v>
      </c>
      <c r="V59" s="457">
        <v>-2458.6199999999935</v>
      </c>
      <c r="W59" s="457">
        <v>0</v>
      </c>
      <c r="X59" s="458">
        <v>47700</v>
      </c>
      <c r="Y59" s="458">
        <v>0</v>
      </c>
      <c r="Z59" s="459" t="e">
        <v>#VALUE!</v>
      </c>
      <c r="AA59" s="459"/>
      <c r="AB59" s="450" t="s">
        <v>224</v>
      </c>
      <c r="AC59" s="460">
        <v>10094</v>
      </c>
      <c r="AD59" s="450">
        <v>400006</v>
      </c>
      <c r="AE59" s="450" t="s">
        <v>1086</v>
      </c>
      <c r="AF59" s="461" t="s">
        <v>1087</v>
      </c>
      <c r="AG59" s="461" t="s">
        <v>1088</v>
      </c>
      <c r="AH59" s="450">
        <v>11334</v>
      </c>
      <c r="AI59" s="462">
        <v>1</v>
      </c>
      <c r="AJ59" s="463" t="s">
        <v>1088</v>
      </c>
      <c r="AK59" s="463" t="s">
        <v>1089</v>
      </c>
      <c r="AL59" s="449" t="s">
        <v>1090</v>
      </c>
      <c r="AM59" s="449" t="s">
        <v>1091</v>
      </c>
      <c r="AN59" s="464">
        <v>12539.655000000001</v>
      </c>
      <c r="AP59" s="464">
        <v>12539.655000000001</v>
      </c>
      <c r="AQ59" s="464">
        <v>12539.655000000004</v>
      </c>
      <c r="AR59" s="464">
        <v>12539.655000000001</v>
      </c>
      <c r="AS59" s="450" t="s">
        <v>751</v>
      </c>
      <c r="AT59" s="450" t="s">
        <v>752</v>
      </c>
      <c r="AU59" s="450" t="s">
        <v>753</v>
      </c>
      <c r="AW59" s="466" t="s">
        <v>1087</v>
      </c>
    </row>
    <row r="60" spans="1:49">
      <c r="A60" s="447">
        <v>20137909</v>
      </c>
      <c r="B60" s="469">
        <v>41318</v>
      </c>
      <c r="C60" s="449" t="s">
        <v>743</v>
      </c>
      <c r="D60" s="449" t="s">
        <v>653</v>
      </c>
      <c r="E60" s="449">
        <v>302</v>
      </c>
      <c r="F60" s="449">
        <v>3314</v>
      </c>
      <c r="G60" s="449" t="s">
        <v>609</v>
      </c>
      <c r="H60" s="449" t="s">
        <v>5</v>
      </c>
      <c r="I60" s="449" t="s">
        <v>738</v>
      </c>
      <c r="J60" s="449" t="s">
        <v>744</v>
      </c>
      <c r="K60" s="450" t="s">
        <v>740</v>
      </c>
      <c r="L60" s="451">
        <v>1</v>
      </c>
      <c r="M60" s="452">
        <v>900</v>
      </c>
      <c r="N60" s="452"/>
      <c r="O60" s="453">
        <v>17.243199999999998</v>
      </c>
      <c r="P60" s="453"/>
      <c r="Q60" s="454">
        <v>16</v>
      </c>
      <c r="R60" s="569"/>
      <c r="S60" s="454">
        <v>0</v>
      </c>
      <c r="T60" s="455">
        <v>-1.2431999999999981</v>
      </c>
      <c r="U60" s="456">
        <v>0</v>
      </c>
      <c r="V60" s="457">
        <v>-1118.8799999999983</v>
      </c>
      <c r="W60" s="457">
        <v>0</v>
      </c>
      <c r="X60" s="458">
        <v>14400</v>
      </c>
      <c r="Y60" s="458">
        <v>0</v>
      </c>
      <c r="Z60" s="459" t="e">
        <v>#VALUE!</v>
      </c>
      <c r="AA60" s="459"/>
      <c r="AB60" s="450" t="s">
        <v>224</v>
      </c>
      <c r="AC60" s="460">
        <v>10095</v>
      </c>
      <c r="AD60" s="450">
        <v>400094</v>
      </c>
      <c r="AE60" s="450" t="s">
        <v>1092</v>
      </c>
      <c r="AF60" s="461" t="s">
        <v>1093</v>
      </c>
      <c r="AG60" s="461" t="s">
        <v>1094</v>
      </c>
      <c r="AH60" s="450">
        <v>11334</v>
      </c>
      <c r="AI60" s="462">
        <v>1</v>
      </c>
      <c r="AJ60" s="463" t="s">
        <v>1094</v>
      </c>
      <c r="AK60" s="463" t="s">
        <v>1095</v>
      </c>
      <c r="AL60" s="449" t="s">
        <v>1096</v>
      </c>
      <c r="AM60" s="449" t="s">
        <v>1097</v>
      </c>
      <c r="AN60" s="464">
        <v>3879.72</v>
      </c>
      <c r="AP60" s="464">
        <v>3879.72</v>
      </c>
      <c r="AQ60" s="464">
        <v>3879.7200000000007</v>
      </c>
      <c r="AR60" s="464">
        <v>3879.72</v>
      </c>
      <c r="AS60" s="450" t="s">
        <v>751</v>
      </c>
      <c r="AT60" s="450" t="s">
        <v>752</v>
      </c>
      <c r="AU60" s="450" t="s">
        <v>753</v>
      </c>
      <c r="AW60" s="466" t="s">
        <v>1093</v>
      </c>
    </row>
    <row r="61" spans="1:49">
      <c r="A61" s="447">
        <v>20137019</v>
      </c>
      <c r="B61" s="469">
        <v>41318</v>
      </c>
      <c r="C61" s="449" t="s">
        <v>743</v>
      </c>
      <c r="D61" s="449" t="s">
        <v>653</v>
      </c>
      <c r="E61" s="449">
        <v>302</v>
      </c>
      <c r="F61" s="449">
        <v>3315</v>
      </c>
      <c r="G61" s="449" t="s">
        <v>605</v>
      </c>
      <c r="H61" s="449" t="s">
        <v>5</v>
      </c>
      <c r="I61" s="449" t="s">
        <v>738</v>
      </c>
      <c r="J61" s="449" t="s">
        <v>744</v>
      </c>
      <c r="K61" s="450" t="s">
        <v>740</v>
      </c>
      <c r="L61" s="451">
        <v>1</v>
      </c>
      <c r="M61" s="452">
        <v>900</v>
      </c>
      <c r="N61" s="452"/>
      <c r="O61" s="453">
        <v>12.059299999999999</v>
      </c>
      <c r="P61" s="453"/>
      <c r="Q61" s="454">
        <v>14</v>
      </c>
      <c r="R61" s="569"/>
      <c r="S61" s="454">
        <v>0</v>
      </c>
      <c r="T61" s="455">
        <v>1.9407000000000014</v>
      </c>
      <c r="U61" s="456">
        <v>0</v>
      </c>
      <c r="V61" s="457">
        <v>1746.6300000000012</v>
      </c>
      <c r="W61" s="457">
        <v>0</v>
      </c>
      <c r="X61" s="458">
        <v>12600</v>
      </c>
      <c r="Y61" s="458">
        <v>0</v>
      </c>
      <c r="Z61" s="459" t="e">
        <v>#VALUE!</v>
      </c>
      <c r="AA61" s="459"/>
      <c r="AB61" s="450" t="s">
        <v>224</v>
      </c>
      <c r="AC61" s="460">
        <v>10099</v>
      </c>
      <c r="AD61" s="450">
        <v>400062</v>
      </c>
      <c r="AE61" s="450" t="s">
        <v>1098</v>
      </c>
      <c r="AF61" s="461" t="s">
        <v>1099</v>
      </c>
      <c r="AG61" s="461" t="s">
        <v>1100</v>
      </c>
      <c r="AH61" s="450">
        <v>11334</v>
      </c>
      <c r="AI61" s="462">
        <v>1</v>
      </c>
      <c r="AJ61" s="463" t="s">
        <v>1100</v>
      </c>
      <c r="AK61" s="463" t="s">
        <v>1101</v>
      </c>
      <c r="AL61" s="449" t="s">
        <v>1102</v>
      </c>
      <c r="AM61" s="449" t="s">
        <v>1103</v>
      </c>
      <c r="AN61" s="464">
        <v>2713.3425000000002</v>
      </c>
      <c r="AP61" s="464">
        <v>2713.3425000000002</v>
      </c>
      <c r="AQ61" s="464">
        <v>2713.3424999999993</v>
      </c>
      <c r="AR61" s="464">
        <v>2713.3425000000002</v>
      </c>
      <c r="AS61" s="450" t="s">
        <v>751</v>
      </c>
      <c r="AT61" s="450" t="s">
        <v>752</v>
      </c>
      <c r="AU61" s="450" t="s">
        <v>753</v>
      </c>
      <c r="AW61" s="466" t="s">
        <v>1099</v>
      </c>
    </row>
    <row r="62" spans="1:49">
      <c r="A62" s="447">
        <v>20138710</v>
      </c>
      <c r="B62" s="469">
        <v>41318</v>
      </c>
      <c r="C62" s="449" t="s">
        <v>743</v>
      </c>
      <c r="D62" s="449" t="s">
        <v>653</v>
      </c>
      <c r="E62" s="449">
        <v>302</v>
      </c>
      <c r="F62" s="449">
        <v>3316</v>
      </c>
      <c r="G62" s="449" t="s">
        <v>375</v>
      </c>
      <c r="H62" s="449" t="s">
        <v>5</v>
      </c>
      <c r="I62" s="449" t="s">
        <v>738</v>
      </c>
      <c r="J62" s="449" t="s">
        <v>744</v>
      </c>
      <c r="K62" s="450" t="s">
        <v>740</v>
      </c>
      <c r="L62" s="451">
        <v>1</v>
      </c>
      <c r="M62" s="452">
        <v>900</v>
      </c>
      <c r="N62" s="452"/>
      <c r="O62" s="453">
        <v>15.288</v>
      </c>
      <c r="P62" s="453"/>
      <c r="Q62" s="454">
        <v>17</v>
      </c>
      <c r="R62" s="569"/>
      <c r="S62" s="454">
        <v>0</v>
      </c>
      <c r="T62" s="455">
        <v>1.7119999999999997</v>
      </c>
      <c r="U62" s="456">
        <v>0</v>
      </c>
      <c r="V62" s="457">
        <v>1540.7999999999997</v>
      </c>
      <c r="W62" s="457">
        <v>0</v>
      </c>
      <c r="X62" s="458">
        <v>15300</v>
      </c>
      <c r="Y62" s="458">
        <v>0</v>
      </c>
      <c r="Z62" s="459" t="e">
        <v>#VALUE!</v>
      </c>
      <c r="AA62" s="459"/>
      <c r="AB62" s="450" t="s">
        <v>224</v>
      </c>
      <c r="AC62" s="460">
        <v>10100</v>
      </c>
      <c r="AD62" s="450">
        <v>400100</v>
      </c>
      <c r="AE62" s="450" t="s">
        <v>1104</v>
      </c>
      <c r="AF62" s="461" t="s">
        <v>1105</v>
      </c>
      <c r="AG62" s="461" t="s">
        <v>1106</v>
      </c>
      <c r="AH62" s="450">
        <v>11334</v>
      </c>
      <c r="AI62" s="462">
        <v>1</v>
      </c>
      <c r="AJ62" s="463" t="s">
        <v>1106</v>
      </c>
      <c r="AK62" s="463" t="s">
        <v>1107</v>
      </c>
      <c r="AL62" s="449" t="s">
        <v>1108</v>
      </c>
      <c r="AM62" s="449" t="s">
        <v>1109</v>
      </c>
      <c r="AN62" s="464">
        <v>3439.8</v>
      </c>
      <c r="AP62" s="464">
        <v>3439.8</v>
      </c>
      <c r="AQ62" s="464">
        <v>3439.8000000000011</v>
      </c>
      <c r="AR62" s="464">
        <v>3439.8</v>
      </c>
      <c r="AS62" s="450" t="s">
        <v>751</v>
      </c>
      <c r="AT62" s="450" t="s">
        <v>752</v>
      </c>
      <c r="AU62" s="450" t="s">
        <v>753</v>
      </c>
      <c r="AW62" s="466" t="s">
        <v>1105</v>
      </c>
    </row>
    <row r="63" spans="1:49">
      <c r="A63" s="447">
        <v>20131501</v>
      </c>
      <c r="B63" s="469">
        <v>41318</v>
      </c>
      <c r="C63" s="449" t="s">
        <v>743</v>
      </c>
      <c r="D63" s="449" t="s">
        <v>653</v>
      </c>
      <c r="E63" s="449">
        <v>302</v>
      </c>
      <c r="F63" s="449">
        <v>3317</v>
      </c>
      <c r="G63" s="449" t="s">
        <v>328</v>
      </c>
      <c r="H63" s="449" t="s">
        <v>5</v>
      </c>
      <c r="I63" s="449" t="s">
        <v>738</v>
      </c>
      <c r="J63" s="449" t="s">
        <v>744</v>
      </c>
      <c r="K63" s="450" t="s">
        <v>740</v>
      </c>
      <c r="L63" s="451">
        <v>1</v>
      </c>
      <c r="M63" s="452">
        <v>900</v>
      </c>
      <c r="N63" s="452">
        <v>300</v>
      </c>
      <c r="O63" s="453">
        <v>37.009399999999999</v>
      </c>
      <c r="P63" s="453">
        <v>1</v>
      </c>
      <c r="Q63" s="454">
        <v>44</v>
      </c>
      <c r="R63" s="569"/>
      <c r="S63" s="454">
        <v>0</v>
      </c>
      <c r="T63" s="455">
        <v>6.9906000000000006</v>
      </c>
      <c r="U63" s="456">
        <v>-1</v>
      </c>
      <c r="V63" s="457">
        <v>6291.5400000000009</v>
      </c>
      <c r="W63" s="457">
        <v>-300</v>
      </c>
      <c r="X63" s="458">
        <v>39600</v>
      </c>
      <c r="Y63" s="458">
        <v>0</v>
      </c>
      <c r="Z63" s="459" t="e">
        <v>#VALUE!</v>
      </c>
      <c r="AA63" s="459">
        <v>300</v>
      </c>
      <c r="AB63" s="450" t="s">
        <v>224</v>
      </c>
      <c r="AC63" s="460">
        <v>10042</v>
      </c>
      <c r="AD63" s="450">
        <v>400015</v>
      </c>
      <c r="AE63" s="450" t="s">
        <v>1110</v>
      </c>
      <c r="AF63" s="461" t="s">
        <v>1111</v>
      </c>
      <c r="AG63" s="461" t="s">
        <v>1112</v>
      </c>
      <c r="AH63" s="450">
        <v>11334</v>
      </c>
      <c r="AI63" s="462">
        <v>1</v>
      </c>
      <c r="AJ63" s="463" t="s">
        <v>1112</v>
      </c>
      <c r="AK63" s="463" t="s">
        <v>1113</v>
      </c>
      <c r="AL63" s="449" t="s">
        <v>1114</v>
      </c>
      <c r="AM63" s="449" t="s">
        <v>1115</v>
      </c>
      <c r="AN63" s="464">
        <v>8327.1149999999998</v>
      </c>
      <c r="AP63" s="464">
        <v>8327.1149999999998</v>
      </c>
      <c r="AQ63" s="464">
        <v>8327.1150000000034</v>
      </c>
      <c r="AR63" s="464">
        <v>8327.1149999999998</v>
      </c>
      <c r="AS63" s="450" t="s">
        <v>751</v>
      </c>
      <c r="AT63" s="450" t="s">
        <v>752</v>
      </c>
      <c r="AU63" s="450" t="s">
        <v>753</v>
      </c>
      <c r="AW63" s="466" t="s">
        <v>1111</v>
      </c>
    </row>
    <row r="64" spans="1:49">
      <c r="A64" s="447">
        <v>20138354</v>
      </c>
      <c r="B64" s="469">
        <v>41318</v>
      </c>
      <c r="C64" s="449" t="s">
        <v>743</v>
      </c>
      <c r="D64" s="449" t="s">
        <v>653</v>
      </c>
      <c r="E64" s="449">
        <v>302</v>
      </c>
      <c r="F64" s="449">
        <v>3500</v>
      </c>
      <c r="G64" s="449" t="s">
        <v>371</v>
      </c>
      <c r="H64" s="449" t="s">
        <v>768</v>
      </c>
      <c r="I64" s="449" t="s">
        <v>738</v>
      </c>
      <c r="J64" s="449" t="s">
        <v>744</v>
      </c>
      <c r="K64" s="450" t="s">
        <v>740</v>
      </c>
      <c r="L64" s="451">
        <v>1</v>
      </c>
      <c r="M64" s="452">
        <v>900</v>
      </c>
      <c r="N64" s="452">
        <v>300</v>
      </c>
      <c r="O64" s="453">
        <v>22.868400000000001</v>
      </c>
      <c r="P64" s="453"/>
      <c r="Q64" s="454">
        <v>25</v>
      </c>
      <c r="R64" s="569"/>
      <c r="S64" s="454">
        <v>1</v>
      </c>
      <c r="T64" s="455">
        <v>2.1315999999999988</v>
      </c>
      <c r="U64" s="456">
        <v>1</v>
      </c>
      <c r="V64" s="457">
        <v>1918.4399999999989</v>
      </c>
      <c r="W64" s="457">
        <v>300</v>
      </c>
      <c r="X64" s="458">
        <v>22500</v>
      </c>
      <c r="Y64" s="458">
        <v>300</v>
      </c>
      <c r="Z64" s="459" t="e">
        <v>#VALUE!</v>
      </c>
      <c r="AA64" s="459"/>
      <c r="AB64" s="450" t="s">
        <v>224</v>
      </c>
      <c r="AC64" s="460">
        <v>10043</v>
      </c>
      <c r="AD64" s="450">
        <v>400023</v>
      </c>
      <c r="AE64" s="450" t="s">
        <v>1116</v>
      </c>
      <c r="AF64" s="461" t="s">
        <v>1117</v>
      </c>
      <c r="AG64" s="461" t="s">
        <v>1118</v>
      </c>
      <c r="AH64" s="450">
        <v>11334</v>
      </c>
      <c r="AI64" s="462">
        <v>1</v>
      </c>
      <c r="AJ64" s="463" t="s">
        <v>1118</v>
      </c>
      <c r="AK64" s="463" t="s">
        <v>1119</v>
      </c>
      <c r="AL64" s="449" t="s">
        <v>1120</v>
      </c>
      <c r="AM64" s="449" t="s">
        <v>1121</v>
      </c>
      <c r="AN64" s="464">
        <v>5145.3900000000003</v>
      </c>
      <c r="AP64" s="464">
        <v>5145.3900000000003</v>
      </c>
      <c r="AQ64" s="464">
        <v>5145.3900000000021</v>
      </c>
      <c r="AR64" s="464">
        <v>5145.3900000000003</v>
      </c>
      <c r="AS64" s="450" t="s">
        <v>751</v>
      </c>
      <c r="AT64" s="450" t="s">
        <v>752</v>
      </c>
      <c r="AU64" s="450" t="s">
        <v>775</v>
      </c>
      <c r="AW64" s="466" t="s">
        <v>1117</v>
      </c>
    </row>
    <row r="65" spans="1:49">
      <c r="A65" s="447">
        <v>20136307</v>
      </c>
      <c r="B65" s="469">
        <v>41318</v>
      </c>
      <c r="C65" s="449" t="s">
        <v>743</v>
      </c>
      <c r="D65" s="449" t="s">
        <v>653</v>
      </c>
      <c r="E65" s="449">
        <v>302</v>
      </c>
      <c r="F65" s="449">
        <v>3501</v>
      </c>
      <c r="G65" s="449" t="s">
        <v>87</v>
      </c>
      <c r="H65" s="449" t="s">
        <v>5</v>
      </c>
      <c r="I65" s="449" t="s">
        <v>738</v>
      </c>
      <c r="J65" s="449" t="s">
        <v>744</v>
      </c>
      <c r="K65" s="450" t="s">
        <v>740</v>
      </c>
      <c r="L65" s="451">
        <v>1</v>
      </c>
      <c r="M65" s="452">
        <v>900</v>
      </c>
      <c r="N65" s="452"/>
      <c r="O65" s="453">
        <v>45.219199999999994</v>
      </c>
      <c r="P65" s="453"/>
      <c r="Q65" s="454">
        <v>45</v>
      </c>
      <c r="R65" s="569"/>
      <c r="S65" s="454">
        <v>0</v>
      </c>
      <c r="T65" s="455">
        <v>-0.21919999999999362</v>
      </c>
      <c r="U65" s="456">
        <v>0</v>
      </c>
      <c r="V65" s="457">
        <v>-197.27999999999426</v>
      </c>
      <c r="W65" s="457">
        <v>0</v>
      </c>
      <c r="X65" s="458">
        <v>40500</v>
      </c>
      <c r="Y65" s="458">
        <v>0</v>
      </c>
      <c r="Z65" s="459" t="e">
        <v>#VALUE!</v>
      </c>
      <c r="AA65" s="459"/>
      <c r="AB65" s="450" t="s">
        <v>224</v>
      </c>
      <c r="AC65" s="460">
        <v>10085</v>
      </c>
      <c r="AD65" s="450">
        <v>400003</v>
      </c>
      <c r="AE65" s="450" t="s">
        <v>1122</v>
      </c>
      <c r="AF65" s="461" t="s">
        <v>1123</v>
      </c>
      <c r="AG65" s="461" t="s">
        <v>1124</v>
      </c>
      <c r="AH65" s="450">
        <v>11334</v>
      </c>
      <c r="AI65" s="462">
        <v>1</v>
      </c>
      <c r="AJ65" s="463" t="s">
        <v>1124</v>
      </c>
      <c r="AK65" s="463" t="s">
        <v>1125</v>
      </c>
      <c r="AL65" s="449" t="s">
        <v>1126</v>
      </c>
      <c r="AM65" s="449" t="s">
        <v>1127</v>
      </c>
      <c r="AN65" s="464">
        <v>10174.32</v>
      </c>
      <c r="AP65" s="464">
        <v>10174.32</v>
      </c>
      <c r="AQ65" s="464">
        <v>10174.32</v>
      </c>
      <c r="AR65" s="464">
        <v>10174.32</v>
      </c>
      <c r="AS65" s="450" t="s">
        <v>751</v>
      </c>
      <c r="AT65" s="450" t="s">
        <v>752</v>
      </c>
      <c r="AU65" s="450" t="s">
        <v>753</v>
      </c>
      <c r="AW65" s="466" t="s">
        <v>1123</v>
      </c>
    </row>
    <row r="66" spans="1:49">
      <c r="A66" s="447">
        <v>20136930</v>
      </c>
      <c r="B66" s="469">
        <v>41318</v>
      </c>
      <c r="C66" s="449" t="s">
        <v>743</v>
      </c>
      <c r="D66" s="449" t="s">
        <v>653</v>
      </c>
      <c r="E66" s="449">
        <v>302</v>
      </c>
      <c r="F66" s="449">
        <v>3502</v>
      </c>
      <c r="G66" s="449" t="s">
        <v>360</v>
      </c>
      <c r="H66" s="449" t="s">
        <v>5</v>
      </c>
      <c r="I66" s="449" t="s">
        <v>738</v>
      </c>
      <c r="J66" s="449" t="s">
        <v>744</v>
      </c>
      <c r="K66" s="450" t="s">
        <v>740</v>
      </c>
      <c r="L66" s="451">
        <v>1</v>
      </c>
      <c r="M66" s="452">
        <v>900</v>
      </c>
      <c r="N66" s="452"/>
      <c r="O66" s="453">
        <v>72.449799999999996</v>
      </c>
      <c r="P66" s="453"/>
      <c r="Q66" s="454">
        <v>54</v>
      </c>
      <c r="R66" s="569"/>
      <c r="S66" s="454">
        <v>0</v>
      </c>
      <c r="T66" s="455">
        <v>-18.449799999999996</v>
      </c>
      <c r="U66" s="456">
        <v>0</v>
      </c>
      <c r="V66" s="457">
        <v>-16604.819999999996</v>
      </c>
      <c r="W66" s="457">
        <v>0</v>
      </c>
      <c r="X66" s="458">
        <v>48600</v>
      </c>
      <c r="Y66" s="458">
        <v>0</v>
      </c>
      <c r="Z66" s="459" t="e">
        <v>#VALUE!</v>
      </c>
      <c r="AA66" s="459"/>
      <c r="AB66" s="450" t="s">
        <v>224</v>
      </c>
      <c r="AC66" s="460">
        <v>10087</v>
      </c>
      <c r="AD66" s="450">
        <v>400096</v>
      </c>
      <c r="AE66" s="450" t="s">
        <v>1128</v>
      </c>
      <c r="AF66" s="461" t="s">
        <v>1129</v>
      </c>
      <c r="AG66" s="461" t="s">
        <v>1130</v>
      </c>
      <c r="AH66" s="450">
        <v>11334</v>
      </c>
      <c r="AI66" s="462">
        <v>1</v>
      </c>
      <c r="AJ66" s="463" t="s">
        <v>1130</v>
      </c>
      <c r="AK66" s="463" t="s">
        <v>1131</v>
      </c>
      <c r="AL66" s="449" t="s">
        <v>1132</v>
      </c>
      <c r="AM66" s="449" t="s">
        <v>1133</v>
      </c>
      <c r="AN66" s="464">
        <v>16301.205</v>
      </c>
      <c r="AP66" s="464">
        <v>16301.205</v>
      </c>
      <c r="AQ66" s="464">
        <v>16301.204999999996</v>
      </c>
      <c r="AR66" s="464">
        <v>16301.205</v>
      </c>
      <c r="AS66" s="450" t="s">
        <v>751</v>
      </c>
      <c r="AT66" s="450" t="s">
        <v>752</v>
      </c>
      <c r="AU66" s="450" t="s">
        <v>753</v>
      </c>
      <c r="AW66" s="466" t="s">
        <v>1129</v>
      </c>
    </row>
    <row r="67" spans="1:49">
      <c r="A67" s="447">
        <v>20137108</v>
      </c>
      <c r="B67" s="469">
        <v>41318</v>
      </c>
      <c r="C67" s="449" t="s">
        <v>743</v>
      </c>
      <c r="D67" s="449" t="s">
        <v>653</v>
      </c>
      <c r="E67" s="449">
        <v>302</v>
      </c>
      <c r="F67" s="449">
        <v>3504</v>
      </c>
      <c r="G67" s="449" t="s">
        <v>361</v>
      </c>
      <c r="H67" s="449" t="s">
        <v>5</v>
      </c>
      <c r="I67" s="449" t="s">
        <v>738</v>
      </c>
      <c r="J67" s="449" t="s">
        <v>744</v>
      </c>
      <c r="K67" s="450" t="s">
        <v>740</v>
      </c>
      <c r="L67" s="451">
        <v>1</v>
      </c>
      <c r="M67" s="452">
        <v>900</v>
      </c>
      <c r="N67" s="452"/>
      <c r="O67" s="453">
        <v>57.556400000000011</v>
      </c>
      <c r="P67" s="453"/>
      <c r="Q67" s="454">
        <v>62</v>
      </c>
      <c r="R67" s="569"/>
      <c r="S67" s="454">
        <v>0</v>
      </c>
      <c r="T67" s="455">
        <v>4.4435999999999893</v>
      </c>
      <c r="U67" s="456">
        <v>0</v>
      </c>
      <c r="V67" s="457">
        <v>3999.2399999999902</v>
      </c>
      <c r="W67" s="457">
        <v>0</v>
      </c>
      <c r="X67" s="458">
        <v>55800</v>
      </c>
      <c r="Y67" s="458">
        <v>0</v>
      </c>
      <c r="Z67" s="459" t="e">
        <v>#VALUE!</v>
      </c>
      <c r="AA67" s="459"/>
      <c r="AB67" s="450" t="s">
        <v>224</v>
      </c>
      <c r="AC67" s="460">
        <v>10088</v>
      </c>
      <c r="AD67" s="450">
        <v>400064</v>
      </c>
      <c r="AE67" s="450" t="s">
        <v>1134</v>
      </c>
      <c r="AF67" s="461" t="s">
        <v>1135</v>
      </c>
      <c r="AG67" s="461" t="s">
        <v>1136</v>
      </c>
      <c r="AH67" s="450">
        <v>11334</v>
      </c>
      <c r="AI67" s="462">
        <v>1</v>
      </c>
      <c r="AJ67" s="463" t="s">
        <v>1136</v>
      </c>
      <c r="AK67" s="463" t="s">
        <v>1137</v>
      </c>
      <c r="AL67" s="449" t="s">
        <v>1138</v>
      </c>
      <c r="AM67" s="449" t="s">
        <v>1139</v>
      </c>
      <c r="AN67" s="464">
        <v>12950.19</v>
      </c>
      <c r="AP67" s="464">
        <v>12950.19</v>
      </c>
      <c r="AQ67" s="464">
        <v>12950.189999999997</v>
      </c>
      <c r="AR67" s="464">
        <v>12950.19</v>
      </c>
      <c r="AS67" s="450" t="s">
        <v>751</v>
      </c>
      <c r="AT67" s="450" t="s">
        <v>752</v>
      </c>
      <c r="AU67" s="450" t="s">
        <v>753</v>
      </c>
      <c r="AW67" s="466" t="s">
        <v>1135</v>
      </c>
    </row>
    <row r="68" spans="1:49">
      <c r="A68" s="447">
        <v>20138087</v>
      </c>
      <c r="B68" s="469">
        <v>41318</v>
      </c>
      <c r="C68" s="449" t="s">
        <v>743</v>
      </c>
      <c r="D68" s="449" t="s">
        <v>653</v>
      </c>
      <c r="E68" s="449">
        <v>302</v>
      </c>
      <c r="F68" s="449">
        <v>3506</v>
      </c>
      <c r="G68" s="449" t="s">
        <v>368</v>
      </c>
      <c r="H68" s="449" t="s">
        <v>5</v>
      </c>
      <c r="I68" s="449" t="s">
        <v>738</v>
      </c>
      <c r="J68" s="449" t="s">
        <v>744</v>
      </c>
      <c r="K68" s="450" t="s">
        <v>740</v>
      </c>
      <c r="L68" s="451">
        <v>1</v>
      </c>
      <c r="M68" s="452">
        <v>900</v>
      </c>
      <c r="N68" s="452"/>
      <c r="O68" s="453">
        <v>40.752599999999994</v>
      </c>
      <c r="P68" s="453"/>
      <c r="Q68" s="454">
        <v>47</v>
      </c>
      <c r="R68" s="569"/>
      <c r="S68" s="454">
        <v>0</v>
      </c>
      <c r="T68" s="455">
        <v>6.2474000000000061</v>
      </c>
      <c r="U68" s="456">
        <v>0</v>
      </c>
      <c r="V68" s="457">
        <v>5622.6600000000053</v>
      </c>
      <c r="W68" s="457">
        <v>0</v>
      </c>
      <c r="X68" s="458">
        <v>42300</v>
      </c>
      <c r="Y68" s="458">
        <v>0</v>
      </c>
      <c r="Z68" s="459" t="e">
        <v>#VALUE!</v>
      </c>
      <c r="AA68" s="459"/>
      <c r="AB68" s="450" t="s">
        <v>224</v>
      </c>
      <c r="AC68" s="460">
        <v>10096</v>
      </c>
      <c r="AD68" s="450">
        <v>400009</v>
      </c>
      <c r="AE68" s="450" t="s">
        <v>1140</v>
      </c>
      <c r="AF68" s="461" t="s">
        <v>1141</v>
      </c>
      <c r="AG68" s="461" t="s">
        <v>1142</v>
      </c>
      <c r="AH68" s="450">
        <v>11334</v>
      </c>
      <c r="AI68" s="462">
        <v>1</v>
      </c>
      <c r="AJ68" s="463" t="s">
        <v>1142</v>
      </c>
      <c r="AK68" s="463" t="s">
        <v>1143</v>
      </c>
      <c r="AL68" s="449" t="s">
        <v>1144</v>
      </c>
      <c r="AM68" s="449" t="s">
        <v>1145</v>
      </c>
      <c r="AN68" s="464">
        <v>9169.3349999999991</v>
      </c>
      <c r="AP68" s="464">
        <v>9169.3349999999991</v>
      </c>
      <c r="AQ68" s="464">
        <v>9169.3349999999991</v>
      </c>
      <c r="AR68" s="464">
        <v>9169.3349999999991</v>
      </c>
      <c r="AS68" s="450" t="s">
        <v>751</v>
      </c>
      <c r="AT68" s="450" t="s">
        <v>752</v>
      </c>
      <c r="AU68" s="450" t="s">
        <v>753</v>
      </c>
      <c r="AW68" s="466" t="s">
        <v>1141</v>
      </c>
    </row>
    <row r="69" spans="1:49">
      <c r="A69" s="447">
        <v>20137998</v>
      </c>
      <c r="B69" s="469">
        <v>41318</v>
      </c>
      <c r="C69" s="449" t="s">
        <v>743</v>
      </c>
      <c r="D69" s="449" t="s">
        <v>653</v>
      </c>
      <c r="E69" s="449">
        <v>302</v>
      </c>
      <c r="F69" s="449">
        <v>3507</v>
      </c>
      <c r="G69" s="449" t="s">
        <v>367</v>
      </c>
      <c r="H69" s="449" t="s">
        <v>5</v>
      </c>
      <c r="I69" s="449" t="s">
        <v>738</v>
      </c>
      <c r="J69" s="449" t="s">
        <v>744</v>
      </c>
      <c r="K69" s="450" t="s">
        <v>740</v>
      </c>
      <c r="L69" s="451">
        <v>1</v>
      </c>
      <c r="M69" s="452">
        <v>900</v>
      </c>
      <c r="N69" s="452"/>
      <c r="O69" s="453">
        <v>34.530900000000003</v>
      </c>
      <c r="P69" s="453"/>
      <c r="Q69" s="454">
        <v>28</v>
      </c>
      <c r="R69" s="569"/>
      <c r="S69" s="454">
        <v>0</v>
      </c>
      <c r="T69" s="455">
        <v>-6.5309000000000026</v>
      </c>
      <c r="U69" s="456">
        <v>0</v>
      </c>
      <c r="V69" s="457">
        <v>-5877.8100000000022</v>
      </c>
      <c r="W69" s="457">
        <v>0</v>
      </c>
      <c r="X69" s="458">
        <v>25200</v>
      </c>
      <c r="Y69" s="458">
        <v>0</v>
      </c>
      <c r="Z69" s="459" t="e">
        <v>#VALUE!</v>
      </c>
      <c r="AA69" s="459"/>
      <c r="AB69" s="450" t="s">
        <v>224</v>
      </c>
      <c r="AC69" s="460">
        <v>10108</v>
      </c>
      <c r="AD69" s="450">
        <v>400037</v>
      </c>
      <c r="AE69" s="450" t="s">
        <v>1146</v>
      </c>
      <c r="AF69" s="461" t="s">
        <v>1147</v>
      </c>
      <c r="AG69" s="461" t="s">
        <v>1148</v>
      </c>
      <c r="AH69" s="450">
        <v>11334</v>
      </c>
      <c r="AI69" s="462">
        <v>1</v>
      </c>
      <c r="AJ69" s="463" t="s">
        <v>1148</v>
      </c>
      <c r="AK69" s="463" t="s">
        <v>1149</v>
      </c>
      <c r="AL69" s="449" t="s">
        <v>1150</v>
      </c>
      <c r="AM69" s="449" t="s">
        <v>1151</v>
      </c>
      <c r="AN69" s="464">
        <v>7769.4525000000003</v>
      </c>
      <c r="AP69" s="464">
        <v>7769.4525000000003</v>
      </c>
      <c r="AQ69" s="464">
        <v>7769.4525000000021</v>
      </c>
      <c r="AR69" s="464">
        <v>7769.4525000000003</v>
      </c>
      <c r="AS69" s="450" t="s">
        <v>751</v>
      </c>
      <c r="AT69" s="450" t="s">
        <v>752</v>
      </c>
      <c r="AU69" s="450" t="s">
        <v>753</v>
      </c>
      <c r="AW69" s="466" t="s">
        <v>1147</v>
      </c>
    </row>
    <row r="70" spans="1:49">
      <c r="A70" s="447">
        <v>20137375</v>
      </c>
      <c r="B70" s="469">
        <v>41318</v>
      </c>
      <c r="C70" s="449" t="s">
        <v>743</v>
      </c>
      <c r="D70" s="449" t="s">
        <v>653</v>
      </c>
      <c r="E70" s="449">
        <v>302</v>
      </c>
      <c r="F70" s="449">
        <v>3508</v>
      </c>
      <c r="G70" s="449" t="s">
        <v>362</v>
      </c>
      <c r="H70" s="449" t="s">
        <v>768</v>
      </c>
      <c r="I70" s="449" t="s">
        <v>738</v>
      </c>
      <c r="J70" s="449" t="s">
        <v>744</v>
      </c>
      <c r="K70" s="450" t="s">
        <v>740</v>
      </c>
      <c r="L70" s="451">
        <v>1</v>
      </c>
      <c r="M70" s="452">
        <v>900</v>
      </c>
      <c r="N70" s="452">
        <v>300</v>
      </c>
      <c r="O70" s="453">
        <v>31.3492</v>
      </c>
      <c r="P70" s="453"/>
      <c r="Q70" s="454">
        <v>23</v>
      </c>
      <c r="R70" s="569"/>
      <c r="S70" s="454">
        <v>9</v>
      </c>
      <c r="T70" s="455">
        <v>-8.3491999999999997</v>
      </c>
      <c r="U70" s="456">
        <v>9</v>
      </c>
      <c r="V70" s="457">
        <v>-7514.28</v>
      </c>
      <c r="W70" s="457">
        <v>2700</v>
      </c>
      <c r="X70" s="458">
        <v>20700</v>
      </c>
      <c r="Y70" s="458">
        <v>2700</v>
      </c>
      <c r="Z70" s="459" t="e">
        <v>#VALUE!</v>
      </c>
      <c r="AA70" s="459"/>
      <c r="AB70" s="450" t="s">
        <v>224</v>
      </c>
      <c r="AC70" s="460">
        <v>10111</v>
      </c>
      <c r="AD70" s="450">
        <v>400022</v>
      </c>
      <c r="AE70" s="450" t="s">
        <v>1152</v>
      </c>
      <c r="AF70" s="461" t="s">
        <v>1153</v>
      </c>
      <c r="AG70" s="461" t="s">
        <v>1154</v>
      </c>
      <c r="AH70" s="450">
        <v>11334</v>
      </c>
      <c r="AI70" s="462">
        <v>1</v>
      </c>
      <c r="AJ70" s="463" t="s">
        <v>1154</v>
      </c>
      <c r="AK70" s="463" t="s">
        <v>1155</v>
      </c>
      <c r="AL70" s="449" t="s">
        <v>1156</v>
      </c>
      <c r="AM70" s="449" t="s">
        <v>1157</v>
      </c>
      <c r="AN70" s="464">
        <v>7053.57</v>
      </c>
      <c r="AP70" s="464">
        <v>7053.57</v>
      </c>
      <c r="AQ70" s="464">
        <v>7053.57</v>
      </c>
      <c r="AR70" s="464">
        <v>7053.57</v>
      </c>
      <c r="AS70" s="450" t="s">
        <v>751</v>
      </c>
      <c r="AT70" s="450" t="s">
        <v>752</v>
      </c>
      <c r="AU70" s="450" t="s">
        <v>775</v>
      </c>
      <c r="AW70" s="466" t="s">
        <v>1153</v>
      </c>
    </row>
    <row r="71" spans="1:49">
      <c r="A71" s="447">
        <v>20137464</v>
      </c>
      <c r="B71" s="469">
        <v>41318</v>
      </c>
      <c r="C71" s="449" t="s">
        <v>743</v>
      </c>
      <c r="D71" s="449" t="s">
        <v>653</v>
      </c>
      <c r="E71" s="449">
        <v>302</v>
      </c>
      <c r="F71" s="449">
        <v>3509</v>
      </c>
      <c r="G71" s="449" t="s">
        <v>363</v>
      </c>
      <c r="H71" s="449" t="s">
        <v>760</v>
      </c>
      <c r="I71" s="449" t="s">
        <v>738</v>
      </c>
      <c r="J71" s="449" t="s">
        <v>744</v>
      </c>
      <c r="K71" s="450" t="s">
        <v>740</v>
      </c>
      <c r="L71" s="451">
        <v>1</v>
      </c>
      <c r="M71" s="452">
        <v>900</v>
      </c>
      <c r="N71" s="452">
        <v>300</v>
      </c>
      <c r="O71" s="453">
        <v>47.575000000000003</v>
      </c>
      <c r="P71" s="453"/>
      <c r="Q71" s="454">
        <v>48</v>
      </c>
      <c r="R71" s="569"/>
      <c r="S71" s="454">
        <v>2</v>
      </c>
      <c r="T71" s="455">
        <v>0.42499999999999716</v>
      </c>
      <c r="U71" s="456">
        <v>2</v>
      </c>
      <c r="V71" s="457">
        <v>382.49999999999744</v>
      </c>
      <c r="W71" s="457">
        <v>600</v>
      </c>
      <c r="X71" s="458">
        <v>43200</v>
      </c>
      <c r="Y71" s="458">
        <v>600</v>
      </c>
      <c r="Z71" s="459" t="e">
        <v>#VALUE!</v>
      </c>
      <c r="AA71" s="459"/>
      <c r="AB71" s="450" t="s">
        <v>224</v>
      </c>
      <c r="AC71" s="460">
        <v>10107</v>
      </c>
      <c r="AD71" s="450">
        <v>400066</v>
      </c>
      <c r="AE71" s="450" t="s">
        <v>1158</v>
      </c>
      <c r="AF71" s="461" t="s">
        <v>1159</v>
      </c>
      <c r="AG71" s="461" t="s">
        <v>1160</v>
      </c>
      <c r="AH71" s="450">
        <v>11334</v>
      </c>
      <c r="AI71" s="462">
        <v>1</v>
      </c>
      <c r="AJ71" s="463" t="s">
        <v>1160</v>
      </c>
      <c r="AK71" s="463" t="s">
        <v>1161</v>
      </c>
      <c r="AL71" s="449" t="s">
        <v>1162</v>
      </c>
      <c r="AM71" s="449" t="s">
        <v>1163</v>
      </c>
      <c r="AN71" s="464">
        <v>10704.375</v>
      </c>
      <c r="AP71" s="464">
        <v>10704.375</v>
      </c>
      <c r="AQ71" s="464">
        <v>10704.375</v>
      </c>
      <c r="AR71" s="464">
        <v>10704.375</v>
      </c>
      <c r="AS71" s="450" t="s">
        <v>751</v>
      </c>
      <c r="AT71" s="450" t="s">
        <v>752</v>
      </c>
      <c r="AU71" s="450" t="s">
        <v>767</v>
      </c>
      <c r="AW71" s="466" t="s">
        <v>1159</v>
      </c>
    </row>
    <row r="72" spans="1:49">
      <c r="A72" s="447">
        <v>20136841</v>
      </c>
      <c r="B72" s="469">
        <v>41318</v>
      </c>
      <c r="C72" s="449" t="s">
        <v>743</v>
      </c>
      <c r="D72" s="449" t="s">
        <v>653</v>
      </c>
      <c r="E72" s="449">
        <v>302</v>
      </c>
      <c r="F72" s="449">
        <v>3510</v>
      </c>
      <c r="G72" s="449" t="s">
        <v>359</v>
      </c>
      <c r="H72" s="449" t="s">
        <v>5</v>
      </c>
      <c r="I72" s="449" t="s">
        <v>738</v>
      </c>
      <c r="J72" s="449" t="s">
        <v>744</v>
      </c>
      <c r="K72" s="450" t="s">
        <v>740</v>
      </c>
      <c r="L72" s="451">
        <v>1</v>
      </c>
      <c r="M72" s="452">
        <v>900</v>
      </c>
      <c r="N72" s="452"/>
      <c r="O72" s="453">
        <v>37.002000000000002</v>
      </c>
      <c r="P72" s="453"/>
      <c r="Q72" s="454">
        <v>39</v>
      </c>
      <c r="R72" s="569"/>
      <c r="S72" s="454">
        <v>0</v>
      </c>
      <c r="T72" s="455">
        <v>1.9979999999999976</v>
      </c>
      <c r="U72" s="456">
        <v>0</v>
      </c>
      <c r="V72" s="457">
        <v>1798.1999999999978</v>
      </c>
      <c r="W72" s="457">
        <v>0</v>
      </c>
      <c r="X72" s="458">
        <v>35100</v>
      </c>
      <c r="Y72" s="458">
        <v>0</v>
      </c>
      <c r="Z72" s="459" t="e">
        <v>#VALUE!</v>
      </c>
      <c r="AA72" s="459"/>
      <c r="AB72" s="450" t="s">
        <v>224</v>
      </c>
      <c r="AC72" s="460">
        <v>10110</v>
      </c>
      <c r="AD72" s="450">
        <v>400071</v>
      </c>
      <c r="AE72" s="450" t="s">
        <v>1164</v>
      </c>
      <c r="AF72" s="461" t="s">
        <v>1165</v>
      </c>
      <c r="AG72" s="461" t="s">
        <v>1166</v>
      </c>
      <c r="AH72" s="450">
        <v>11334</v>
      </c>
      <c r="AI72" s="462">
        <v>1</v>
      </c>
      <c r="AJ72" s="463" t="s">
        <v>1166</v>
      </c>
      <c r="AK72" s="463" t="s">
        <v>1167</v>
      </c>
      <c r="AL72" s="449" t="s">
        <v>1168</v>
      </c>
      <c r="AM72" s="449" t="s">
        <v>1169</v>
      </c>
      <c r="AN72" s="464">
        <v>8325.4500000000007</v>
      </c>
      <c r="AP72" s="464">
        <v>8325.4500000000007</v>
      </c>
      <c r="AQ72" s="464">
        <v>8325.4500000000007</v>
      </c>
      <c r="AR72" s="464">
        <v>8325.4500000000007</v>
      </c>
      <c r="AS72" s="450" t="s">
        <v>751</v>
      </c>
      <c r="AT72" s="450" t="s">
        <v>752</v>
      </c>
      <c r="AU72" s="450" t="s">
        <v>753</v>
      </c>
      <c r="AW72" s="466" t="s">
        <v>1165</v>
      </c>
    </row>
    <row r="73" spans="1:49">
      <c r="A73" s="447">
        <v>20132035</v>
      </c>
      <c r="B73" s="469">
        <v>41318</v>
      </c>
      <c r="C73" s="449" t="s">
        <v>743</v>
      </c>
      <c r="D73" s="449" t="s">
        <v>653</v>
      </c>
      <c r="E73" s="449">
        <v>302</v>
      </c>
      <c r="F73" s="449">
        <v>3511</v>
      </c>
      <c r="G73" s="449" t="s">
        <v>40</v>
      </c>
      <c r="H73" s="449" t="s">
        <v>5</v>
      </c>
      <c r="I73" s="449" t="s">
        <v>738</v>
      </c>
      <c r="J73" s="449" t="s">
        <v>744</v>
      </c>
      <c r="K73" s="450" t="s">
        <v>740</v>
      </c>
      <c r="L73" s="451">
        <v>1</v>
      </c>
      <c r="M73" s="452">
        <v>900</v>
      </c>
      <c r="N73" s="452"/>
      <c r="O73" s="453">
        <v>83.953999999999994</v>
      </c>
      <c r="P73" s="453"/>
      <c r="Q73" s="454">
        <v>79</v>
      </c>
      <c r="R73" s="569"/>
      <c r="S73" s="454">
        <v>0</v>
      </c>
      <c r="T73" s="455">
        <v>-4.9539999999999935</v>
      </c>
      <c r="U73" s="456">
        <v>0</v>
      </c>
      <c r="V73" s="457">
        <v>-4458.599999999994</v>
      </c>
      <c r="W73" s="457">
        <v>0</v>
      </c>
      <c r="X73" s="458">
        <v>71100</v>
      </c>
      <c r="Y73" s="458">
        <v>0</v>
      </c>
      <c r="Z73" s="459" t="e">
        <v>#VALUE!</v>
      </c>
      <c r="AA73" s="459"/>
      <c r="AB73" s="450" t="s">
        <v>224</v>
      </c>
      <c r="AC73" s="460">
        <v>10115</v>
      </c>
      <c r="AD73" s="450">
        <v>400024</v>
      </c>
      <c r="AE73" s="450" t="s">
        <v>1170</v>
      </c>
      <c r="AF73" s="461" t="s">
        <v>1171</v>
      </c>
      <c r="AG73" s="461" t="s">
        <v>1172</v>
      </c>
      <c r="AH73" s="450">
        <v>11334</v>
      </c>
      <c r="AI73" s="462">
        <v>1</v>
      </c>
      <c r="AJ73" s="463" t="s">
        <v>1172</v>
      </c>
      <c r="AK73" s="463" t="s">
        <v>1173</v>
      </c>
      <c r="AL73" s="449" t="s">
        <v>1174</v>
      </c>
      <c r="AM73" s="449" t="s">
        <v>1175</v>
      </c>
      <c r="AN73" s="464">
        <v>18889.650000000001</v>
      </c>
      <c r="AP73" s="464">
        <v>18889.650000000001</v>
      </c>
      <c r="AQ73" s="464">
        <v>18889.650000000001</v>
      </c>
      <c r="AR73" s="464">
        <v>18889.650000000001</v>
      </c>
      <c r="AS73" s="450" t="s">
        <v>751</v>
      </c>
      <c r="AT73" s="450" t="s">
        <v>752</v>
      </c>
      <c r="AU73" s="450" t="s">
        <v>753</v>
      </c>
      <c r="AW73" s="466" t="s">
        <v>1171</v>
      </c>
    </row>
    <row r="74" spans="1:49">
      <c r="A74" s="447">
        <v>20136752</v>
      </c>
      <c r="B74" s="469">
        <v>41318</v>
      </c>
      <c r="C74" s="449" t="s">
        <v>743</v>
      </c>
      <c r="D74" s="449" t="s">
        <v>653</v>
      </c>
      <c r="E74" s="449">
        <v>302</v>
      </c>
      <c r="F74" s="449">
        <v>3512</v>
      </c>
      <c r="G74" s="449" t="s">
        <v>358</v>
      </c>
      <c r="H74" s="449" t="s">
        <v>5</v>
      </c>
      <c r="I74" s="449" t="s">
        <v>738</v>
      </c>
      <c r="J74" s="449" t="s">
        <v>744</v>
      </c>
      <c r="K74" s="450" t="s">
        <v>740</v>
      </c>
      <c r="L74" s="451">
        <v>1</v>
      </c>
      <c r="M74" s="452">
        <v>900</v>
      </c>
      <c r="N74" s="452"/>
      <c r="O74" s="453">
        <v>14.939599999999999</v>
      </c>
      <c r="P74" s="453"/>
      <c r="Q74" s="454">
        <v>15</v>
      </c>
      <c r="R74" s="569"/>
      <c r="S74" s="454">
        <v>0</v>
      </c>
      <c r="T74" s="455">
        <v>6.0400000000001342E-2</v>
      </c>
      <c r="U74" s="456">
        <v>0</v>
      </c>
      <c r="V74" s="457">
        <v>54.360000000001207</v>
      </c>
      <c r="W74" s="457">
        <v>0</v>
      </c>
      <c r="X74" s="458">
        <v>13500</v>
      </c>
      <c r="Y74" s="458">
        <v>0</v>
      </c>
      <c r="Z74" s="459" t="e">
        <v>#VALUE!</v>
      </c>
      <c r="AA74" s="459"/>
      <c r="AB74" s="450" t="s">
        <v>224</v>
      </c>
      <c r="AC74" s="460">
        <v>10112</v>
      </c>
      <c r="AD74" s="450">
        <v>400093</v>
      </c>
      <c r="AE74" s="450" t="s">
        <v>1176</v>
      </c>
      <c r="AF74" s="461" t="s">
        <v>1177</v>
      </c>
      <c r="AG74" s="461" t="s">
        <v>1178</v>
      </c>
      <c r="AH74" s="450">
        <v>11334</v>
      </c>
      <c r="AI74" s="462">
        <v>1</v>
      </c>
      <c r="AJ74" s="463" t="s">
        <v>1178</v>
      </c>
      <c r="AK74" s="463" t="s">
        <v>1179</v>
      </c>
      <c r="AL74" s="449" t="s">
        <v>1180</v>
      </c>
      <c r="AM74" s="449" t="s">
        <v>1181</v>
      </c>
      <c r="AN74" s="464">
        <v>3361.41</v>
      </c>
      <c r="AP74" s="464">
        <v>3361.41</v>
      </c>
      <c r="AQ74" s="464">
        <v>3361.41</v>
      </c>
      <c r="AR74" s="464">
        <v>3361.41</v>
      </c>
      <c r="AS74" s="450" t="s">
        <v>751</v>
      </c>
      <c r="AT74" s="450" t="s">
        <v>752</v>
      </c>
      <c r="AU74" s="450" t="s">
        <v>753</v>
      </c>
      <c r="AW74" s="466" t="s">
        <v>1177</v>
      </c>
    </row>
    <row r="75" spans="1:49">
      <c r="A75" s="447">
        <v>20135684</v>
      </c>
      <c r="B75" s="469">
        <v>41318</v>
      </c>
      <c r="C75" s="449" t="s">
        <v>743</v>
      </c>
      <c r="D75" s="449" t="s">
        <v>653</v>
      </c>
      <c r="E75" s="449">
        <v>302</v>
      </c>
      <c r="F75" s="449">
        <v>3513</v>
      </c>
      <c r="G75" s="449" t="s">
        <v>79</v>
      </c>
      <c r="H75" s="449" t="s">
        <v>5</v>
      </c>
      <c r="I75" s="449" t="s">
        <v>738</v>
      </c>
      <c r="J75" s="449" t="s">
        <v>744</v>
      </c>
      <c r="K75" s="450" t="s">
        <v>740</v>
      </c>
      <c r="L75" s="451">
        <v>1</v>
      </c>
      <c r="M75" s="452">
        <v>900</v>
      </c>
      <c r="N75" s="452"/>
      <c r="O75" s="453">
        <v>14.123200000000001</v>
      </c>
      <c r="P75" s="453"/>
      <c r="Q75" s="454">
        <v>19</v>
      </c>
      <c r="R75" s="569"/>
      <c r="S75" s="454">
        <v>0</v>
      </c>
      <c r="T75" s="455">
        <v>4.8767999999999994</v>
      </c>
      <c r="U75" s="456">
        <v>0</v>
      </c>
      <c r="V75" s="457">
        <v>4389.119999999999</v>
      </c>
      <c r="W75" s="457">
        <v>0</v>
      </c>
      <c r="X75" s="458">
        <v>17100</v>
      </c>
      <c r="Y75" s="458">
        <v>0</v>
      </c>
      <c r="Z75" s="459" t="e">
        <v>#VALUE!</v>
      </c>
      <c r="AA75" s="459"/>
      <c r="AB75" s="450" t="s">
        <v>224</v>
      </c>
      <c r="AC75" s="460">
        <v>10114</v>
      </c>
      <c r="AD75" s="450">
        <v>400007</v>
      </c>
      <c r="AE75" s="450" t="s">
        <v>1182</v>
      </c>
      <c r="AF75" s="461" t="s">
        <v>1183</v>
      </c>
      <c r="AG75" s="461" t="s">
        <v>1184</v>
      </c>
      <c r="AH75" s="450">
        <v>11334</v>
      </c>
      <c r="AI75" s="462">
        <v>1</v>
      </c>
      <c r="AJ75" s="463" t="s">
        <v>1184</v>
      </c>
      <c r="AK75" s="463" t="s">
        <v>1185</v>
      </c>
      <c r="AL75" s="449" t="s">
        <v>1186</v>
      </c>
      <c r="AM75" s="449" t="s">
        <v>1187</v>
      </c>
      <c r="AN75" s="464">
        <v>3177.72</v>
      </c>
      <c r="AP75" s="464">
        <v>3177.72</v>
      </c>
      <c r="AQ75" s="464">
        <v>3177.7200000000007</v>
      </c>
      <c r="AR75" s="464">
        <v>3177.72</v>
      </c>
      <c r="AS75" s="450" t="s">
        <v>751</v>
      </c>
      <c r="AT75" s="450" t="s">
        <v>752</v>
      </c>
      <c r="AU75" s="450" t="s">
        <v>753</v>
      </c>
      <c r="AW75" s="466" t="s">
        <v>1183</v>
      </c>
    </row>
    <row r="76" spans="1:49">
      <c r="A76" s="447">
        <v>20138443</v>
      </c>
      <c r="B76" s="469">
        <v>41318</v>
      </c>
      <c r="C76" s="449" t="s">
        <v>743</v>
      </c>
      <c r="D76" s="449" t="s">
        <v>653</v>
      </c>
      <c r="E76" s="449">
        <v>302</v>
      </c>
      <c r="F76" s="449">
        <v>3514</v>
      </c>
      <c r="G76" s="449" t="s">
        <v>372</v>
      </c>
      <c r="H76" s="449" t="s">
        <v>760</v>
      </c>
      <c r="I76" s="449" t="s">
        <v>738</v>
      </c>
      <c r="J76" s="449" t="s">
        <v>744</v>
      </c>
      <c r="K76" s="450" t="s">
        <v>740</v>
      </c>
      <c r="L76" s="451">
        <v>1</v>
      </c>
      <c r="M76" s="452">
        <v>900</v>
      </c>
      <c r="N76" s="452"/>
      <c r="O76" s="453">
        <v>52.895600000000002</v>
      </c>
      <c r="P76" s="453"/>
      <c r="Q76" s="454">
        <v>53</v>
      </c>
      <c r="R76" s="569"/>
      <c r="S76" s="454">
        <v>0</v>
      </c>
      <c r="T76" s="455">
        <v>0.10439999999999827</v>
      </c>
      <c r="U76" s="456">
        <v>0</v>
      </c>
      <c r="V76" s="457">
        <v>93.959999999998445</v>
      </c>
      <c r="W76" s="457">
        <v>0</v>
      </c>
      <c r="X76" s="458">
        <v>47700</v>
      </c>
      <c r="Y76" s="458">
        <v>0</v>
      </c>
      <c r="Z76" s="459" t="e">
        <v>#VALUE!</v>
      </c>
      <c r="AA76" s="459"/>
      <c r="AB76" s="450" t="s">
        <v>224</v>
      </c>
      <c r="AC76" s="460">
        <v>10117</v>
      </c>
      <c r="AD76" s="450">
        <v>400107</v>
      </c>
      <c r="AE76" s="450" t="s">
        <v>1188</v>
      </c>
      <c r="AF76" s="461" t="s">
        <v>1189</v>
      </c>
      <c r="AG76" s="461" t="s">
        <v>1190</v>
      </c>
      <c r="AH76" s="450">
        <v>11334</v>
      </c>
      <c r="AI76" s="462">
        <v>1</v>
      </c>
      <c r="AJ76" s="463" t="s">
        <v>1190</v>
      </c>
      <c r="AK76" s="463" t="s">
        <v>1191</v>
      </c>
      <c r="AL76" s="449" t="s">
        <v>1192</v>
      </c>
      <c r="AM76" s="449" t="s">
        <v>1193</v>
      </c>
      <c r="AN76" s="464">
        <v>11901.51</v>
      </c>
      <c r="AP76" s="464">
        <v>11901.51</v>
      </c>
      <c r="AQ76" s="464">
        <v>11901.509999999997</v>
      </c>
      <c r="AR76" s="464">
        <v>11901.51</v>
      </c>
      <c r="AS76" s="450" t="s">
        <v>751</v>
      </c>
      <c r="AT76" s="450" t="s">
        <v>752</v>
      </c>
      <c r="AU76" s="450" t="s">
        <v>767</v>
      </c>
      <c r="AW76" s="466" t="s">
        <v>1189</v>
      </c>
    </row>
    <row r="77" spans="1:49">
      <c r="A77" s="447">
        <v>20134705</v>
      </c>
      <c r="B77" s="469">
        <v>41318</v>
      </c>
      <c r="C77" s="449" t="s">
        <v>743</v>
      </c>
      <c r="D77" s="449" t="s">
        <v>653</v>
      </c>
      <c r="E77" s="449">
        <v>302</v>
      </c>
      <c r="F77" s="449">
        <v>3516</v>
      </c>
      <c r="G77" s="449" t="s">
        <v>69</v>
      </c>
      <c r="H77" s="449" t="s">
        <v>5</v>
      </c>
      <c r="I77" s="449" t="s">
        <v>738</v>
      </c>
      <c r="J77" s="449" t="s">
        <v>744</v>
      </c>
      <c r="K77" s="450" t="s">
        <v>740</v>
      </c>
      <c r="L77" s="451">
        <v>1</v>
      </c>
      <c r="M77" s="452">
        <v>900</v>
      </c>
      <c r="N77" s="452"/>
      <c r="O77" s="453">
        <v>14.896599999999999</v>
      </c>
      <c r="P77" s="453"/>
      <c r="Q77" s="454">
        <v>15</v>
      </c>
      <c r="R77" s="569"/>
      <c r="S77" s="454">
        <v>0</v>
      </c>
      <c r="T77" s="455">
        <v>0.1034000000000006</v>
      </c>
      <c r="U77" s="456">
        <v>0</v>
      </c>
      <c r="V77" s="457">
        <v>93.060000000000542</v>
      </c>
      <c r="W77" s="457">
        <v>0</v>
      </c>
      <c r="X77" s="458">
        <v>13500</v>
      </c>
      <c r="Y77" s="458">
        <v>0</v>
      </c>
      <c r="Z77" s="459" t="e">
        <v>#VALUE!</v>
      </c>
      <c r="AA77" s="459"/>
      <c r="AB77" s="450" t="s">
        <v>224</v>
      </c>
      <c r="AC77" s="460">
        <v>10121</v>
      </c>
      <c r="AD77" s="450">
        <v>400108</v>
      </c>
      <c r="AE77" s="450" t="s">
        <v>1194</v>
      </c>
      <c r="AF77" s="461" t="s">
        <v>1195</v>
      </c>
      <c r="AG77" s="461" t="s">
        <v>1196</v>
      </c>
      <c r="AH77" s="450">
        <v>11334</v>
      </c>
      <c r="AI77" s="462">
        <v>1</v>
      </c>
      <c r="AJ77" s="463" t="s">
        <v>1196</v>
      </c>
      <c r="AK77" s="463" t="s">
        <v>1197</v>
      </c>
      <c r="AL77" s="449" t="s">
        <v>1198</v>
      </c>
      <c r="AM77" s="449" t="s">
        <v>1199</v>
      </c>
      <c r="AN77" s="464">
        <v>3351.7350000000001</v>
      </c>
      <c r="AP77" s="464">
        <v>3351.7350000000001</v>
      </c>
      <c r="AQ77" s="464">
        <v>3351.7349999999992</v>
      </c>
      <c r="AR77" s="464">
        <v>3351.7350000000001</v>
      </c>
      <c r="AS77" s="450" t="s">
        <v>751</v>
      </c>
      <c r="AT77" s="450" t="s">
        <v>752</v>
      </c>
      <c r="AU77" s="450" t="s">
        <v>753</v>
      </c>
      <c r="AW77" s="466" t="s">
        <v>1195</v>
      </c>
    </row>
    <row r="78" spans="1:49">
      <c r="A78" s="447">
        <v>20139244</v>
      </c>
      <c r="B78" s="469">
        <v>41318</v>
      </c>
      <c r="C78" s="449" t="s">
        <v>743</v>
      </c>
      <c r="D78" s="449" t="s">
        <v>653</v>
      </c>
      <c r="E78" s="449">
        <v>302</v>
      </c>
      <c r="F78" s="449">
        <v>3518</v>
      </c>
      <c r="G78" s="449" t="s">
        <v>116</v>
      </c>
      <c r="H78" s="449" t="s">
        <v>5</v>
      </c>
      <c r="I78" s="449" t="s">
        <v>738</v>
      </c>
      <c r="J78" s="449" t="s">
        <v>744</v>
      </c>
      <c r="K78" s="450" t="s">
        <v>740</v>
      </c>
      <c r="L78" s="451">
        <v>1</v>
      </c>
      <c r="M78" s="452">
        <v>900</v>
      </c>
      <c r="N78" s="452"/>
      <c r="O78" s="453">
        <v>249.9658</v>
      </c>
      <c r="P78" s="453"/>
      <c r="Q78" s="454">
        <v>235</v>
      </c>
      <c r="R78" s="569"/>
      <c r="S78" s="454">
        <v>0</v>
      </c>
      <c r="T78" s="455">
        <v>-14.965800000000002</v>
      </c>
      <c r="U78" s="456">
        <v>0</v>
      </c>
      <c r="V78" s="457">
        <v>-13469.220000000001</v>
      </c>
      <c r="W78" s="457">
        <v>0</v>
      </c>
      <c r="X78" s="458">
        <v>211500</v>
      </c>
      <c r="Y78" s="458">
        <v>0</v>
      </c>
      <c r="Z78" s="459" t="e">
        <v>#VALUE!</v>
      </c>
      <c r="AA78" s="459"/>
      <c r="AB78" s="450" t="s">
        <v>224</v>
      </c>
      <c r="AC78" s="460">
        <v>10123</v>
      </c>
      <c r="AD78" s="450">
        <v>400117</v>
      </c>
      <c r="AE78" s="450" t="s">
        <v>1200</v>
      </c>
      <c r="AF78" s="461" t="s">
        <v>1201</v>
      </c>
      <c r="AG78" s="461" t="s">
        <v>1202</v>
      </c>
      <c r="AH78" s="450">
        <v>11334</v>
      </c>
      <c r="AI78" s="462">
        <v>1</v>
      </c>
      <c r="AJ78" s="463" t="s">
        <v>1202</v>
      </c>
      <c r="AK78" s="463" t="s">
        <v>1203</v>
      </c>
      <c r="AL78" s="449" t="s">
        <v>1204</v>
      </c>
      <c r="AM78" s="449" t="s">
        <v>1205</v>
      </c>
      <c r="AN78" s="464">
        <v>56242.305</v>
      </c>
      <c r="AP78" s="464">
        <v>56242.305</v>
      </c>
      <c r="AQ78" s="464">
        <v>56242.305000000015</v>
      </c>
      <c r="AR78" s="464">
        <v>56242.305</v>
      </c>
      <c r="AS78" s="450" t="s">
        <v>751</v>
      </c>
      <c r="AT78" s="450" t="s">
        <v>752</v>
      </c>
      <c r="AU78" s="450" t="s">
        <v>753</v>
      </c>
      <c r="AW78" s="466" t="s">
        <v>1201</v>
      </c>
    </row>
    <row r="79" spans="1:49">
      <c r="A79" s="447">
        <v>20131412</v>
      </c>
      <c r="B79" s="469">
        <v>41318</v>
      </c>
      <c r="C79" s="449" t="s">
        <v>743</v>
      </c>
      <c r="D79" s="449" t="s">
        <v>653</v>
      </c>
      <c r="E79" s="449">
        <v>302</v>
      </c>
      <c r="F79" s="449">
        <v>3520</v>
      </c>
      <c r="G79" s="449" t="s">
        <v>327</v>
      </c>
      <c r="H79" s="449" t="s">
        <v>5</v>
      </c>
      <c r="I79" s="449" t="s">
        <v>738</v>
      </c>
      <c r="J79" s="449" t="s">
        <v>744</v>
      </c>
      <c r="K79" s="450" t="s">
        <v>740</v>
      </c>
      <c r="L79" s="451">
        <v>1</v>
      </c>
      <c r="M79" s="452">
        <v>900</v>
      </c>
      <c r="N79" s="452"/>
      <c r="O79" s="453">
        <v>9.7439999999999998</v>
      </c>
      <c r="P79" s="453"/>
      <c r="Q79" s="454">
        <v>9</v>
      </c>
      <c r="R79" s="569"/>
      <c r="S79" s="454">
        <v>0</v>
      </c>
      <c r="T79" s="455">
        <v>-0.74399999999999977</v>
      </c>
      <c r="U79" s="456">
        <v>0</v>
      </c>
      <c r="V79" s="457">
        <v>-669.5999999999998</v>
      </c>
      <c r="W79" s="457">
        <v>0</v>
      </c>
      <c r="X79" s="458">
        <v>8100</v>
      </c>
      <c r="Y79" s="458">
        <v>0</v>
      </c>
      <c r="Z79" s="459" t="e">
        <v>#VALUE!</v>
      </c>
      <c r="AA79" s="459"/>
      <c r="AB79" s="450" t="s">
        <v>224</v>
      </c>
      <c r="AC79" s="460">
        <v>11094</v>
      </c>
      <c r="AD79" s="450">
        <v>400125</v>
      </c>
      <c r="AE79" s="450" t="s">
        <v>1206</v>
      </c>
      <c r="AF79" s="461" t="s">
        <v>1207</v>
      </c>
      <c r="AG79" s="461" t="s">
        <v>1208</v>
      </c>
      <c r="AH79" s="450">
        <v>11334</v>
      </c>
      <c r="AI79" s="462">
        <v>1</v>
      </c>
      <c r="AJ79" s="463" t="s">
        <v>1208</v>
      </c>
      <c r="AK79" s="463" t="s">
        <v>1209</v>
      </c>
      <c r="AL79" s="449" t="s">
        <v>1210</v>
      </c>
      <c r="AM79" s="449" t="s">
        <v>1211</v>
      </c>
      <c r="AN79" s="464">
        <v>2192.4</v>
      </c>
      <c r="AP79" s="464">
        <v>2192.4</v>
      </c>
      <c r="AQ79" s="464">
        <v>2192.400000000001</v>
      </c>
      <c r="AR79" s="464">
        <v>2192.4</v>
      </c>
      <c r="AS79" s="450" t="s">
        <v>751</v>
      </c>
      <c r="AT79" s="450" t="s">
        <v>752</v>
      </c>
      <c r="AU79" s="450" t="s">
        <v>753</v>
      </c>
      <c r="AW79" s="466" t="s">
        <v>1207</v>
      </c>
    </row>
    <row r="80" spans="1:49">
      <c r="A80" s="447">
        <v>20137553</v>
      </c>
      <c r="B80" s="469">
        <v>41318</v>
      </c>
      <c r="C80" s="449" t="s">
        <v>743</v>
      </c>
      <c r="D80" s="449" t="s">
        <v>653</v>
      </c>
      <c r="E80" s="449">
        <v>302</v>
      </c>
      <c r="F80" s="449">
        <v>3521</v>
      </c>
      <c r="G80" s="449" t="s">
        <v>364</v>
      </c>
      <c r="H80" s="449" t="s">
        <v>5</v>
      </c>
      <c r="I80" s="449" t="s">
        <v>738</v>
      </c>
      <c r="J80" s="449" t="s">
        <v>744</v>
      </c>
      <c r="K80" s="450" t="s">
        <v>740</v>
      </c>
      <c r="L80" s="451">
        <v>1</v>
      </c>
      <c r="M80" s="452">
        <v>900</v>
      </c>
      <c r="N80" s="452"/>
      <c r="O80" s="453">
        <v>108.5056</v>
      </c>
      <c r="P80" s="453"/>
      <c r="Q80" s="454">
        <v>109</v>
      </c>
      <c r="R80" s="569"/>
      <c r="S80" s="454">
        <v>0</v>
      </c>
      <c r="T80" s="455">
        <v>0.49439999999999884</v>
      </c>
      <c r="U80" s="456">
        <v>0</v>
      </c>
      <c r="V80" s="457">
        <v>444.95999999999896</v>
      </c>
      <c r="W80" s="457">
        <v>0</v>
      </c>
      <c r="X80" s="458">
        <v>98100</v>
      </c>
      <c r="Y80" s="458">
        <v>0</v>
      </c>
      <c r="Z80" s="459" t="e">
        <v>#VALUE!</v>
      </c>
      <c r="AA80" s="459"/>
      <c r="AB80" s="450" t="s">
        <v>224</v>
      </c>
      <c r="AC80" s="460">
        <v>10698</v>
      </c>
      <c r="AD80" s="450">
        <v>400135</v>
      </c>
      <c r="AE80" s="450" t="s">
        <v>1212</v>
      </c>
      <c r="AF80" s="461" t="s">
        <v>1213</v>
      </c>
      <c r="AG80" s="461" t="s">
        <v>1214</v>
      </c>
      <c r="AH80" s="450">
        <v>11334</v>
      </c>
      <c r="AI80" s="462">
        <v>1</v>
      </c>
      <c r="AJ80" s="463" t="s">
        <v>1214</v>
      </c>
      <c r="AK80" s="463" t="s">
        <v>1215</v>
      </c>
      <c r="AL80" s="449" t="s">
        <v>1216</v>
      </c>
      <c r="AM80" s="449" t="s">
        <v>1217</v>
      </c>
      <c r="AN80" s="464">
        <v>24413.759999999998</v>
      </c>
      <c r="AP80" s="464">
        <v>24413.759999999998</v>
      </c>
      <c r="AQ80" s="464">
        <v>24413.760000000006</v>
      </c>
      <c r="AR80" s="464">
        <v>24413.759999999998</v>
      </c>
      <c r="AS80" s="450" t="s">
        <v>751</v>
      </c>
      <c r="AT80" s="450" t="s">
        <v>752</v>
      </c>
      <c r="AU80" s="450" t="s">
        <v>753</v>
      </c>
      <c r="AW80" s="466" t="s">
        <v>1213</v>
      </c>
    </row>
    <row r="81" spans="1:49">
      <c r="A81" s="447">
        <v>20132836</v>
      </c>
      <c r="B81" s="469">
        <v>41318</v>
      </c>
      <c r="C81" s="449" t="s">
        <v>743</v>
      </c>
      <c r="D81" s="449" t="s">
        <v>653</v>
      </c>
      <c r="E81" s="449">
        <v>302</v>
      </c>
      <c r="F81" s="449">
        <v>3522</v>
      </c>
      <c r="G81" s="449" t="s">
        <v>337</v>
      </c>
      <c r="H81" s="449" t="s">
        <v>5</v>
      </c>
      <c r="I81" s="449" t="s">
        <v>738</v>
      </c>
      <c r="J81" s="449" t="s">
        <v>744</v>
      </c>
      <c r="K81" s="450" t="s">
        <v>740</v>
      </c>
      <c r="L81" s="451">
        <v>1</v>
      </c>
      <c r="M81" s="452">
        <v>900</v>
      </c>
      <c r="N81" s="452"/>
      <c r="O81" s="453">
        <v>219.37230000000002</v>
      </c>
      <c r="P81" s="453"/>
      <c r="Q81" s="454">
        <v>225</v>
      </c>
      <c r="R81" s="569"/>
      <c r="S81" s="454">
        <v>0</v>
      </c>
      <c r="T81" s="455">
        <v>5.6276999999999759</v>
      </c>
      <c r="U81" s="456">
        <v>0</v>
      </c>
      <c r="V81" s="457">
        <v>5064.9299999999785</v>
      </c>
      <c r="W81" s="457">
        <v>0</v>
      </c>
      <c r="X81" s="458">
        <v>202500</v>
      </c>
      <c r="Y81" s="458">
        <v>0</v>
      </c>
      <c r="Z81" s="459" t="e">
        <v>#VALUE!</v>
      </c>
      <c r="AA81" s="459"/>
      <c r="AB81" s="450" t="s">
        <v>224</v>
      </c>
      <c r="AC81" s="460">
        <v>10953</v>
      </c>
      <c r="AD81" s="450">
        <v>400120</v>
      </c>
      <c r="AE81" s="450" t="s">
        <v>1218</v>
      </c>
      <c r="AF81" s="461" t="s">
        <v>1219</v>
      </c>
      <c r="AG81" s="461" t="s">
        <v>1220</v>
      </c>
      <c r="AH81" s="450">
        <v>11334</v>
      </c>
      <c r="AI81" s="462">
        <v>1</v>
      </c>
      <c r="AJ81" s="463" t="s">
        <v>1220</v>
      </c>
      <c r="AK81" s="463" t="s">
        <v>1221</v>
      </c>
      <c r="AL81" s="449" t="s">
        <v>1222</v>
      </c>
      <c r="AM81" s="449" t="s">
        <v>1223</v>
      </c>
      <c r="AN81" s="464">
        <v>49358.767500000002</v>
      </c>
      <c r="AP81" s="464">
        <v>49358.767500000002</v>
      </c>
      <c r="AQ81" s="464">
        <v>49358.767499999987</v>
      </c>
      <c r="AR81" s="464">
        <v>49358.767500000002</v>
      </c>
      <c r="AS81" s="450" t="s">
        <v>751</v>
      </c>
      <c r="AT81" s="450" t="s">
        <v>752</v>
      </c>
      <c r="AU81" s="450" t="s">
        <v>753</v>
      </c>
      <c r="AW81" s="466" t="s">
        <v>1219</v>
      </c>
    </row>
    <row r="82" spans="1:49">
      <c r="A82" s="447">
        <v>20135417</v>
      </c>
      <c r="B82" s="469">
        <v>41318</v>
      </c>
      <c r="C82" s="449" t="s">
        <v>743</v>
      </c>
      <c r="D82" s="449" t="s">
        <v>653</v>
      </c>
      <c r="E82" s="449">
        <v>302</v>
      </c>
      <c r="F82" s="449">
        <v>3523</v>
      </c>
      <c r="G82" s="449" t="s">
        <v>350</v>
      </c>
      <c r="H82" s="449" t="s">
        <v>5</v>
      </c>
      <c r="I82" s="449" t="s">
        <v>738</v>
      </c>
      <c r="J82" s="449" t="s">
        <v>744</v>
      </c>
      <c r="K82" s="450" t="s">
        <v>740</v>
      </c>
      <c r="L82" s="451">
        <v>1</v>
      </c>
      <c r="M82" s="452">
        <v>900</v>
      </c>
      <c r="N82" s="452"/>
      <c r="O82" s="453">
        <v>187.74719999999999</v>
      </c>
      <c r="P82" s="453"/>
      <c r="Q82" s="454">
        <v>171</v>
      </c>
      <c r="R82" s="569"/>
      <c r="S82" s="454">
        <v>0</v>
      </c>
      <c r="T82" s="455">
        <v>-16.747199999999992</v>
      </c>
      <c r="U82" s="456">
        <v>0</v>
      </c>
      <c r="V82" s="457">
        <v>-15072.479999999992</v>
      </c>
      <c r="W82" s="457">
        <v>0</v>
      </c>
      <c r="X82" s="458">
        <v>153900</v>
      </c>
      <c r="Y82" s="458">
        <v>0</v>
      </c>
      <c r="Z82" s="459" t="e">
        <v>#VALUE!</v>
      </c>
      <c r="AA82" s="459"/>
      <c r="AB82" s="450" t="s">
        <v>224</v>
      </c>
      <c r="AC82" s="460">
        <v>11093</v>
      </c>
      <c r="AD82" s="450">
        <v>400130</v>
      </c>
      <c r="AE82" s="450" t="s">
        <v>1224</v>
      </c>
      <c r="AF82" s="461" t="s">
        <v>1225</v>
      </c>
      <c r="AG82" s="461" t="s">
        <v>1226</v>
      </c>
      <c r="AH82" s="450">
        <v>11334</v>
      </c>
      <c r="AI82" s="462">
        <v>1</v>
      </c>
      <c r="AJ82" s="463" t="s">
        <v>1226</v>
      </c>
      <c r="AK82" s="463" t="s">
        <v>1227</v>
      </c>
      <c r="AL82" s="449" t="s">
        <v>1228</v>
      </c>
      <c r="AM82" s="449" t="s">
        <v>1229</v>
      </c>
      <c r="AN82" s="464">
        <v>42243.12</v>
      </c>
      <c r="AP82" s="464">
        <v>42243.12</v>
      </c>
      <c r="AQ82" s="464">
        <v>42243.120000000017</v>
      </c>
      <c r="AR82" s="464">
        <v>42243.12</v>
      </c>
      <c r="AS82" s="450" t="s">
        <v>751</v>
      </c>
      <c r="AT82" s="450" t="s">
        <v>752</v>
      </c>
      <c r="AU82" s="450" t="s">
        <v>753</v>
      </c>
      <c r="AW82" s="466" t="s">
        <v>1225</v>
      </c>
    </row>
    <row r="83" spans="1:49">
      <c r="A83" s="447">
        <v>20133993</v>
      </c>
      <c r="B83" s="469">
        <v>41318</v>
      </c>
      <c r="C83" s="449" t="s">
        <v>743</v>
      </c>
      <c r="D83" s="449" t="s">
        <v>653</v>
      </c>
      <c r="E83" s="449">
        <v>302</v>
      </c>
      <c r="F83" s="449">
        <v>3524</v>
      </c>
      <c r="G83" s="449" t="s">
        <v>602</v>
      </c>
      <c r="H83" s="449" t="s">
        <v>5</v>
      </c>
      <c r="I83" s="449" t="s">
        <v>738</v>
      </c>
      <c r="J83" s="449" t="s">
        <v>744</v>
      </c>
      <c r="K83" s="450" t="s">
        <v>740</v>
      </c>
      <c r="L83" s="451">
        <v>1</v>
      </c>
      <c r="M83" s="452">
        <v>900</v>
      </c>
      <c r="N83" s="452"/>
      <c r="O83" s="453">
        <v>20.682000000000002</v>
      </c>
      <c r="P83" s="453"/>
      <c r="Q83" s="454">
        <v>19</v>
      </c>
      <c r="R83" s="569"/>
      <c r="S83" s="454">
        <v>0</v>
      </c>
      <c r="T83" s="455">
        <v>-1.6820000000000022</v>
      </c>
      <c r="U83" s="456">
        <v>0</v>
      </c>
      <c r="V83" s="457">
        <v>-1513.800000000002</v>
      </c>
      <c r="W83" s="457">
        <v>0</v>
      </c>
      <c r="X83" s="458">
        <v>17100</v>
      </c>
      <c r="Y83" s="458">
        <v>0</v>
      </c>
      <c r="Z83" s="459" t="e">
        <v>#VALUE!</v>
      </c>
      <c r="AA83" s="459"/>
      <c r="AB83" s="450" t="s">
        <v>224</v>
      </c>
      <c r="AC83" s="460">
        <v>11278</v>
      </c>
      <c r="AD83" s="450">
        <v>400145</v>
      </c>
      <c r="AE83" s="450" t="s">
        <v>1230</v>
      </c>
      <c r="AF83" s="461" t="s">
        <v>1231</v>
      </c>
      <c r="AG83" s="461" t="s">
        <v>1232</v>
      </c>
      <c r="AH83" s="450">
        <v>11334</v>
      </c>
      <c r="AI83" s="462">
        <v>1</v>
      </c>
      <c r="AJ83" s="463" t="s">
        <v>1232</v>
      </c>
      <c r="AK83" s="463" t="s">
        <v>1233</v>
      </c>
      <c r="AL83" s="449" t="s">
        <v>1234</v>
      </c>
      <c r="AM83" s="449" t="s">
        <v>1235</v>
      </c>
      <c r="AN83" s="464">
        <v>4653.45</v>
      </c>
      <c r="AP83" s="464">
        <v>4653.45</v>
      </c>
      <c r="AQ83" s="464">
        <v>4653.449999999998</v>
      </c>
      <c r="AR83" s="464">
        <v>4653.45</v>
      </c>
      <c r="AS83" s="450" t="s">
        <v>751</v>
      </c>
      <c r="AT83" s="450" t="s">
        <v>752</v>
      </c>
      <c r="AU83" s="450" t="s">
        <v>753</v>
      </c>
      <c r="AW83" s="466" t="s">
        <v>1231</v>
      </c>
    </row>
    <row r="84" spans="1:49">
      <c r="A84" s="447">
        <v>20140133</v>
      </c>
      <c r="B84" s="469">
        <v>41318</v>
      </c>
      <c r="C84" s="449" t="s">
        <v>743</v>
      </c>
      <c r="D84" s="449" t="s">
        <v>653</v>
      </c>
      <c r="E84" s="449">
        <v>302</v>
      </c>
      <c r="F84" s="449">
        <v>4003</v>
      </c>
      <c r="G84" s="449" t="s">
        <v>120</v>
      </c>
      <c r="H84" s="449" t="s">
        <v>6</v>
      </c>
      <c r="I84" s="449" t="s">
        <v>738</v>
      </c>
      <c r="J84" s="449" t="s">
        <v>1236</v>
      </c>
      <c r="K84" s="450" t="s">
        <v>740</v>
      </c>
      <c r="L84" s="451">
        <v>1</v>
      </c>
      <c r="M84" s="452">
        <v>900</v>
      </c>
      <c r="N84" s="452">
        <v>300</v>
      </c>
      <c r="O84" s="453">
        <v>407.04070000000002</v>
      </c>
      <c r="P84" s="453">
        <v>4</v>
      </c>
      <c r="Q84" s="454">
        <v>408</v>
      </c>
      <c r="R84" s="569"/>
      <c r="S84" s="454">
        <v>1</v>
      </c>
      <c r="T84" s="455">
        <v>0.95929999999998472</v>
      </c>
      <c r="U84" s="456">
        <v>-3</v>
      </c>
      <c r="V84" s="457">
        <v>863.36999999998625</v>
      </c>
      <c r="W84" s="457">
        <v>-900</v>
      </c>
      <c r="X84" s="458">
        <v>367200</v>
      </c>
      <c r="Y84" s="458">
        <v>300</v>
      </c>
      <c r="Z84" s="459" t="e">
        <v>#VALUE!</v>
      </c>
      <c r="AA84" s="459">
        <v>1200</v>
      </c>
      <c r="AB84" s="450" t="s">
        <v>224</v>
      </c>
      <c r="AC84" s="460">
        <v>10139</v>
      </c>
      <c r="AD84" s="450">
        <v>400033</v>
      </c>
      <c r="AE84" s="450" t="s">
        <v>1237</v>
      </c>
      <c r="AF84" s="461" t="s">
        <v>1238</v>
      </c>
      <c r="AG84" s="461" t="s">
        <v>1239</v>
      </c>
      <c r="AH84" s="450">
        <v>11333</v>
      </c>
      <c r="AI84" s="462">
        <v>1</v>
      </c>
      <c r="AJ84" s="463" t="s">
        <v>1239</v>
      </c>
      <c r="AK84" s="463" t="s">
        <v>1240</v>
      </c>
      <c r="AL84" s="449" t="s">
        <v>1241</v>
      </c>
      <c r="AM84" s="449" t="s">
        <v>1242</v>
      </c>
      <c r="AN84" s="464">
        <v>91584.157500000001</v>
      </c>
      <c r="AP84" s="464">
        <v>91584.157500000001</v>
      </c>
      <c r="AQ84" s="464">
        <v>91584.15750000003</v>
      </c>
      <c r="AR84" s="464">
        <v>91584.157500000001</v>
      </c>
      <c r="AS84" s="450" t="s">
        <v>1243</v>
      </c>
      <c r="AT84" s="450" t="s">
        <v>1244</v>
      </c>
      <c r="AU84" s="450" t="s">
        <v>1245</v>
      </c>
      <c r="AW84" s="466" t="s">
        <v>1238</v>
      </c>
    </row>
    <row r="85" spans="1:49">
      <c r="A85" s="447">
        <v>20141735</v>
      </c>
      <c r="B85" s="469">
        <v>41318</v>
      </c>
      <c r="C85" s="449" t="s">
        <v>743</v>
      </c>
      <c r="D85" s="449" t="s">
        <v>653</v>
      </c>
      <c r="E85" s="449">
        <v>302</v>
      </c>
      <c r="F85" s="449">
        <v>4009</v>
      </c>
      <c r="G85" s="449" t="s">
        <v>407</v>
      </c>
      <c r="H85" s="449" t="s">
        <v>6</v>
      </c>
      <c r="I85" s="449" t="s">
        <v>818</v>
      </c>
      <c r="J85" s="449" t="s">
        <v>1236</v>
      </c>
      <c r="K85" s="450" t="s">
        <v>740</v>
      </c>
      <c r="L85" s="451">
        <v>1</v>
      </c>
      <c r="M85" s="452">
        <v>900</v>
      </c>
      <c r="N85" s="452">
        <v>300</v>
      </c>
      <c r="O85" s="453">
        <v>313.36200000000002</v>
      </c>
      <c r="P85" s="453">
        <v>3</v>
      </c>
      <c r="Q85" s="454">
        <v>310.5</v>
      </c>
      <c r="R85" s="569"/>
      <c r="S85" s="454">
        <v>1</v>
      </c>
      <c r="T85" s="455">
        <v>-2.8620000000000232</v>
      </c>
      <c r="U85" s="456">
        <v>-2</v>
      </c>
      <c r="V85" s="457">
        <v>-2575.8000000000211</v>
      </c>
      <c r="W85" s="457">
        <v>-600</v>
      </c>
      <c r="X85" s="458">
        <v>279450</v>
      </c>
      <c r="Y85" s="458">
        <v>300</v>
      </c>
      <c r="Z85" s="459" t="e">
        <v>#VALUE!</v>
      </c>
      <c r="AA85" s="459">
        <v>900</v>
      </c>
      <c r="AB85" s="450" t="s">
        <v>224</v>
      </c>
      <c r="AC85" s="460" t="s">
        <v>699</v>
      </c>
      <c r="AD85" s="450">
        <v>144388</v>
      </c>
      <c r="AE85" s="450" t="s">
        <v>1246</v>
      </c>
      <c r="AF85" s="461" t="s">
        <v>1247</v>
      </c>
      <c r="AG85" s="461" t="s">
        <v>1248</v>
      </c>
      <c r="AH85" s="450" t="s">
        <v>822</v>
      </c>
      <c r="AI85" s="462">
        <v>0</v>
      </c>
      <c r="AJ85" s="463" t="s">
        <v>1248</v>
      </c>
      <c r="AK85" s="463" t="s">
        <v>1249</v>
      </c>
      <c r="AL85" s="449" t="s">
        <v>1250</v>
      </c>
      <c r="AM85" s="449" t="s">
        <v>1251</v>
      </c>
      <c r="AN85" s="464" t="s">
        <v>826</v>
      </c>
      <c r="AS85" s="450" t="s">
        <v>827</v>
      </c>
      <c r="AT85" s="450" t="s">
        <v>1244</v>
      </c>
      <c r="AU85" s="450" t="s">
        <v>1245</v>
      </c>
      <c r="AW85" s="466" t="s">
        <v>1247</v>
      </c>
    </row>
    <row r="86" spans="1:49">
      <c r="A86" s="447">
        <v>20141913</v>
      </c>
      <c r="B86" s="469">
        <v>41318</v>
      </c>
      <c r="C86" s="449" t="s">
        <v>743</v>
      </c>
      <c r="D86" s="449" t="s">
        <v>653</v>
      </c>
      <c r="E86" s="449">
        <v>302</v>
      </c>
      <c r="F86" s="449">
        <v>4012</v>
      </c>
      <c r="G86" s="449" t="s">
        <v>128</v>
      </c>
      <c r="H86" s="449" t="s">
        <v>6</v>
      </c>
      <c r="I86" s="449" t="s">
        <v>818</v>
      </c>
      <c r="J86" s="449" t="s">
        <v>1236</v>
      </c>
      <c r="K86" s="450" t="s">
        <v>740</v>
      </c>
      <c r="L86" s="451">
        <v>1</v>
      </c>
      <c r="M86" s="452">
        <v>900</v>
      </c>
      <c r="N86" s="452"/>
      <c r="O86" s="453">
        <v>325.93939999999998</v>
      </c>
      <c r="P86" s="453"/>
      <c r="Q86" s="454">
        <v>329</v>
      </c>
      <c r="R86" s="569"/>
      <c r="S86" s="454">
        <v>0</v>
      </c>
      <c r="T86" s="455">
        <v>3.0606000000000222</v>
      </c>
      <c r="U86" s="456">
        <v>0</v>
      </c>
      <c r="V86" s="457">
        <v>2754.54000000002</v>
      </c>
      <c r="W86" s="457">
        <v>0</v>
      </c>
      <c r="X86" s="458">
        <v>296100</v>
      </c>
      <c r="Y86" s="458">
        <v>0</v>
      </c>
      <c r="Z86" s="459" t="e">
        <v>#VALUE!</v>
      </c>
      <c r="AA86" s="459"/>
      <c r="AB86" s="450" t="s">
        <v>224</v>
      </c>
      <c r="AC86" s="460" t="s">
        <v>699</v>
      </c>
      <c r="AD86" s="450">
        <v>144062</v>
      </c>
      <c r="AE86" s="450" t="s">
        <v>1252</v>
      </c>
      <c r="AF86" s="461" t="s">
        <v>1253</v>
      </c>
      <c r="AG86" s="461" t="s">
        <v>1254</v>
      </c>
      <c r="AH86" s="450" t="s">
        <v>822</v>
      </c>
      <c r="AI86" s="462">
        <v>0</v>
      </c>
      <c r="AJ86" s="463" t="s">
        <v>1254</v>
      </c>
      <c r="AK86" s="463" t="s">
        <v>1255</v>
      </c>
      <c r="AL86" s="449" t="s">
        <v>1256</v>
      </c>
      <c r="AM86" s="449" t="s">
        <v>1257</v>
      </c>
      <c r="AN86" s="464" t="s">
        <v>826</v>
      </c>
      <c r="AS86" s="450" t="s">
        <v>827</v>
      </c>
      <c r="AT86" s="450" t="s">
        <v>1244</v>
      </c>
      <c r="AU86" s="450" t="s">
        <v>1245</v>
      </c>
      <c r="AW86" s="466" t="s">
        <v>1253</v>
      </c>
    </row>
    <row r="87" spans="1:49">
      <c r="A87" s="447">
        <v>20140845</v>
      </c>
      <c r="B87" s="469">
        <v>41318</v>
      </c>
      <c r="C87" s="449" t="s">
        <v>743</v>
      </c>
      <c r="D87" s="449" t="s">
        <v>653</v>
      </c>
      <c r="E87" s="449">
        <v>302</v>
      </c>
      <c r="F87" s="449">
        <v>4208</v>
      </c>
      <c r="G87" s="449" t="s">
        <v>123</v>
      </c>
      <c r="H87" s="449" t="s">
        <v>6</v>
      </c>
      <c r="I87" s="449" t="s">
        <v>818</v>
      </c>
      <c r="J87" s="449" t="s">
        <v>1236</v>
      </c>
      <c r="K87" s="450" t="s">
        <v>740</v>
      </c>
      <c r="L87" s="451">
        <v>1</v>
      </c>
      <c r="M87" s="452">
        <v>900</v>
      </c>
      <c r="N87" s="452">
        <v>300</v>
      </c>
      <c r="O87" s="453">
        <v>198</v>
      </c>
      <c r="P87" s="453">
        <v>2</v>
      </c>
      <c r="Q87" s="454">
        <v>207</v>
      </c>
      <c r="R87" s="569"/>
      <c r="S87" s="454">
        <v>0</v>
      </c>
      <c r="T87" s="455">
        <v>9</v>
      </c>
      <c r="U87" s="456">
        <v>-2</v>
      </c>
      <c r="V87" s="457">
        <v>8100</v>
      </c>
      <c r="W87" s="457">
        <v>-600</v>
      </c>
      <c r="X87" s="458">
        <v>186300</v>
      </c>
      <c r="Y87" s="458">
        <v>0</v>
      </c>
      <c r="Z87" s="459" t="e">
        <v>#VALUE!</v>
      </c>
      <c r="AA87" s="459">
        <v>600</v>
      </c>
      <c r="AB87" s="450" t="s">
        <v>224</v>
      </c>
      <c r="AC87" s="460" t="s">
        <v>699</v>
      </c>
      <c r="AD87" s="450">
        <v>144387</v>
      </c>
      <c r="AE87" s="450" t="s">
        <v>1258</v>
      </c>
      <c r="AF87" s="461" t="s">
        <v>1259</v>
      </c>
      <c r="AG87" s="461" t="s">
        <v>1260</v>
      </c>
      <c r="AH87" s="450" t="s">
        <v>822</v>
      </c>
      <c r="AI87" s="462">
        <v>0</v>
      </c>
      <c r="AJ87" s="463" t="s">
        <v>1260</v>
      </c>
      <c r="AK87" s="463" t="s">
        <v>1261</v>
      </c>
      <c r="AL87" s="449" t="s">
        <v>1262</v>
      </c>
      <c r="AM87" s="449" t="s">
        <v>1263</v>
      </c>
      <c r="AN87" s="464" t="s">
        <v>826</v>
      </c>
      <c r="AS87" s="450" t="s">
        <v>827</v>
      </c>
      <c r="AT87" s="450" t="s">
        <v>1244</v>
      </c>
      <c r="AU87" s="450" t="s">
        <v>1245</v>
      </c>
      <c r="AW87" s="466" t="s">
        <v>1259</v>
      </c>
    </row>
    <row r="88" spans="1:49">
      <c r="A88" s="447">
        <v>20139777</v>
      </c>
      <c r="B88" s="469">
        <v>41318</v>
      </c>
      <c r="C88" s="449" t="s">
        <v>743</v>
      </c>
      <c r="D88" s="449" t="s">
        <v>653</v>
      </c>
      <c r="E88" s="449">
        <v>302</v>
      </c>
      <c r="F88" s="449">
        <v>4210</v>
      </c>
      <c r="G88" s="449" t="s">
        <v>52</v>
      </c>
      <c r="H88" s="449" t="s">
        <v>6</v>
      </c>
      <c r="I88" s="449" t="s">
        <v>818</v>
      </c>
      <c r="J88" s="449" t="s">
        <v>1236</v>
      </c>
      <c r="K88" s="450" t="s">
        <v>740</v>
      </c>
      <c r="L88" s="451">
        <v>1</v>
      </c>
      <c r="M88" s="452">
        <v>900</v>
      </c>
      <c r="N88" s="452"/>
      <c r="O88" s="453">
        <v>398.84039999999999</v>
      </c>
      <c r="P88" s="453"/>
      <c r="Q88" s="454">
        <v>408</v>
      </c>
      <c r="R88" s="569"/>
      <c r="S88" s="454">
        <v>0</v>
      </c>
      <c r="T88" s="455">
        <v>9.1596000000000117</v>
      </c>
      <c r="U88" s="456">
        <v>0</v>
      </c>
      <c r="V88" s="457">
        <v>8243.6400000000103</v>
      </c>
      <c r="W88" s="457">
        <v>0</v>
      </c>
      <c r="X88" s="458">
        <v>367200</v>
      </c>
      <c r="Y88" s="458">
        <v>0</v>
      </c>
      <c r="Z88" s="459" t="e">
        <v>#VALUE!</v>
      </c>
      <c r="AA88" s="459"/>
      <c r="AB88" s="450" t="s">
        <v>224</v>
      </c>
      <c r="AC88" s="460" t="s">
        <v>699</v>
      </c>
      <c r="AD88" s="450">
        <v>148020</v>
      </c>
      <c r="AE88" s="450" t="s">
        <v>1264</v>
      </c>
      <c r="AF88" s="461" t="s">
        <v>1265</v>
      </c>
      <c r="AG88" s="461" t="s">
        <v>1266</v>
      </c>
      <c r="AH88" s="450" t="s">
        <v>822</v>
      </c>
      <c r="AI88" s="462">
        <v>0</v>
      </c>
      <c r="AJ88" s="463" t="s">
        <v>1266</v>
      </c>
      <c r="AK88" s="463" t="s">
        <v>1267</v>
      </c>
      <c r="AL88" s="449" t="s">
        <v>1268</v>
      </c>
      <c r="AM88" s="449" t="s">
        <v>1269</v>
      </c>
      <c r="AN88" s="464" t="s">
        <v>826</v>
      </c>
      <c r="AS88" s="450" t="s">
        <v>827</v>
      </c>
      <c r="AT88" s="450" t="s">
        <v>1244</v>
      </c>
      <c r="AU88" s="450" t="s">
        <v>1245</v>
      </c>
      <c r="AW88" s="466" t="s">
        <v>1265</v>
      </c>
    </row>
    <row r="89" spans="1:49">
      <c r="A89" s="447">
        <v>20139599</v>
      </c>
      <c r="B89" s="469">
        <v>41318</v>
      </c>
      <c r="C89" s="449" t="s">
        <v>743</v>
      </c>
      <c r="D89" s="449" t="s">
        <v>653</v>
      </c>
      <c r="E89" s="449">
        <v>302</v>
      </c>
      <c r="F89" s="449">
        <v>4211</v>
      </c>
      <c r="G89" s="449" t="s">
        <v>381</v>
      </c>
      <c r="H89" s="449" t="s">
        <v>6</v>
      </c>
      <c r="I89" s="449" t="s">
        <v>818</v>
      </c>
      <c r="J89" s="449" t="s">
        <v>1236</v>
      </c>
      <c r="K89" s="450" t="s">
        <v>740</v>
      </c>
      <c r="L89" s="451">
        <v>1</v>
      </c>
      <c r="M89" s="452">
        <v>900</v>
      </c>
      <c r="N89" s="452"/>
      <c r="O89" s="453">
        <v>261.36399999999998</v>
      </c>
      <c r="P89" s="453"/>
      <c r="Q89" s="454">
        <v>285</v>
      </c>
      <c r="R89" s="569"/>
      <c r="S89" s="454">
        <v>0</v>
      </c>
      <c r="T89" s="455">
        <v>23.636000000000024</v>
      </c>
      <c r="U89" s="456">
        <v>0</v>
      </c>
      <c r="V89" s="457">
        <v>21272.400000000023</v>
      </c>
      <c r="W89" s="457">
        <v>0</v>
      </c>
      <c r="X89" s="458">
        <v>256500</v>
      </c>
      <c r="Y89" s="458">
        <v>0</v>
      </c>
      <c r="Z89" s="459" t="e">
        <v>#VALUE!</v>
      </c>
      <c r="AA89" s="459"/>
      <c r="AB89" s="450" t="s">
        <v>224</v>
      </c>
      <c r="AC89" s="460" t="s">
        <v>699</v>
      </c>
      <c r="AD89" s="450">
        <v>144389</v>
      </c>
      <c r="AE89" s="450" t="s">
        <v>1270</v>
      </c>
      <c r="AF89" s="461" t="s">
        <v>1271</v>
      </c>
      <c r="AG89" s="461" t="s">
        <v>1272</v>
      </c>
      <c r="AH89" s="450" t="s">
        <v>822</v>
      </c>
      <c r="AI89" s="462">
        <v>0</v>
      </c>
      <c r="AJ89" s="463" t="s">
        <v>1272</v>
      </c>
      <c r="AK89" s="463" t="s">
        <v>1273</v>
      </c>
      <c r="AL89" s="449" t="s">
        <v>1274</v>
      </c>
      <c r="AM89" s="449" t="s">
        <v>1275</v>
      </c>
      <c r="AN89" s="464" t="s">
        <v>826</v>
      </c>
      <c r="AS89" s="450" t="s">
        <v>827</v>
      </c>
      <c r="AT89" s="450" t="s">
        <v>1244</v>
      </c>
      <c r="AU89" s="450" t="s">
        <v>1245</v>
      </c>
      <c r="AW89" s="466" t="s">
        <v>1271</v>
      </c>
    </row>
    <row r="90" spans="1:49">
      <c r="A90" s="447">
        <v>20139955</v>
      </c>
      <c r="B90" s="469">
        <v>41318</v>
      </c>
      <c r="C90" s="449" t="s">
        <v>743</v>
      </c>
      <c r="D90" s="449" t="s">
        <v>653</v>
      </c>
      <c r="E90" s="449">
        <v>302</v>
      </c>
      <c r="F90" s="449">
        <v>4212</v>
      </c>
      <c r="G90" s="449" t="s">
        <v>611</v>
      </c>
      <c r="H90" s="449" t="s">
        <v>6</v>
      </c>
      <c r="I90" s="449" t="s">
        <v>818</v>
      </c>
      <c r="J90" s="449" t="s">
        <v>1236</v>
      </c>
      <c r="K90" s="450" t="s">
        <v>740</v>
      </c>
      <c r="L90" s="451">
        <v>1</v>
      </c>
      <c r="M90" s="452">
        <v>900</v>
      </c>
      <c r="N90" s="452"/>
      <c r="O90" s="453">
        <v>246.30520000000001</v>
      </c>
      <c r="P90" s="453"/>
      <c r="Q90" s="454">
        <v>259</v>
      </c>
      <c r="R90" s="569"/>
      <c r="S90" s="454">
        <v>0</v>
      </c>
      <c r="T90" s="455">
        <v>12.694799999999987</v>
      </c>
      <c r="U90" s="456">
        <v>0</v>
      </c>
      <c r="V90" s="457">
        <v>11425.319999999989</v>
      </c>
      <c r="W90" s="457">
        <v>0</v>
      </c>
      <c r="X90" s="458">
        <v>233100</v>
      </c>
      <c r="Y90" s="458">
        <v>0</v>
      </c>
      <c r="Z90" s="459" t="e">
        <v>#VALUE!</v>
      </c>
      <c r="AA90" s="459"/>
      <c r="AB90" s="450" t="s">
        <v>224</v>
      </c>
      <c r="AC90" s="460" t="s">
        <v>699</v>
      </c>
      <c r="AD90" s="450">
        <v>143727</v>
      </c>
      <c r="AE90" s="450" t="s">
        <v>1276</v>
      </c>
      <c r="AF90" s="461" t="s">
        <v>1277</v>
      </c>
      <c r="AG90" s="461" t="s">
        <v>1278</v>
      </c>
      <c r="AH90" s="450" t="s">
        <v>822</v>
      </c>
      <c r="AI90" s="462">
        <v>0</v>
      </c>
      <c r="AJ90" s="463" t="s">
        <v>1278</v>
      </c>
      <c r="AK90" s="463" t="s">
        <v>1279</v>
      </c>
      <c r="AL90" s="449" t="s">
        <v>1280</v>
      </c>
      <c r="AM90" s="449" t="s">
        <v>1281</v>
      </c>
      <c r="AN90" s="464" t="s">
        <v>826</v>
      </c>
      <c r="AS90" s="450" t="s">
        <v>827</v>
      </c>
      <c r="AT90" s="450" t="s">
        <v>1244</v>
      </c>
      <c r="AU90" s="450" t="s">
        <v>1245</v>
      </c>
      <c r="AW90" s="466" t="s">
        <v>1277</v>
      </c>
    </row>
    <row r="91" spans="1:49">
      <c r="A91" s="447">
        <v>20141468</v>
      </c>
      <c r="B91" s="469">
        <v>41318</v>
      </c>
      <c r="C91" s="449" t="s">
        <v>743</v>
      </c>
      <c r="D91" s="449" t="s">
        <v>653</v>
      </c>
      <c r="E91" s="449">
        <v>302</v>
      </c>
      <c r="F91" s="449">
        <v>4215</v>
      </c>
      <c r="G91" s="449" t="s">
        <v>615</v>
      </c>
      <c r="H91" s="449" t="s">
        <v>6</v>
      </c>
      <c r="I91" s="449" t="s">
        <v>818</v>
      </c>
      <c r="J91" s="449" t="s">
        <v>1236</v>
      </c>
      <c r="K91" s="450" t="s">
        <v>740</v>
      </c>
      <c r="L91" s="451">
        <v>1</v>
      </c>
      <c r="M91" s="452">
        <v>900</v>
      </c>
      <c r="N91" s="452"/>
      <c r="O91" s="453">
        <v>293.51400000000001</v>
      </c>
      <c r="P91" s="453"/>
      <c r="Q91" s="454">
        <v>333</v>
      </c>
      <c r="R91" s="569"/>
      <c r="S91" s="454">
        <v>0</v>
      </c>
      <c r="T91" s="455">
        <v>39.48599999999999</v>
      </c>
      <c r="U91" s="456">
        <v>0</v>
      </c>
      <c r="V91" s="457">
        <v>35537.399999999994</v>
      </c>
      <c r="W91" s="457">
        <v>0</v>
      </c>
      <c r="X91" s="458">
        <v>299700</v>
      </c>
      <c r="Y91" s="458">
        <v>0</v>
      </c>
      <c r="Z91" s="459" t="e">
        <v>#VALUE!</v>
      </c>
      <c r="AA91" s="459"/>
      <c r="AB91" s="450" t="s">
        <v>224</v>
      </c>
      <c r="AC91" s="460" t="s">
        <v>699</v>
      </c>
      <c r="AD91" s="450">
        <v>140894</v>
      </c>
      <c r="AE91" s="450" t="s">
        <v>1282</v>
      </c>
      <c r="AF91" s="461" t="s">
        <v>1283</v>
      </c>
      <c r="AG91" s="461" t="s">
        <v>1284</v>
      </c>
      <c r="AH91" s="450" t="s">
        <v>822</v>
      </c>
      <c r="AI91" s="462">
        <v>0</v>
      </c>
      <c r="AJ91" s="463" t="s">
        <v>1284</v>
      </c>
      <c r="AK91" s="463" t="s">
        <v>1285</v>
      </c>
      <c r="AL91" s="449" t="s">
        <v>1286</v>
      </c>
      <c r="AM91" s="449" t="s">
        <v>1287</v>
      </c>
      <c r="AN91" s="464" t="s">
        <v>826</v>
      </c>
      <c r="AS91" s="450" t="s">
        <v>827</v>
      </c>
      <c r="AT91" s="450" t="s">
        <v>1244</v>
      </c>
      <c r="AU91" s="450" t="s">
        <v>1245</v>
      </c>
      <c r="AW91" s="466" t="s">
        <v>1283</v>
      </c>
    </row>
    <row r="92" spans="1:49">
      <c r="A92" s="447">
        <v>20141557</v>
      </c>
      <c r="B92" s="469">
        <v>41318</v>
      </c>
      <c r="C92" s="449" t="s">
        <v>743</v>
      </c>
      <c r="D92" s="449" t="s">
        <v>653</v>
      </c>
      <c r="E92" s="449">
        <v>302</v>
      </c>
      <c r="F92" s="449">
        <v>4752</v>
      </c>
      <c r="G92" s="449" t="s">
        <v>385</v>
      </c>
      <c r="H92" s="449" t="s">
        <v>6</v>
      </c>
      <c r="I92" s="449" t="s">
        <v>818</v>
      </c>
      <c r="J92" s="449" t="s">
        <v>1236</v>
      </c>
      <c r="K92" s="450" t="s">
        <v>740</v>
      </c>
      <c r="L92" s="451">
        <v>1</v>
      </c>
      <c r="M92" s="452">
        <v>900</v>
      </c>
      <c r="N92" s="452">
        <v>300</v>
      </c>
      <c r="O92" s="453">
        <v>25.016999999999999</v>
      </c>
      <c r="P92" s="453"/>
      <c r="Q92" s="454">
        <v>30</v>
      </c>
      <c r="R92" s="569"/>
      <c r="S92" s="454">
        <v>1</v>
      </c>
      <c r="T92" s="455">
        <v>4.9830000000000005</v>
      </c>
      <c r="U92" s="456">
        <v>1</v>
      </c>
      <c r="V92" s="457">
        <v>4484.7000000000007</v>
      </c>
      <c r="W92" s="457">
        <v>300</v>
      </c>
      <c r="X92" s="458">
        <v>27000</v>
      </c>
      <c r="Y92" s="458">
        <v>300</v>
      </c>
      <c r="Z92" s="459" t="e">
        <v>#VALUE!</v>
      </c>
      <c r="AA92" s="459"/>
      <c r="AB92" s="450" t="s">
        <v>224</v>
      </c>
      <c r="AC92" s="460" t="s">
        <v>699</v>
      </c>
      <c r="AD92" s="450">
        <v>147243</v>
      </c>
      <c r="AE92" s="450" t="s">
        <v>1288</v>
      </c>
      <c r="AF92" s="461" t="s">
        <v>1289</v>
      </c>
      <c r="AG92" s="461" t="s">
        <v>1290</v>
      </c>
      <c r="AH92" s="450" t="s">
        <v>822</v>
      </c>
      <c r="AI92" s="462">
        <v>0</v>
      </c>
      <c r="AJ92" s="463" t="s">
        <v>1290</v>
      </c>
      <c r="AK92" s="463" t="s">
        <v>1291</v>
      </c>
      <c r="AL92" s="449" t="s">
        <v>1292</v>
      </c>
      <c r="AM92" s="449" t="s">
        <v>1293</v>
      </c>
      <c r="AN92" s="464" t="s">
        <v>826</v>
      </c>
      <c r="AS92" s="450" t="s">
        <v>827</v>
      </c>
      <c r="AT92" s="450" t="s">
        <v>1244</v>
      </c>
      <c r="AU92" s="450" t="s">
        <v>1245</v>
      </c>
      <c r="AW92" s="466" t="s">
        <v>1289</v>
      </c>
    </row>
    <row r="93" spans="1:49">
      <c r="A93" s="447">
        <v>20133637</v>
      </c>
      <c r="B93" s="469">
        <v>41318</v>
      </c>
      <c r="C93" s="449" t="s">
        <v>743</v>
      </c>
      <c r="D93" s="449" t="s">
        <v>653</v>
      </c>
      <c r="E93" s="449">
        <v>302</v>
      </c>
      <c r="F93" s="449">
        <v>5200</v>
      </c>
      <c r="G93" s="449" t="s">
        <v>59</v>
      </c>
      <c r="H93" s="449" t="s">
        <v>760</v>
      </c>
      <c r="I93" s="449" t="s">
        <v>738</v>
      </c>
      <c r="J93" s="449" t="s">
        <v>744</v>
      </c>
      <c r="K93" s="450" t="s">
        <v>740</v>
      </c>
      <c r="L93" s="451">
        <v>1</v>
      </c>
      <c r="M93" s="452">
        <v>900</v>
      </c>
      <c r="N93" s="452"/>
      <c r="O93" s="453">
        <v>179.19299999999998</v>
      </c>
      <c r="P93" s="453"/>
      <c r="Q93" s="454">
        <v>184</v>
      </c>
      <c r="R93" s="569"/>
      <c r="S93" s="454">
        <v>0</v>
      </c>
      <c r="T93" s="455">
        <v>4.8070000000000164</v>
      </c>
      <c r="U93" s="456">
        <v>0</v>
      </c>
      <c r="V93" s="457">
        <v>4326.3000000000147</v>
      </c>
      <c r="W93" s="457">
        <v>0</v>
      </c>
      <c r="X93" s="458">
        <v>165600</v>
      </c>
      <c r="Y93" s="458">
        <v>0</v>
      </c>
      <c r="Z93" s="459" t="e">
        <v>#VALUE!</v>
      </c>
      <c r="AA93" s="459"/>
      <c r="AB93" s="450" t="s">
        <v>224</v>
      </c>
      <c r="AC93" s="460">
        <v>10060</v>
      </c>
      <c r="AD93" s="450">
        <v>400052</v>
      </c>
      <c r="AE93" s="450" t="s">
        <v>1294</v>
      </c>
      <c r="AF93" s="461" t="s">
        <v>1295</v>
      </c>
      <c r="AG93" s="461" t="s">
        <v>1296</v>
      </c>
      <c r="AH93" s="450">
        <v>11334</v>
      </c>
      <c r="AI93" s="462">
        <v>1</v>
      </c>
      <c r="AJ93" s="463" t="s">
        <v>1296</v>
      </c>
      <c r="AK93" s="463" t="s">
        <v>1297</v>
      </c>
      <c r="AL93" s="449" t="s">
        <v>1298</v>
      </c>
      <c r="AM93" s="449" t="s">
        <v>1299</v>
      </c>
      <c r="AN93" s="464">
        <v>40318.425000000003</v>
      </c>
      <c r="AP93" s="464">
        <v>40318.425000000003</v>
      </c>
      <c r="AQ93" s="464">
        <v>40318.425000000003</v>
      </c>
      <c r="AR93" s="464">
        <v>40318.425000000003</v>
      </c>
      <c r="AS93" s="450" t="s">
        <v>751</v>
      </c>
      <c r="AT93" s="450" t="s">
        <v>752</v>
      </c>
      <c r="AU93" s="450" t="s">
        <v>767</v>
      </c>
      <c r="AW93" s="466" t="s">
        <v>1295</v>
      </c>
    </row>
    <row r="94" spans="1:49">
      <c r="A94" s="447">
        <v>20136218</v>
      </c>
      <c r="B94" s="469">
        <v>41318</v>
      </c>
      <c r="C94" s="449" t="s">
        <v>743</v>
      </c>
      <c r="D94" s="449" t="s">
        <v>653</v>
      </c>
      <c r="E94" s="449">
        <v>302</v>
      </c>
      <c r="F94" s="449">
        <v>5201</v>
      </c>
      <c r="G94" s="449" t="s">
        <v>355</v>
      </c>
      <c r="H94" s="449" t="s">
        <v>5</v>
      </c>
      <c r="I94" s="449" t="s">
        <v>738</v>
      </c>
      <c r="J94" s="449" t="s">
        <v>744</v>
      </c>
      <c r="K94" s="450" t="s">
        <v>740</v>
      </c>
      <c r="L94" s="451">
        <v>1</v>
      </c>
      <c r="M94" s="452">
        <v>900</v>
      </c>
      <c r="N94" s="452"/>
      <c r="O94" s="453">
        <v>63.31839999999999</v>
      </c>
      <c r="P94" s="453"/>
      <c r="Q94" s="454">
        <v>70</v>
      </c>
      <c r="R94" s="569"/>
      <c r="S94" s="454">
        <v>0</v>
      </c>
      <c r="T94" s="455">
        <v>6.6816000000000102</v>
      </c>
      <c r="U94" s="456">
        <v>0</v>
      </c>
      <c r="V94" s="457">
        <v>6013.4400000000096</v>
      </c>
      <c r="W94" s="457">
        <v>0</v>
      </c>
      <c r="X94" s="458">
        <v>63000</v>
      </c>
      <c r="Y94" s="458">
        <v>0</v>
      </c>
      <c r="Z94" s="459" t="e">
        <v>#VALUE!</v>
      </c>
      <c r="AA94" s="459"/>
      <c r="AB94" s="450" t="s">
        <v>224</v>
      </c>
      <c r="AC94" s="460">
        <v>10084</v>
      </c>
      <c r="AD94" s="450">
        <v>400021</v>
      </c>
      <c r="AE94" s="450" t="s">
        <v>1300</v>
      </c>
      <c r="AF94" s="461" t="s">
        <v>1301</v>
      </c>
      <c r="AG94" s="461" t="s">
        <v>1302</v>
      </c>
      <c r="AH94" s="450">
        <v>11334</v>
      </c>
      <c r="AI94" s="462">
        <v>1</v>
      </c>
      <c r="AJ94" s="463" t="s">
        <v>1302</v>
      </c>
      <c r="AK94" s="463" t="s">
        <v>1303</v>
      </c>
      <c r="AL94" s="449" t="s">
        <v>1304</v>
      </c>
      <c r="AM94" s="449" t="s">
        <v>1305</v>
      </c>
      <c r="AN94" s="464">
        <v>14246.64</v>
      </c>
      <c r="AP94" s="464">
        <v>14246.64</v>
      </c>
      <c r="AQ94" s="464">
        <v>14246.64</v>
      </c>
      <c r="AR94" s="464">
        <v>14246.64</v>
      </c>
      <c r="AS94" s="450" t="s">
        <v>751</v>
      </c>
      <c r="AT94" s="450" t="s">
        <v>752</v>
      </c>
      <c r="AU94" s="450" t="s">
        <v>753</v>
      </c>
      <c r="AW94" s="466" t="s">
        <v>1301</v>
      </c>
    </row>
    <row r="95" spans="1:49">
      <c r="A95" s="447">
        <v>20140400</v>
      </c>
      <c r="B95" s="469">
        <v>41318</v>
      </c>
      <c r="C95" s="449" t="s">
        <v>743</v>
      </c>
      <c r="D95" s="449" t="s">
        <v>653</v>
      </c>
      <c r="E95" s="449">
        <v>302</v>
      </c>
      <c r="F95" s="449">
        <v>5400</v>
      </c>
      <c r="G95" s="449" t="s">
        <v>122</v>
      </c>
      <c r="H95" s="449" t="s">
        <v>6</v>
      </c>
      <c r="I95" s="449" t="s">
        <v>818</v>
      </c>
      <c r="J95" s="449" t="s">
        <v>1236</v>
      </c>
      <c r="K95" s="450" t="s">
        <v>740</v>
      </c>
      <c r="L95" s="451">
        <v>1</v>
      </c>
      <c r="M95" s="452">
        <v>900</v>
      </c>
      <c r="N95" s="452">
        <v>300</v>
      </c>
      <c r="O95" s="453">
        <v>443.92199999999997</v>
      </c>
      <c r="P95" s="453"/>
      <c r="Q95" s="454">
        <v>476</v>
      </c>
      <c r="R95" s="569"/>
      <c r="S95" s="454">
        <v>4</v>
      </c>
      <c r="T95" s="455">
        <v>32.078000000000031</v>
      </c>
      <c r="U95" s="456">
        <v>4</v>
      </c>
      <c r="V95" s="457">
        <v>28870.20000000003</v>
      </c>
      <c r="W95" s="457">
        <v>1200</v>
      </c>
      <c r="X95" s="458">
        <v>428400</v>
      </c>
      <c r="Y95" s="458">
        <v>1200</v>
      </c>
      <c r="Z95" s="459" t="e">
        <v>#VALUE!</v>
      </c>
      <c r="AA95" s="459"/>
      <c r="AB95" s="450" t="s">
        <v>224</v>
      </c>
      <c r="AC95" s="460" t="s">
        <v>699</v>
      </c>
      <c r="AD95" s="450">
        <v>145169</v>
      </c>
      <c r="AE95" s="450" t="s">
        <v>1306</v>
      </c>
      <c r="AF95" s="461" t="s">
        <v>1307</v>
      </c>
      <c r="AG95" s="461" t="s">
        <v>1308</v>
      </c>
      <c r="AH95" s="450" t="s">
        <v>822</v>
      </c>
      <c r="AI95" s="462">
        <v>0</v>
      </c>
      <c r="AJ95" s="463" t="s">
        <v>1308</v>
      </c>
      <c r="AK95" s="463" t="s">
        <v>1309</v>
      </c>
      <c r="AL95" s="449" t="s">
        <v>1310</v>
      </c>
      <c r="AM95" s="449" t="s">
        <v>1311</v>
      </c>
      <c r="AN95" s="464" t="s">
        <v>826</v>
      </c>
      <c r="AS95" s="450" t="s">
        <v>827</v>
      </c>
      <c r="AT95" s="450" t="s">
        <v>1244</v>
      </c>
      <c r="AU95" s="450" t="s">
        <v>1245</v>
      </c>
      <c r="AW95" s="466" t="s">
        <v>1307</v>
      </c>
    </row>
    <row r="96" spans="1:49">
      <c r="A96" s="447">
        <v>20141023</v>
      </c>
      <c r="B96" s="469">
        <v>41318</v>
      </c>
      <c r="C96" s="449" t="s">
        <v>743</v>
      </c>
      <c r="D96" s="449" t="s">
        <v>653</v>
      </c>
      <c r="E96" s="449">
        <v>302</v>
      </c>
      <c r="F96" s="449">
        <v>5401</v>
      </c>
      <c r="G96" s="449" t="s">
        <v>124</v>
      </c>
      <c r="H96" s="449" t="s">
        <v>6</v>
      </c>
      <c r="I96" s="449" t="s">
        <v>818</v>
      </c>
      <c r="J96" s="449" t="s">
        <v>1236</v>
      </c>
      <c r="K96" s="450" t="s">
        <v>740</v>
      </c>
      <c r="L96" s="451">
        <v>1</v>
      </c>
      <c r="M96" s="452">
        <v>900</v>
      </c>
      <c r="N96" s="452"/>
      <c r="O96" s="453">
        <v>49.1008</v>
      </c>
      <c r="P96" s="453"/>
      <c r="Q96" s="454">
        <v>54</v>
      </c>
      <c r="R96" s="569"/>
      <c r="S96" s="454">
        <v>0</v>
      </c>
      <c r="T96" s="455">
        <v>4.8992000000000004</v>
      </c>
      <c r="U96" s="456">
        <v>0</v>
      </c>
      <c r="V96" s="457">
        <v>4409.2800000000007</v>
      </c>
      <c r="W96" s="457">
        <v>0</v>
      </c>
      <c r="X96" s="458">
        <v>48600</v>
      </c>
      <c r="Y96" s="458">
        <v>0</v>
      </c>
      <c r="Z96" s="459" t="e">
        <v>#VALUE!</v>
      </c>
      <c r="AA96" s="459"/>
      <c r="AB96" s="450" t="s">
        <v>224</v>
      </c>
      <c r="AC96" s="460" t="s">
        <v>699</v>
      </c>
      <c r="AD96" s="450">
        <v>139142</v>
      </c>
      <c r="AE96" s="450" t="s">
        <v>1312</v>
      </c>
      <c r="AF96" s="461" t="s">
        <v>1313</v>
      </c>
      <c r="AG96" s="461" t="s">
        <v>1314</v>
      </c>
      <c r="AH96" s="450" t="s">
        <v>822</v>
      </c>
      <c r="AI96" s="462">
        <v>0</v>
      </c>
      <c r="AJ96" s="463" t="s">
        <v>1314</v>
      </c>
      <c r="AK96" s="463" t="s">
        <v>1315</v>
      </c>
      <c r="AL96" s="449" t="s">
        <v>1316</v>
      </c>
      <c r="AM96" s="449" t="s">
        <v>1317</v>
      </c>
      <c r="AN96" s="464" t="s">
        <v>826</v>
      </c>
      <c r="AS96" s="450" t="s">
        <v>827</v>
      </c>
      <c r="AT96" s="450" t="s">
        <v>1244</v>
      </c>
      <c r="AU96" s="450" t="s">
        <v>1245</v>
      </c>
      <c r="AW96" s="466" t="s">
        <v>1313</v>
      </c>
    </row>
    <row r="97" spans="1:255">
      <c r="A97" s="447">
        <v>20140667</v>
      </c>
      <c r="B97" s="469">
        <v>41318</v>
      </c>
      <c r="C97" s="449" t="s">
        <v>743</v>
      </c>
      <c r="D97" s="449" t="s">
        <v>653</v>
      </c>
      <c r="E97" s="449">
        <v>302</v>
      </c>
      <c r="F97" s="449">
        <v>5402</v>
      </c>
      <c r="G97" s="449" t="s">
        <v>408</v>
      </c>
      <c r="H97" s="449" t="s">
        <v>6</v>
      </c>
      <c r="I97" s="449" t="s">
        <v>818</v>
      </c>
      <c r="J97" s="449" t="s">
        <v>1236</v>
      </c>
      <c r="K97" s="450" t="s">
        <v>740</v>
      </c>
      <c r="L97" s="451">
        <v>1</v>
      </c>
      <c r="M97" s="452">
        <v>900</v>
      </c>
      <c r="N97" s="452">
        <v>300</v>
      </c>
      <c r="O97" s="453">
        <v>279.33659999999998</v>
      </c>
      <c r="P97" s="453"/>
      <c r="Q97" s="454">
        <v>321.5</v>
      </c>
      <c r="R97" s="569"/>
      <c r="S97" s="454">
        <v>1</v>
      </c>
      <c r="T97" s="455">
        <v>42.163400000000024</v>
      </c>
      <c r="U97" s="456">
        <v>1</v>
      </c>
      <c r="V97" s="457">
        <v>37947.060000000019</v>
      </c>
      <c r="W97" s="457">
        <v>300</v>
      </c>
      <c r="X97" s="458">
        <v>289350</v>
      </c>
      <c r="Y97" s="458">
        <v>300</v>
      </c>
      <c r="Z97" s="459" t="e">
        <v>#VALUE!</v>
      </c>
      <c r="AA97" s="459"/>
      <c r="AB97" s="450" t="s">
        <v>224</v>
      </c>
      <c r="AC97" s="460" t="s">
        <v>699</v>
      </c>
      <c r="AD97" s="450">
        <v>144069</v>
      </c>
      <c r="AE97" s="450" t="s">
        <v>1318</v>
      </c>
      <c r="AF97" s="461" t="s">
        <v>1319</v>
      </c>
      <c r="AG97" s="461" t="s">
        <v>1320</v>
      </c>
      <c r="AH97" s="450" t="s">
        <v>822</v>
      </c>
      <c r="AI97" s="462">
        <v>0</v>
      </c>
      <c r="AJ97" s="463" t="s">
        <v>1320</v>
      </c>
      <c r="AK97" s="463" t="s">
        <v>1321</v>
      </c>
      <c r="AL97" s="449" t="s">
        <v>1322</v>
      </c>
      <c r="AM97" s="449" t="s">
        <v>1323</v>
      </c>
      <c r="AN97" s="464" t="s">
        <v>826</v>
      </c>
      <c r="AS97" s="450" t="s">
        <v>827</v>
      </c>
      <c r="AT97" s="450" t="s">
        <v>1244</v>
      </c>
      <c r="AU97" s="450" t="s">
        <v>1245</v>
      </c>
      <c r="AW97" s="466" t="s">
        <v>1319</v>
      </c>
    </row>
    <row r="98" spans="1:255">
      <c r="A98" s="447">
        <v>20141201</v>
      </c>
      <c r="B98" s="469">
        <v>41318</v>
      </c>
      <c r="C98" s="449" t="s">
        <v>743</v>
      </c>
      <c r="D98" s="449" t="s">
        <v>653</v>
      </c>
      <c r="E98" s="449">
        <v>302</v>
      </c>
      <c r="F98" s="449">
        <v>5403</v>
      </c>
      <c r="G98" s="449" t="s">
        <v>383</v>
      </c>
      <c r="H98" s="449" t="s">
        <v>6</v>
      </c>
      <c r="I98" s="449" t="s">
        <v>738</v>
      </c>
      <c r="J98" s="449" t="s">
        <v>1236</v>
      </c>
      <c r="K98" s="450" t="s">
        <v>740</v>
      </c>
      <c r="L98" s="451">
        <v>1</v>
      </c>
      <c r="M98" s="452">
        <v>900</v>
      </c>
      <c r="N98" s="452">
        <v>300</v>
      </c>
      <c r="O98" s="453">
        <v>170.9864</v>
      </c>
      <c r="P98" s="453"/>
      <c r="Q98" s="454">
        <v>186</v>
      </c>
      <c r="R98" s="569"/>
      <c r="S98" s="454">
        <v>3</v>
      </c>
      <c r="T98" s="455">
        <v>15.013599999999997</v>
      </c>
      <c r="U98" s="456">
        <v>3</v>
      </c>
      <c r="V98" s="457">
        <v>13512.239999999998</v>
      </c>
      <c r="W98" s="457">
        <v>900</v>
      </c>
      <c r="X98" s="458">
        <v>167400</v>
      </c>
      <c r="Y98" s="458">
        <v>900</v>
      </c>
      <c r="Z98" s="459" t="e">
        <v>#VALUE!</v>
      </c>
      <c r="AA98" s="459"/>
      <c r="AB98" s="450" t="s">
        <v>224</v>
      </c>
      <c r="AC98" s="460">
        <v>10143</v>
      </c>
      <c r="AD98" s="450">
        <v>400025</v>
      </c>
      <c r="AE98" s="450" t="s">
        <v>1324</v>
      </c>
      <c r="AF98" s="461" t="s">
        <v>1325</v>
      </c>
      <c r="AG98" s="461" t="s">
        <v>1326</v>
      </c>
      <c r="AH98" s="450">
        <v>11333</v>
      </c>
      <c r="AI98" s="462">
        <v>1</v>
      </c>
      <c r="AJ98" s="463" t="s">
        <v>1326</v>
      </c>
      <c r="AK98" s="463" t="s">
        <v>1327</v>
      </c>
      <c r="AL98" s="449" t="s">
        <v>1328</v>
      </c>
      <c r="AM98" s="449" t="s">
        <v>1329</v>
      </c>
      <c r="AN98" s="464">
        <v>38471.94</v>
      </c>
      <c r="AP98" s="464">
        <v>38471.94</v>
      </c>
      <c r="AQ98" s="464">
        <v>38471.94</v>
      </c>
      <c r="AR98" s="464">
        <v>38471.94</v>
      </c>
      <c r="AS98" s="450" t="s">
        <v>1243</v>
      </c>
      <c r="AT98" s="450" t="s">
        <v>1244</v>
      </c>
      <c r="AU98" s="450" t="s">
        <v>1245</v>
      </c>
      <c r="AW98" s="466" t="s">
        <v>1325</v>
      </c>
    </row>
    <row r="99" spans="1:255">
      <c r="A99" s="447">
        <v>20141290</v>
      </c>
      <c r="B99" s="469">
        <v>41318</v>
      </c>
      <c r="C99" s="449" t="s">
        <v>743</v>
      </c>
      <c r="D99" s="449" t="s">
        <v>653</v>
      </c>
      <c r="E99" s="449">
        <v>302</v>
      </c>
      <c r="F99" s="449">
        <v>5404</v>
      </c>
      <c r="G99" s="449" t="s">
        <v>384</v>
      </c>
      <c r="H99" s="449" t="s">
        <v>6</v>
      </c>
      <c r="I99" s="449" t="s">
        <v>738</v>
      </c>
      <c r="J99" s="449" t="s">
        <v>1236</v>
      </c>
      <c r="K99" s="450" t="s">
        <v>740</v>
      </c>
      <c r="L99" s="451">
        <v>1</v>
      </c>
      <c r="M99" s="452">
        <v>900</v>
      </c>
      <c r="N99" s="452">
        <v>300</v>
      </c>
      <c r="O99" s="453">
        <v>41.28</v>
      </c>
      <c r="P99" s="453"/>
      <c r="Q99" s="454">
        <v>38</v>
      </c>
      <c r="R99" s="569"/>
      <c r="S99" s="454">
        <v>2</v>
      </c>
      <c r="T99" s="455">
        <v>-3.2800000000000011</v>
      </c>
      <c r="U99" s="456">
        <v>2</v>
      </c>
      <c r="V99" s="457">
        <v>-2952.0000000000009</v>
      </c>
      <c r="W99" s="457">
        <v>600</v>
      </c>
      <c r="X99" s="458">
        <v>34200</v>
      </c>
      <c r="Y99" s="458">
        <v>600</v>
      </c>
      <c r="Z99" s="459" t="e">
        <v>#VALUE!</v>
      </c>
      <c r="AA99" s="459"/>
      <c r="AB99" s="450" t="s">
        <v>224</v>
      </c>
      <c r="AC99" s="460">
        <v>10148</v>
      </c>
      <c r="AD99" s="450">
        <v>400029</v>
      </c>
      <c r="AE99" s="450" t="s">
        <v>1330</v>
      </c>
      <c r="AF99" s="461" t="s">
        <v>1331</v>
      </c>
      <c r="AG99" s="461" t="s">
        <v>1332</v>
      </c>
      <c r="AH99" s="450">
        <v>11333</v>
      </c>
      <c r="AI99" s="462">
        <v>1</v>
      </c>
      <c r="AJ99" s="463" t="s">
        <v>1332</v>
      </c>
      <c r="AK99" s="463" t="s">
        <v>1333</v>
      </c>
      <c r="AL99" s="449" t="s">
        <v>1334</v>
      </c>
      <c r="AM99" s="449" t="s">
        <v>1335</v>
      </c>
      <c r="AN99" s="464">
        <v>9288</v>
      </c>
      <c r="AP99" s="464">
        <v>9288</v>
      </c>
      <c r="AQ99" s="464">
        <v>9288</v>
      </c>
      <c r="AR99" s="464">
        <v>9288</v>
      </c>
      <c r="AS99" s="450" t="s">
        <v>1243</v>
      </c>
      <c r="AT99" s="450" t="s">
        <v>1244</v>
      </c>
      <c r="AU99" s="450" t="s">
        <v>1245</v>
      </c>
      <c r="AW99" s="466" t="s">
        <v>1331</v>
      </c>
    </row>
    <row r="100" spans="1:255">
      <c r="A100" s="447">
        <v>20140044</v>
      </c>
      <c r="B100" s="469">
        <v>41318</v>
      </c>
      <c r="C100" s="449" t="s">
        <v>743</v>
      </c>
      <c r="D100" s="449" t="s">
        <v>653</v>
      </c>
      <c r="E100" s="449">
        <v>302</v>
      </c>
      <c r="F100" s="449">
        <v>5405</v>
      </c>
      <c r="G100" s="449" t="s">
        <v>119</v>
      </c>
      <c r="H100" s="449" t="s">
        <v>6</v>
      </c>
      <c r="I100" s="449" t="s">
        <v>738</v>
      </c>
      <c r="J100" s="449" t="s">
        <v>1236</v>
      </c>
      <c r="K100" s="450" t="s">
        <v>740</v>
      </c>
      <c r="L100" s="451">
        <v>1</v>
      </c>
      <c r="M100" s="452">
        <v>900</v>
      </c>
      <c r="N100" s="452"/>
      <c r="O100" s="453">
        <v>130.24879999999999</v>
      </c>
      <c r="P100" s="453"/>
      <c r="Q100" s="454">
        <v>132</v>
      </c>
      <c r="R100" s="569"/>
      <c r="S100" s="454">
        <v>0</v>
      </c>
      <c r="T100" s="455">
        <v>1.7512000000000114</v>
      </c>
      <c r="U100" s="456">
        <v>0</v>
      </c>
      <c r="V100" s="457">
        <v>1576.0800000000104</v>
      </c>
      <c r="W100" s="457">
        <v>0</v>
      </c>
      <c r="X100" s="458">
        <v>118800</v>
      </c>
      <c r="Y100" s="458">
        <v>0</v>
      </c>
      <c r="Z100" s="459" t="e">
        <v>#VALUE!</v>
      </c>
      <c r="AA100" s="459"/>
      <c r="AB100" s="450" t="s">
        <v>224</v>
      </c>
      <c r="AC100" s="460">
        <v>10145</v>
      </c>
      <c r="AD100" s="450">
        <v>400041</v>
      </c>
      <c r="AE100" s="450" t="s">
        <v>1336</v>
      </c>
      <c r="AF100" s="461" t="s">
        <v>1337</v>
      </c>
      <c r="AG100" s="461" t="s">
        <v>1338</v>
      </c>
      <c r="AH100" s="450">
        <v>11333</v>
      </c>
      <c r="AI100" s="462">
        <v>1</v>
      </c>
      <c r="AJ100" s="463" t="s">
        <v>1338</v>
      </c>
      <c r="AK100" s="463" t="s">
        <v>1339</v>
      </c>
      <c r="AL100" s="449" t="s">
        <v>1340</v>
      </c>
      <c r="AM100" s="449" t="s">
        <v>1341</v>
      </c>
      <c r="AN100" s="464">
        <v>29305.98</v>
      </c>
      <c r="AP100" s="464">
        <v>29305.98</v>
      </c>
      <c r="AQ100" s="464">
        <v>29305.980000000007</v>
      </c>
      <c r="AR100" s="464">
        <v>29305.98</v>
      </c>
      <c r="AS100" s="450" t="s">
        <v>1243</v>
      </c>
      <c r="AT100" s="450" t="s">
        <v>1244</v>
      </c>
      <c r="AU100" s="450" t="s">
        <v>1245</v>
      </c>
      <c r="AW100" s="466" t="s">
        <v>1337</v>
      </c>
    </row>
    <row r="101" spans="1:255">
      <c r="A101" s="447">
        <v>20139421</v>
      </c>
      <c r="B101" s="469">
        <v>41318</v>
      </c>
      <c r="C101" s="449" t="s">
        <v>743</v>
      </c>
      <c r="D101" s="449" t="s">
        <v>653</v>
      </c>
      <c r="E101" s="449">
        <v>302</v>
      </c>
      <c r="F101" s="449">
        <v>5406</v>
      </c>
      <c r="G101" s="449" t="s">
        <v>409</v>
      </c>
      <c r="H101" s="449" t="s">
        <v>6</v>
      </c>
      <c r="I101" s="449" t="s">
        <v>818</v>
      </c>
      <c r="J101" s="449" t="s">
        <v>1236</v>
      </c>
      <c r="K101" s="450" t="s">
        <v>740</v>
      </c>
      <c r="L101" s="451">
        <v>1</v>
      </c>
      <c r="M101" s="452">
        <v>900</v>
      </c>
      <c r="N101" s="452"/>
      <c r="O101" s="453">
        <v>216.9948</v>
      </c>
      <c r="P101" s="453"/>
      <c r="Q101" s="454">
        <v>218</v>
      </c>
      <c r="R101" s="569"/>
      <c r="S101" s="454">
        <v>0</v>
      </c>
      <c r="T101" s="455">
        <v>1.0052000000000021</v>
      </c>
      <c r="U101" s="456">
        <v>0</v>
      </c>
      <c r="V101" s="457">
        <v>904.68000000000188</v>
      </c>
      <c r="W101" s="457">
        <v>0</v>
      </c>
      <c r="X101" s="458">
        <v>196200</v>
      </c>
      <c r="Y101" s="458">
        <v>0</v>
      </c>
      <c r="Z101" s="459" t="e">
        <v>#VALUE!</v>
      </c>
      <c r="AA101" s="459"/>
      <c r="AB101" s="450" t="s">
        <v>224</v>
      </c>
      <c r="AC101" s="460" t="s">
        <v>699</v>
      </c>
      <c r="AD101" s="450">
        <v>140909</v>
      </c>
      <c r="AE101" s="450" t="s">
        <v>1342</v>
      </c>
      <c r="AF101" s="461" t="s">
        <v>1343</v>
      </c>
      <c r="AG101" s="461" t="s">
        <v>1344</v>
      </c>
      <c r="AH101" s="450" t="s">
        <v>822</v>
      </c>
      <c r="AI101" s="462">
        <v>0</v>
      </c>
      <c r="AJ101" s="463" t="s">
        <v>1344</v>
      </c>
      <c r="AK101" s="463" t="s">
        <v>1345</v>
      </c>
      <c r="AL101" s="449" t="s">
        <v>1346</v>
      </c>
      <c r="AM101" s="449" t="s">
        <v>1347</v>
      </c>
      <c r="AN101" s="464" t="s">
        <v>826</v>
      </c>
      <c r="AS101" s="450" t="s">
        <v>827</v>
      </c>
      <c r="AT101" s="450" t="s">
        <v>1244</v>
      </c>
      <c r="AU101" s="450" t="s">
        <v>1245</v>
      </c>
      <c r="AW101" s="466" t="s">
        <v>1343</v>
      </c>
    </row>
    <row r="102" spans="1:255">
      <c r="A102" s="447">
        <v>20141112</v>
      </c>
      <c r="B102" s="469">
        <v>41318</v>
      </c>
      <c r="C102" s="449" t="s">
        <v>743</v>
      </c>
      <c r="D102" s="449" t="s">
        <v>653</v>
      </c>
      <c r="E102" s="449">
        <v>302</v>
      </c>
      <c r="F102" s="449">
        <v>5407</v>
      </c>
      <c r="G102" s="449" t="s">
        <v>382</v>
      </c>
      <c r="H102" s="449" t="s">
        <v>6</v>
      </c>
      <c r="I102" s="449" t="s">
        <v>738</v>
      </c>
      <c r="J102" s="449" t="s">
        <v>1236</v>
      </c>
      <c r="K102" s="450" t="s">
        <v>740</v>
      </c>
      <c r="L102" s="451">
        <v>1</v>
      </c>
      <c r="M102" s="452">
        <v>900</v>
      </c>
      <c r="N102" s="452"/>
      <c r="O102" s="453">
        <v>234.19839999999999</v>
      </c>
      <c r="P102" s="453"/>
      <c r="Q102" s="454">
        <v>253</v>
      </c>
      <c r="R102" s="569"/>
      <c r="S102" s="454">
        <v>0</v>
      </c>
      <c r="T102" s="455">
        <v>18.801600000000008</v>
      </c>
      <c r="U102" s="456">
        <v>0</v>
      </c>
      <c r="V102" s="457">
        <v>16921.440000000006</v>
      </c>
      <c r="W102" s="457">
        <v>0</v>
      </c>
      <c r="X102" s="458">
        <v>227700</v>
      </c>
      <c r="Y102" s="458">
        <v>0</v>
      </c>
      <c r="Z102" s="459" t="e">
        <v>#VALUE!</v>
      </c>
      <c r="AA102" s="459"/>
      <c r="AB102" s="450" t="s">
        <v>224</v>
      </c>
      <c r="AC102" s="460">
        <v>10142</v>
      </c>
      <c r="AD102" s="450">
        <v>400013</v>
      </c>
      <c r="AE102" s="450" t="s">
        <v>1348</v>
      </c>
      <c r="AF102" s="461" t="s">
        <v>1349</v>
      </c>
      <c r="AG102" s="461" t="s">
        <v>1350</v>
      </c>
      <c r="AH102" s="450">
        <v>11333</v>
      </c>
      <c r="AI102" s="462">
        <v>1</v>
      </c>
      <c r="AJ102" s="463" t="s">
        <v>1350</v>
      </c>
      <c r="AK102" s="463" t="s">
        <v>1351</v>
      </c>
      <c r="AL102" s="449" t="s">
        <v>1352</v>
      </c>
      <c r="AM102" s="449" t="s">
        <v>1353</v>
      </c>
      <c r="AN102" s="464">
        <v>52694.64</v>
      </c>
      <c r="AP102" s="464">
        <v>52694.64</v>
      </c>
      <c r="AQ102" s="464">
        <v>52694.639999999985</v>
      </c>
      <c r="AR102" s="464">
        <v>52694.64</v>
      </c>
      <c r="AS102" s="450" t="s">
        <v>1243</v>
      </c>
      <c r="AT102" s="450" t="s">
        <v>1244</v>
      </c>
      <c r="AU102" s="450" t="s">
        <v>1245</v>
      </c>
      <c r="AW102" s="466" t="s">
        <v>1349</v>
      </c>
    </row>
    <row r="103" spans="1:255">
      <c r="A103" s="447">
        <v>20139510</v>
      </c>
      <c r="B103" s="469">
        <v>41318</v>
      </c>
      <c r="C103" s="449" t="s">
        <v>743</v>
      </c>
      <c r="D103" s="449" t="s">
        <v>653</v>
      </c>
      <c r="E103" s="449">
        <v>302</v>
      </c>
      <c r="F103" s="449">
        <v>5408</v>
      </c>
      <c r="G103" s="449" t="s">
        <v>380</v>
      </c>
      <c r="H103" s="449" t="s">
        <v>6</v>
      </c>
      <c r="I103" s="449" t="s">
        <v>738</v>
      </c>
      <c r="J103" s="449" t="s">
        <v>1236</v>
      </c>
      <c r="K103" s="450" t="s">
        <v>740</v>
      </c>
      <c r="L103" s="451">
        <v>1</v>
      </c>
      <c r="M103" s="452">
        <v>900</v>
      </c>
      <c r="N103" s="452"/>
      <c r="O103" s="453">
        <v>244.86769999999999</v>
      </c>
      <c r="P103" s="453"/>
      <c r="Q103" s="454">
        <v>262</v>
      </c>
      <c r="R103" s="569"/>
      <c r="S103" s="454">
        <v>0</v>
      </c>
      <c r="T103" s="455">
        <v>17.132300000000015</v>
      </c>
      <c r="U103" s="456">
        <v>0</v>
      </c>
      <c r="V103" s="457">
        <v>15419.070000000014</v>
      </c>
      <c r="W103" s="457">
        <v>0</v>
      </c>
      <c r="X103" s="458">
        <v>235800</v>
      </c>
      <c r="Y103" s="458">
        <v>0</v>
      </c>
      <c r="Z103" s="459" t="e">
        <v>#VALUE!</v>
      </c>
      <c r="AA103" s="459"/>
      <c r="AB103" s="450" t="s">
        <v>224</v>
      </c>
      <c r="AC103" s="460">
        <v>10137</v>
      </c>
      <c r="AD103" s="450">
        <v>400077</v>
      </c>
      <c r="AE103" s="450" t="s">
        <v>1354</v>
      </c>
      <c r="AF103" s="461" t="s">
        <v>1355</v>
      </c>
      <c r="AG103" s="461" t="s">
        <v>1356</v>
      </c>
      <c r="AH103" s="450">
        <v>11333</v>
      </c>
      <c r="AI103" s="462">
        <v>1</v>
      </c>
      <c r="AJ103" s="463" t="s">
        <v>1356</v>
      </c>
      <c r="AK103" s="463" t="s">
        <v>1357</v>
      </c>
      <c r="AL103" s="449" t="s">
        <v>1358</v>
      </c>
      <c r="AM103" s="449" t="s">
        <v>1359</v>
      </c>
      <c r="AN103" s="464">
        <v>55095.232499999998</v>
      </c>
      <c r="AP103" s="464">
        <v>55095.232499999998</v>
      </c>
      <c r="AQ103" s="464">
        <v>55095.232500000013</v>
      </c>
      <c r="AR103" s="464">
        <v>55095.232499999998</v>
      </c>
      <c r="AS103" s="450" t="s">
        <v>1243</v>
      </c>
      <c r="AT103" s="450" t="s">
        <v>1244</v>
      </c>
      <c r="AU103" s="450" t="s">
        <v>1245</v>
      </c>
      <c r="AW103" s="466" t="s">
        <v>1355</v>
      </c>
    </row>
    <row r="104" spans="1:255">
      <c r="A104" s="447">
        <v>20140222</v>
      </c>
      <c r="B104" s="469">
        <v>41318</v>
      </c>
      <c r="C104" s="449" t="s">
        <v>743</v>
      </c>
      <c r="D104" s="449" t="s">
        <v>653</v>
      </c>
      <c r="E104" s="449">
        <v>302</v>
      </c>
      <c r="F104" s="449">
        <v>5409</v>
      </c>
      <c r="G104" s="449" t="s">
        <v>121</v>
      </c>
      <c r="H104" s="449" t="s">
        <v>6</v>
      </c>
      <c r="I104" s="449" t="s">
        <v>818</v>
      </c>
      <c r="J104" s="449" t="s">
        <v>1236</v>
      </c>
      <c r="K104" s="450" t="s">
        <v>740</v>
      </c>
      <c r="L104" s="451">
        <v>1</v>
      </c>
      <c r="M104" s="452">
        <v>900</v>
      </c>
      <c r="N104" s="452">
        <v>300</v>
      </c>
      <c r="O104" s="453">
        <v>83.517599999999987</v>
      </c>
      <c r="P104" s="453"/>
      <c r="Q104" s="454">
        <v>76</v>
      </c>
      <c r="R104" s="569"/>
      <c r="S104" s="454">
        <v>1</v>
      </c>
      <c r="T104" s="455">
        <v>-7.5175999999999874</v>
      </c>
      <c r="U104" s="456">
        <v>1</v>
      </c>
      <c r="V104" s="457">
        <v>-6765.8399999999883</v>
      </c>
      <c r="W104" s="457">
        <v>300</v>
      </c>
      <c r="X104" s="458">
        <v>68400</v>
      </c>
      <c r="Y104" s="458">
        <v>300</v>
      </c>
      <c r="Z104" s="459" t="e">
        <v>#VALUE!</v>
      </c>
      <c r="AA104" s="459"/>
      <c r="AB104" s="450" t="s">
        <v>224</v>
      </c>
      <c r="AC104" s="460" t="s">
        <v>699</v>
      </c>
      <c r="AD104" s="450">
        <v>145386</v>
      </c>
      <c r="AE104" s="450" t="s">
        <v>1360</v>
      </c>
      <c r="AF104" s="461" t="s">
        <v>1361</v>
      </c>
      <c r="AG104" s="461" t="s">
        <v>1362</v>
      </c>
      <c r="AH104" s="450" t="s">
        <v>822</v>
      </c>
      <c r="AI104" s="462">
        <v>0</v>
      </c>
      <c r="AJ104" s="463" t="s">
        <v>1362</v>
      </c>
      <c r="AK104" s="463" t="s">
        <v>1363</v>
      </c>
      <c r="AL104" s="449" t="s">
        <v>1364</v>
      </c>
      <c r="AM104" s="449" t="s">
        <v>1365</v>
      </c>
      <c r="AN104" s="464" t="s">
        <v>826</v>
      </c>
      <c r="AS104" s="450" t="s">
        <v>827</v>
      </c>
      <c r="AT104" s="450" t="s">
        <v>1244</v>
      </c>
      <c r="AU104" s="450" t="s">
        <v>1245</v>
      </c>
      <c r="AW104" s="466" t="s">
        <v>1361</v>
      </c>
    </row>
    <row r="105" spans="1:255">
      <c r="A105" s="447">
        <v>20140578</v>
      </c>
      <c r="B105" s="469">
        <v>41318</v>
      </c>
      <c r="C105" s="449" t="s">
        <v>743</v>
      </c>
      <c r="D105" s="449" t="s">
        <v>653</v>
      </c>
      <c r="E105" s="449">
        <v>302</v>
      </c>
      <c r="F105" s="449">
        <v>5427</v>
      </c>
      <c r="G105" s="449" t="s">
        <v>134</v>
      </c>
      <c r="H105" s="449" t="s">
        <v>6</v>
      </c>
      <c r="I105" s="449" t="s">
        <v>738</v>
      </c>
      <c r="J105" s="449" t="s">
        <v>1236</v>
      </c>
      <c r="K105" s="450" t="s">
        <v>740</v>
      </c>
      <c r="L105" s="451">
        <v>1</v>
      </c>
      <c r="M105" s="452">
        <v>900</v>
      </c>
      <c r="N105" s="452"/>
      <c r="O105" s="453">
        <v>55.406999999999996</v>
      </c>
      <c r="P105" s="453"/>
      <c r="Q105" s="454">
        <v>57</v>
      </c>
      <c r="R105" s="569"/>
      <c r="S105" s="454">
        <v>0</v>
      </c>
      <c r="T105" s="455">
        <v>1.5930000000000035</v>
      </c>
      <c r="U105" s="456">
        <v>0</v>
      </c>
      <c r="V105" s="457">
        <v>1433.7000000000032</v>
      </c>
      <c r="W105" s="457">
        <v>0</v>
      </c>
      <c r="X105" s="458">
        <v>51300</v>
      </c>
      <c r="Y105" s="458">
        <v>0</v>
      </c>
      <c r="Z105" s="459" t="e">
        <v>#VALUE!</v>
      </c>
      <c r="AA105" s="459"/>
      <c r="AB105" s="450" t="s">
        <v>224</v>
      </c>
      <c r="AC105" s="460">
        <v>11174</v>
      </c>
      <c r="AD105" s="450">
        <v>400140</v>
      </c>
      <c r="AE105" s="450" t="s">
        <v>1366</v>
      </c>
      <c r="AF105" s="461" t="s">
        <v>1367</v>
      </c>
      <c r="AG105" s="461" t="s">
        <v>1368</v>
      </c>
      <c r="AH105" s="450">
        <v>11333</v>
      </c>
      <c r="AI105" s="462">
        <v>1</v>
      </c>
      <c r="AJ105" s="463" t="s">
        <v>1368</v>
      </c>
      <c r="AK105" s="463" t="s">
        <v>1369</v>
      </c>
      <c r="AL105" s="449" t="s">
        <v>1370</v>
      </c>
      <c r="AM105" s="449" t="s">
        <v>1371</v>
      </c>
      <c r="AN105" s="464">
        <v>12466.575000000001</v>
      </c>
      <c r="AP105" s="464">
        <v>12466.575000000001</v>
      </c>
      <c r="AQ105" s="464">
        <v>12466.575000000004</v>
      </c>
      <c r="AR105" s="464">
        <v>12466.575000000001</v>
      </c>
      <c r="AS105" s="450" t="s">
        <v>1243</v>
      </c>
      <c r="AT105" s="450" t="s">
        <v>1244</v>
      </c>
      <c r="AU105" s="450" t="s">
        <v>1245</v>
      </c>
      <c r="AW105" s="466" t="s">
        <v>1367</v>
      </c>
    </row>
    <row r="106" spans="1:255">
      <c r="A106" s="447">
        <v>20135506</v>
      </c>
      <c r="B106" s="469">
        <v>41318</v>
      </c>
      <c r="C106" s="449" t="s">
        <v>743</v>
      </c>
      <c r="D106" s="449" t="s">
        <v>653</v>
      </c>
      <c r="E106" s="449">
        <v>302</v>
      </c>
      <c r="F106" s="449">
        <v>5948</v>
      </c>
      <c r="G106" s="449" t="s">
        <v>351</v>
      </c>
      <c r="H106" s="449" t="s">
        <v>5</v>
      </c>
      <c r="I106" s="449" t="s">
        <v>738</v>
      </c>
      <c r="J106" s="449" t="s">
        <v>744</v>
      </c>
      <c r="K106" s="450" t="s">
        <v>740</v>
      </c>
      <c r="L106" s="451">
        <v>1</v>
      </c>
      <c r="M106" s="452">
        <v>900</v>
      </c>
      <c r="N106" s="452"/>
      <c r="O106" s="453">
        <v>13.0611</v>
      </c>
      <c r="P106" s="453"/>
      <c r="Q106" s="454">
        <v>13</v>
      </c>
      <c r="R106" s="569"/>
      <c r="S106" s="454">
        <v>0</v>
      </c>
      <c r="T106" s="455">
        <v>-6.109999999999971E-2</v>
      </c>
      <c r="U106" s="456">
        <v>0</v>
      </c>
      <c r="V106" s="457">
        <v>-54.989999999999739</v>
      </c>
      <c r="W106" s="457">
        <v>0</v>
      </c>
      <c r="X106" s="458">
        <v>11700</v>
      </c>
      <c r="Y106" s="458">
        <v>0</v>
      </c>
      <c r="Z106" s="459" t="e">
        <v>#VALUE!</v>
      </c>
      <c r="AA106" s="459"/>
      <c r="AB106" s="450" t="s">
        <v>224</v>
      </c>
      <c r="AC106" s="460">
        <v>10125</v>
      </c>
      <c r="AD106" s="450">
        <v>400112</v>
      </c>
      <c r="AE106" s="450" t="s">
        <v>1372</v>
      </c>
      <c r="AF106" s="461" t="s">
        <v>1373</v>
      </c>
      <c r="AG106" s="461" t="s">
        <v>1374</v>
      </c>
      <c r="AH106" s="450">
        <v>11334</v>
      </c>
      <c r="AI106" s="462">
        <v>1</v>
      </c>
      <c r="AJ106" s="463" t="s">
        <v>1374</v>
      </c>
      <c r="AK106" s="463" t="s">
        <v>1375</v>
      </c>
      <c r="AL106" s="449" t="s">
        <v>1376</v>
      </c>
      <c r="AM106" s="449" t="s">
        <v>1377</v>
      </c>
      <c r="AN106" s="464">
        <v>2938.7474999999999</v>
      </c>
      <c r="AP106" s="464">
        <v>2938.7474999999999</v>
      </c>
      <c r="AQ106" s="464">
        <v>2938.7475000000009</v>
      </c>
      <c r="AR106" s="464">
        <v>2938.7474999999999</v>
      </c>
      <c r="AS106" s="450" t="s">
        <v>751</v>
      </c>
      <c r="AT106" s="450" t="s">
        <v>752</v>
      </c>
      <c r="AU106" s="450" t="s">
        <v>753</v>
      </c>
      <c r="AW106" s="466" t="s">
        <v>1373</v>
      </c>
    </row>
    <row r="107" spans="1:255">
      <c r="A107" s="447">
        <v>20135595</v>
      </c>
      <c r="B107" s="469">
        <v>41318</v>
      </c>
      <c r="C107" s="449" t="s">
        <v>743</v>
      </c>
      <c r="D107" s="449" t="s">
        <v>653</v>
      </c>
      <c r="E107" s="449">
        <v>302</v>
      </c>
      <c r="F107" s="449">
        <v>5949</v>
      </c>
      <c r="G107" s="449" t="s">
        <v>78</v>
      </c>
      <c r="H107" s="449" t="s">
        <v>5</v>
      </c>
      <c r="I107" s="449" t="s">
        <v>738</v>
      </c>
      <c r="J107" s="449" t="s">
        <v>744</v>
      </c>
      <c r="K107" s="450" t="s">
        <v>740</v>
      </c>
      <c r="L107" s="451">
        <v>1</v>
      </c>
      <c r="M107" s="452">
        <v>900</v>
      </c>
      <c r="N107" s="452">
        <v>300</v>
      </c>
      <c r="O107" s="453">
        <v>6.9607999999999999</v>
      </c>
      <c r="P107" s="453"/>
      <c r="Q107" s="454">
        <v>6</v>
      </c>
      <c r="R107" s="569"/>
      <c r="S107" s="454">
        <v>5</v>
      </c>
      <c r="T107" s="455">
        <v>-0.96079999999999988</v>
      </c>
      <c r="U107" s="456">
        <v>5</v>
      </c>
      <c r="V107" s="457">
        <v>-864.71999999999991</v>
      </c>
      <c r="W107" s="457">
        <v>1500</v>
      </c>
      <c r="X107" s="458">
        <v>5400</v>
      </c>
      <c r="Y107" s="458">
        <v>1500</v>
      </c>
      <c r="Z107" s="459" t="e">
        <v>#VALUE!</v>
      </c>
      <c r="AA107" s="459"/>
      <c r="AB107" s="450" t="s">
        <v>224</v>
      </c>
      <c r="AC107" s="460">
        <v>10126</v>
      </c>
      <c r="AD107" s="450">
        <v>400110</v>
      </c>
      <c r="AE107" s="450" t="s">
        <v>1378</v>
      </c>
      <c r="AF107" s="461" t="s">
        <v>1379</v>
      </c>
      <c r="AG107" s="461" t="s">
        <v>1380</v>
      </c>
      <c r="AH107" s="450">
        <v>11334</v>
      </c>
      <c r="AI107" s="462">
        <v>1</v>
      </c>
      <c r="AJ107" s="463" t="s">
        <v>1380</v>
      </c>
      <c r="AK107" s="463" t="s">
        <v>1381</v>
      </c>
      <c r="AL107" s="449" t="s">
        <v>1382</v>
      </c>
      <c r="AM107" s="449" t="s">
        <v>1383</v>
      </c>
      <c r="AN107" s="464">
        <v>1566.18</v>
      </c>
      <c r="AP107" s="464">
        <v>1566.18</v>
      </c>
      <c r="AQ107" s="464">
        <v>1566.1799999999996</v>
      </c>
      <c r="AR107" s="464">
        <v>1566.18</v>
      </c>
      <c r="AS107" s="450" t="s">
        <v>751</v>
      </c>
      <c r="AT107" s="450" t="s">
        <v>752</v>
      </c>
      <c r="AU107" s="450" t="s">
        <v>753</v>
      </c>
      <c r="AW107" s="466" t="s">
        <v>1379</v>
      </c>
    </row>
    <row r="108" spans="1:255">
      <c r="A108" s="447">
        <v>20142270</v>
      </c>
      <c r="B108" s="469">
        <v>41318</v>
      </c>
      <c r="C108" s="449" t="s">
        <v>743</v>
      </c>
      <c r="D108" s="449" t="s">
        <v>653</v>
      </c>
      <c r="E108" s="449">
        <v>302</v>
      </c>
      <c r="F108" s="449">
        <v>7000</v>
      </c>
      <c r="G108" s="449" t="s">
        <v>131</v>
      </c>
      <c r="H108" s="449" t="s">
        <v>7</v>
      </c>
      <c r="I108" s="449" t="s">
        <v>738</v>
      </c>
      <c r="J108" s="449" t="s">
        <v>744</v>
      </c>
      <c r="K108" s="450" t="s">
        <v>740</v>
      </c>
      <c r="L108" s="451">
        <v>1</v>
      </c>
      <c r="M108" s="452">
        <v>900</v>
      </c>
      <c r="N108" s="452"/>
      <c r="O108" s="453">
        <v>51</v>
      </c>
      <c r="P108" s="453"/>
      <c r="Q108" s="454">
        <v>53</v>
      </c>
      <c r="R108" s="569"/>
      <c r="S108" s="454">
        <v>0</v>
      </c>
      <c r="T108" s="455">
        <v>2</v>
      </c>
      <c r="U108" s="456">
        <v>0</v>
      </c>
      <c r="V108" s="457">
        <v>1800</v>
      </c>
      <c r="W108" s="457">
        <v>0</v>
      </c>
      <c r="X108" s="458">
        <v>47700</v>
      </c>
      <c r="Y108" s="458">
        <v>0</v>
      </c>
      <c r="Z108" s="459" t="e">
        <v>#VALUE!</v>
      </c>
      <c r="AA108" s="459"/>
      <c r="AB108" s="450" t="s">
        <v>224</v>
      </c>
      <c r="AC108" s="460">
        <v>10156</v>
      </c>
      <c r="AD108" s="450">
        <v>400090</v>
      </c>
      <c r="AE108" s="450" t="s">
        <v>1384</v>
      </c>
      <c r="AF108" s="461" t="s">
        <v>1385</v>
      </c>
      <c r="AG108" s="461" t="s">
        <v>1386</v>
      </c>
      <c r="AH108" s="450">
        <v>11332</v>
      </c>
      <c r="AI108" s="462">
        <v>1</v>
      </c>
      <c r="AJ108" s="463" t="s">
        <v>1386</v>
      </c>
      <c r="AK108" s="463" t="s">
        <v>1387</v>
      </c>
      <c r="AL108" s="449" t="s">
        <v>1388</v>
      </c>
      <c r="AM108" s="449" t="s">
        <v>1389</v>
      </c>
      <c r="AN108" s="464">
        <v>11475</v>
      </c>
      <c r="AP108" s="464">
        <v>11475</v>
      </c>
      <c r="AQ108" s="464">
        <v>11475</v>
      </c>
      <c r="AR108" s="464">
        <v>11475</v>
      </c>
      <c r="AS108" s="450" t="s">
        <v>1390</v>
      </c>
      <c r="AT108" s="450" t="s">
        <v>752</v>
      </c>
      <c r="AU108" s="450" t="s">
        <v>1391</v>
      </c>
      <c r="AW108" s="466" t="s">
        <v>1385</v>
      </c>
      <c r="AX108" s="471"/>
    </row>
    <row r="109" spans="1:255">
      <c r="A109" s="447">
        <v>20142359</v>
      </c>
      <c r="B109" s="469">
        <v>41318</v>
      </c>
      <c r="C109" s="449" t="s">
        <v>743</v>
      </c>
      <c r="D109" s="449" t="s">
        <v>653</v>
      </c>
      <c r="E109" s="449">
        <v>302</v>
      </c>
      <c r="F109" s="449">
        <v>7005</v>
      </c>
      <c r="G109" s="449" t="s">
        <v>130</v>
      </c>
      <c r="H109" s="449" t="s">
        <v>7</v>
      </c>
      <c r="I109" s="449" t="s">
        <v>738</v>
      </c>
      <c r="J109" s="449" t="s">
        <v>744</v>
      </c>
      <c r="K109" s="450" t="s">
        <v>740</v>
      </c>
      <c r="L109" s="451">
        <v>1</v>
      </c>
      <c r="M109" s="452">
        <v>900</v>
      </c>
      <c r="N109" s="452"/>
      <c r="O109" s="453">
        <v>43</v>
      </c>
      <c r="P109" s="453"/>
      <c r="Q109" s="454">
        <v>44</v>
      </c>
      <c r="R109" s="569"/>
      <c r="S109" s="454">
        <v>0</v>
      </c>
      <c r="T109" s="455">
        <v>1</v>
      </c>
      <c r="U109" s="456">
        <v>0</v>
      </c>
      <c r="V109" s="457">
        <v>900</v>
      </c>
      <c r="W109" s="457">
        <v>0</v>
      </c>
      <c r="X109" s="458">
        <v>39600</v>
      </c>
      <c r="Y109" s="458">
        <v>0</v>
      </c>
      <c r="Z109" s="459" t="e">
        <v>#VALUE!</v>
      </c>
      <c r="AA109" s="459"/>
      <c r="AB109" s="450" t="s">
        <v>224</v>
      </c>
      <c r="AC109" s="460">
        <v>10157</v>
      </c>
      <c r="AD109" s="450">
        <v>400034</v>
      </c>
      <c r="AE109" s="450" t="s">
        <v>1392</v>
      </c>
      <c r="AF109" s="461" t="s">
        <v>1393</v>
      </c>
      <c r="AG109" s="461" t="s">
        <v>1394</v>
      </c>
      <c r="AH109" s="450">
        <v>11332</v>
      </c>
      <c r="AI109" s="462">
        <v>1</v>
      </c>
      <c r="AJ109" s="463" t="s">
        <v>1394</v>
      </c>
      <c r="AK109" s="463" t="s">
        <v>1395</v>
      </c>
      <c r="AL109" s="449" t="s">
        <v>1396</v>
      </c>
      <c r="AM109" s="449" t="s">
        <v>1397</v>
      </c>
      <c r="AN109" s="464">
        <v>9675</v>
      </c>
      <c r="AP109" s="464">
        <v>9675</v>
      </c>
      <c r="AQ109" s="464">
        <v>9675</v>
      </c>
      <c r="AR109" s="464">
        <v>9675</v>
      </c>
      <c r="AS109" s="450" t="s">
        <v>1390</v>
      </c>
      <c r="AT109" s="450" t="s">
        <v>752</v>
      </c>
      <c r="AU109" s="450" t="s">
        <v>1391</v>
      </c>
      <c r="AW109" s="466" t="s">
        <v>1393</v>
      </c>
      <c r="AX109" s="472"/>
      <c r="AY109" s="450"/>
      <c r="AZ109" s="450"/>
      <c r="BA109" s="450"/>
      <c r="BB109" s="450"/>
      <c r="BC109" s="450"/>
      <c r="BD109" s="450"/>
      <c r="BE109" s="450"/>
      <c r="BF109" s="450"/>
      <c r="BG109" s="450"/>
      <c r="BH109" s="450"/>
      <c r="BI109" s="450"/>
      <c r="BJ109" s="450"/>
      <c r="BK109" s="450"/>
      <c r="BL109" s="450"/>
      <c r="BM109" s="450"/>
      <c r="BN109" s="450"/>
      <c r="BO109" s="450"/>
      <c r="BP109" s="450"/>
      <c r="BQ109" s="450"/>
      <c r="BR109" s="450"/>
      <c r="BS109" s="450"/>
      <c r="BT109" s="450"/>
      <c r="BU109" s="450"/>
      <c r="BV109" s="450"/>
      <c r="BW109" s="450"/>
      <c r="BX109" s="450"/>
      <c r="BY109" s="450"/>
      <c r="BZ109" s="450"/>
      <c r="CA109" s="450"/>
      <c r="CB109" s="450"/>
      <c r="CC109" s="450"/>
      <c r="CD109" s="450"/>
      <c r="CE109" s="450"/>
      <c r="CF109" s="450"/>
      <c r="CG109" s="450"/>
      <c r="CH109" s="450"/>
      <c r="CI109" s="450"/>
      <c r="CJ109" s="450"/>
      <c r="CK109" s="450"/>
      <c r="CL109" s="450"/>
      <c r="CM109" s="450"/>
      <c r="CN109" s="450"/>
      <c r="CO109" s="450"/>
      <c r="CP109" s="450"/>
      <c r="CQ109" s="450"/>
      <c r="CR109" s="450"/>
      <c r="CS109" s="450"/>
      <c r="CT109" s="450"/>
      <c r="CU109" s="450"/>
      <c r="CV109" s="450"/>
      <c r="CW109" s="450"/>
      <c r="CX109" s="450"/>
      <c r="CY109" s="450"/>
      <c r="CZ109" s="450"/>
      <c r="DA109" s="450"/>
      <c r="DB109" s="450"/>
      <c r="DC109" s="450"/>
      <c r="DD109" s="450"/>
      <c r="DE109" s="450"/>
      <c r="DF109" s="450"/>
      <c r="DG109" s="450"/>
      <c r="DH109" s="450"/>
      <c r="DI109" s="450"/>
      <c r="DJ109" s="450"/>
      <c r="DK109" s="450"/>
      <c r="DL109" s="450"/>
      <c r="DM109" s="450"/>
      <c r="DN109" s="450"/>
      <c r="DO109" s="450"/>
      <c r="DP109" s="450"/>
      <c r="DQ109" s="450"/>
      <c r="DR109" s="450"/>
      <c r="DS109" s="450"/>
      <c r="DT109" s="450"/>
      <c r="DU109" s="450"/>
      <c r="DV109" s="450"/>
      <c r="DW109" s="450"/>
      <c r="DX109" s="450"/>
      <c r="DY109" s="450"/>
      <c r="DZ109" s="450"/>
      <c r="EA109" s="450"/>
      <c r="EB109" s="450"/>
      <c r="EC109" s="450"/>
      <c r="ED109" s="450"/>
      <c r="EE109" s="450"/>
      <c r="EF109" s="450"/>
      <c r="EG109" s="450"/>
      <c r="EH109" s="450"/>
      <c r="EI109" s="450"/>
      <c r="EJ109" s="450"/>
      <c r="EK109" s="450"/>
      <c r="EL109" s="450"/>
      <c r="EM109" s="450"/>
      <c r="EN109" s="450"/>
      <c r="EO109" s="450"/>
      <c r="EP109" s="450"/>
      <c r="EQ109" s="450"/>
      <c r="ER109" s="450"/>
      <c r="ES109" s="450"/>
      <c r="ET109" s="450"/>
      <c r="EU109" s="450"/>
      <c r="EV109" s="450"/>
      <c r="EW109" s="450"/>
      <c r="EX109" s="450"/>
      <c r="EY109" s="450"/>
      <c r="EZ109" s="450"/>
      <c r="FA109" s="450"/>
      <c r="FB109" s="450"/>
      <c r="FC109" s="450"/>
      <c r="FD109" s="450"/>
      <c r="FE109" s="450"/>
      <c r="FF109" s="450"/>
      <c r="FG109" s="450"/>
      <c r="FH109" s="450"/>
      <c r="FI109" s="450"/>
      <c r="FJ109" s="450"/>
      <c r="FK109" s="450"/>
      <c r="FL109" s="450"/>
      <c r="FM109" s="450"/>
      <c r="FN109" s="450"/>
      <c r="FO109" s="450"/>
      <c r="FP109" s="450"/>
      <c r="FQ109" s="450"/>
      <c r="FR109" s="450"/>
      <c r="FS109" s="450"/>
      <c r="FT109" s="450"/>
      <c r="FU109" s="450"/>
      <c r="FV109" s="450"/>
      <c r="FW109" s="450"/>
      <c r="FX109" s="450"/>
      <c r="FY109" s="450"/>
      <c r="FZ109" s="450"/>
      <c r="GA109" s="450"/>
      <c r="GB109" s="450"/>
      <c r="GC109" s="450"/>
      <c r="GD109" s="450"/>
      <c r="GE109" s="450"/>
      <c r="GF109" s="450"/>
      <c r="GG109" s="450"/>
      <c r="GH109" s="450"/>
      <c r="GI109" s="450"/>
      <c r="GJ109" s="450"/>
      <c r="GK109" s="450"/>
      <c r="GL109" s="450"/>
      <c r="GM109" s="450"/>
      <c r="GN109" s="450"/>
      <c r="GO109" s="450"/>
      <c r="GP109" s="450"/>
      <c r="GQ109" s="450"/>
      <c r="GR109" s="450"/>
      <c r="GS109" s="450"/>
      <c r="GT109" s="450"/>
      <c r="GU109" s="450"/>
      <c r="GV109" s="450"/>
      <c r="GW109" s="450"/>
      <c r="GX109" s="450"/>
      <c r="GY109" s="450"/>
      <c r="GZ109" s="450"/>
      <c r="HA109" s="450"/>
      <c r="HB109" s="450"/>
      <c r="HC109" s="450"/>
      <c r="HD109" s="450"/>
      <c r="HE109" s="450"/>
      <c r="HF109" s="450"/>
      <c r="HG109" s="450"/>
      <c r="HH109" s="450"/>
      <c r="HI109" s="450"/>
      <c r="HJ109" s="450"/>
      <c r="HK109" s="450"/>
      <c r="HL109" s="450"/>
      <c r="HM109" s="450"/>
      <c r="HN109" s="450"/>
      <c r="HO109" s="450"/>
      <c r="HP109" s="450"/>
      <c r="HQ109" s="450"/>
      <c r="HR109" s="450"/>
      <c r="HS109" s="450"/>
      <c r="HT109" s="450"/>
      <c r="HU109" s="450"/>
      <c r="HV109" s="450"/>
      <c r="HW109" s="450"/>
      <c r="HX109" s="450"/>
      <c r="HY109" s="450"/>
      <c r="HZ109" s="450"/>
      <c r="IA109" s="450"/>
      <c r="IB109" s="450"/>
      <c r="IC109" s="450"/>
      <c r="ID109" s="450"/>
      <c r="IE109" s="450"/>
      <c r="IF109" s="450"/>
      <c r="IG109" s="450"/>
      <c r="IH109" s="450"/>
      <c r="II109" s="450"/>
      <c r="IJ109" s="450"/>
      <c r="IK109" s="450"/>
      <c r="IL109" s="450"/>
      <c r="IM109" s="450"/>
      <c r="IN109" s="450"/>
      <c r="IO109" s="450"/>
      <c r="IP109" s="450"/>
      <c r="IQ109" s="450"/>
      <c r="IR109" s="450"/>
      <c r="IS109" s="450"/>
      <c r="IT109" s="450"/>
      <c r="IU109" s="450"/>
    </row>
    <row r="110" spans="1:255">
      <c r="A110" s="447">
        <v>20142448</v>
      </c>
      <c r="B110" s="469">
        <v>41318</v>
      </c>
      <c r="C110" s="449" t="s">
        <v>743</v>
      </c>
      <c r="D110" s="449" t="s">
        <v>653</v>
      </c>
      <c r="E110" s="449">
        <v>302</v>
      </c>
      <c r="F110" s="449">
        <v>7009</v>
      </c>
      <c r="G110" s="449" t="s">
        <v>132</v>
      </c>
      <c r="H110" s="449" t="s">
        <v>7</v>
      </c>
      <c r="I110" s="449" t="s">
        <v>738</v>
      </c>
      <c r="J110" s="449" t="s">
        <v>744</v>
      </c>
      <c r="K110" s="450" t="s">
        <v>740</v>
      </c>
      <c r="L110" s="451">
        <v>1</v>
      </c>
      <c r="M110" s="452">
        <v>900</v>
      </c>
      <c r="N110" s="452">
        <v>300</v>
      </c>
      <c r="O110" s="453">
        <v>23</v>
      </c>
      <c r="P110" s="453"/>
      <c r="Q110" s="454">
        <v>21</v>
      </c>
      <c r="R110" s="569"/>
      <c r="S110" s="454">
        <v>1</v>
      </c>
      <c r="T110" s="455">
        <v>-2</v>
      </c>
      <c r="U110" s="456">
        <v>1</v>
      </c>
      <c r="V110" s="457">
        <v>-1800</v>
      </c>
      <c r="W110" s="457">
        <v>300</v>
      </c>
      <c r="X110" s="458">
        <v>18900</v>
      </c>
      <c r="Y110" s="458">
        <v>300</v>
      </c>
      <c r="Z110" s="459" t="e">
        <v>#VALUE!</v>
      </c>
      <c r="AA110" s="459"/>
      <c r="AB110" s="450" t="s">
        <v>224</v>
      </c>
      <c r="AC110" s="460">
        <v>10158</v>
      </c>
      <c r="AD110" s="450">
        <v>400091</v>
      </c>
      <c r="AE110" s="450" t="s">
        <v>1398</v>
      </c>
      <c r="AF110" s="461" t="s">
        <v>1399</v>
      </c>
      <c r="AG110" s="461" t="s">
        <v>1400</v>
      </c>
      <c r="AH110" s="450">
        <v>11332</v>
      </c>
      <c r="AI110" s="462">
        <v>1</v>
      </c>
      <c r="AJ110" s="463" t="s">
        <v>1400</v>
      </c>
      <c r="AK110" s="463" t="s">
        <v>1401</v>
      </c>
      <c r="AL110" s="449" t="s">
        <v>1402</v>
      </c>
      <c r="AM110" s="449" t="s">
        <v>1403</v>
      </c>
      <c r="AN110" s="464">
        <v>5175</v>
      </c>
      <c r="AP110" s="464">
        <v>5175</v>
      </c>
      <c r="AQ110" s="464">
        <v>5175</v>
      </c>
      <c r="AR110" s="464">
        <v>5175</v>
      </c>
      <c r="AS110" s="450" t="s">
        <v>1390</v>
      </c>
      <c r="AT110" s="450" t="s">
        <v>752</v>
      </c>
      <c r="AU110" s="450" t="s">
        <v>1391</v>
      </c>
      <c r="AW110" s="466" t="s">
        <v>1399</v>
      </c>
      <c r="AX110" s="471"/>
      <c r="AY110" s="450"/>
      <c r="AZ110" s="450"/>
      <c r="BA110" s="450"/>
      <c r="BB110" s="450"/>
      <c r="BC110" s="450"/>
      <c r="BD110" s="450"/>
      <c r="BE110" s="450"/>
      <c r="BF110" s="450"/>
      <c r="BG110" s="450"/>
      <c r="BH110" s="450"/>
      <c r="BI110" s="450"/>
      <c r="BJ110" s="450"/>
      <c r="BK110" s="450"/>
      <c r="BL110" s="450"/>
      <c r="BM110" s="450"/>
      <c r="BN110" s="450"/>
      <c r="BO110" s="450"/>
      <c r="BP110" s="450"/>
      <c r="BQ110" s="450"/>
      <c r="BR110" s="450"/>
      <c r="BS110" s="450"/>
      <c r="BT110" s="450"/>
      <c r="BU110" s="450"/>
      <c r="BV110" s="450"/>
      <c r="BW110" s="450"/>
      <c r="BX110" s="450"/>
      <c r="BY110" s="450"/>
      <c r="BZ110" s="450"/>
      <c r="CA110" s="450"/>
      <c r="CB110" s="450"/>
      <c r="CC110" s="450"/>
      <c r="CD110" s="450"/>
      <c r="CE110" s="450"/>
      <c r="CF110" s="450"/>
      <c r="CG110" s="450"/>
      <c r="CH110" s="450"/>
      <c r="CI110" s="450"/>
      <c r="CJ110" s="450"/>
      <c r="CK110" s="450"/>
      <c r="CL110" s="450"/>
      <c r="CM110" s="450"/>
      <c r="CN110" s="450"/>
      <c r="CO110" s="450"/>
      <c r="CP110" s="450"/>
      <c r="CQ110" s="450"/>
      <c r="CR110" s="450"/>
      <c r="CS110" s="450"/>
      <c r="CT110" s="450"/>
      <c r="CU110" s="450"/>
      <c r="CV110" s="450"/>
      <c r="CW110" s="450"/>
      <c r="CX110" s="450"/>
      <c r="CY110" s="450"/>
      <c r="CZ110" s="450"/>
      <c r="DA110" s="450"/>
      <c r="DB110" s="450"/>
      <c r="DC110" s="450"/>
      <c r="DD110" s="450"/>
      <c r="DE110" s="450"/>
      <c r="DF110" s="450"/>
      <c r="DG110" s="450"/>
      <c r="DH110" s="450"/>
      <c r="DI110" s="450"/>
      <c r="DJ110" s="450"/>
      <c r="DK110" s="450"/>
      <c r="DL110" s="450"/>
      <c r="DM110" s="450"/>
      <c r="DN110" s="450"/>
      <c r="DO110" s="450"/>
      <c r="DP110" s="450"/>
      <c r="DQ110" s="450"/>
      <c r="DR110" s="450"/>
      <c r="DS110" s="450"/>
      <c r="DT110" s="450"/>
      <c r="DU110" s="450"/>
      <c r="DV110" s="450"/>
      <c r="DW110" s="450"/>
      <c r="DX110" s="450"/>
      <c r="DY110" s="450"/>
      <c r="DZ110" s="450"/>
      <c r="EA110" s="450"/>
      <c r="EB110" s="450"/>
      <c r="EC110" s="450"/>
      <c r="ED110" s="450"/>
      <c r="EE110" s="450"/>
      <c r="EF110" s="450"/>
      <c r="EG110" s="450"/>
      <c r="EH110" s="450"/>
      <c r="EI110" s="450"/>
      <c r="EJ110" s="450"/>
      <c r="EK110" s="450"/>
      <c r="EL110" s="450"/>
      <c r="EM110" s="450"/>
      <c r="EN110" s="450"/>
      <c r="EO110" s="450"/>
      <c r="EP110" s="450"/>
      <c r="EQ110" s="450"/>
      <c r="ER110" s="450"/>
      <c r="ES110" s="450"/>
      <c r="ET110" s="450"/>
      <c r="EU110" s="450"/>
      <c r="EV110" s="450"/>
      <c r="EW110" s="450"/>
      <c r="EX110" s="450"/>
      <c r="EY110" s="450"/>
      <c r="EZ110" s="450"/>
      <c r="FA110" s="450"/>
      <c r="FB110" s="450"/>
      <c r="FC110" s="450"/>
      <c r="FD110" s="450"/>
      <c r="FE110" s="450"/>
      <c r="FF110" s="450"/>
      <c r="FG110" s="450"/>
      <c r="FH110" s="450"/>
      <c r="FI110" s="450"/>
      <c r="FJ110" s="450"/>
      <c r="FK110" s="450"/>
      <c r="FL110" s="450"/>
      <c r="FM110" s="450"/>
      <c r="FN110" s="450"/>
      <c r="FO110" s="450"/>
      <c r="FP110" s="450"/>
      <c r="FQ110" s="450"/>
      <c r="FR110" s="450"/>
      <c r="FS110" s="450"/>
      <c r="FT110" s="450"/>
      <c r="FU110" s="450"/>
      <c r="FV110" s="450"/>
      <c r="FW110" s="450"/>
      <c r="FX110" s="450"/>
      <c r="FY110" s="450"/>
      <c r="FZ110" s="450"/>
      <c r="GA110" s="450"/>
      <c r="GB110" s="450"/>
      <c r="GC110" s="450"/>
      <c r="GD110" s="450"/>
      <c r="GE110" s="450"/>
      <c r="GF110" s="450"/>
      <c r="GG110" s="450"/>
      <c r="GH110" s="450"/>
      <c r="GI110" s="450"/>
      <c r="GJ110" s="450"/>
      <c r="GK110" s="450"/>
      <c r="GL110" s="450"/>
      <c r="GM110" s="450"/>
      <c r="GN110" s="450"/>
      <c r="GO110" s="450"/>
      <c r="GP110" s="450"/>
      <c r="GQ110" s="450"/>
      <c r="GR110" s="450"/>
      <c r="GS110" s="450"/>
      <c r="GT110" s="450"/>
      <c r="GU110" s="450"/>
      <c r="GV110" s="450"/>
      <c r="GW110" s="450"/>
      <c r="GX110" s="450"/>
      <c r="GY110" s="450"/>
      <c r="GZ110" s="450"/>
      <c r="HA110" s="450"/>
      <c r="HB110" s="450"/>
      <c r="HC110" s="450"/>
      <c r="HD110" s="450"/>
      <c r="HE110" s="450"/>
      <c r="HF110" s="450"/>
      <c r="HG110" s="450"/>
      <c r="HH110" s="450"/>
      <c r="HI110" s="450"/>
      <c r="HJ110" s="450"/>
      <c r="HK110" s="450"/>
      <c r="HL110" s="450"/>
      <c r="HM110" s="450"/>
      <c r="HN110" s="450"/>
      <c r="HO110" s="450"/>
      <c r="HP110" s="450"/>
      <c r="HQ110" s="450"/>
      <c r="HR110" s="450"/>
      <c r="HS110" s="450"/>
      <c r="HT110" s="450"/>
      <c r="HU110" s="450"/>
      <c r="HV110" s="450"/>
      <c r="HW110" s="450"/>
      <c r="HX110" s="450"/>
      <c r="HY110" s="450"/>
      <c r="HZ110" s="450"/>
      <c r="IA110" s="450"/>
      <c r="IB110" s="450"/>
      <c r="IC110" s="450"/>
      <c r="ID110" s="450"/>
      <c r="IE110" s="450"/>
      <c r="IF110" s="450"/>
      <c r="IG110" s="450"/>
      <c r="IH110" s="450"/>
      <c r="II110" s="450"/>
      <c r="IJ110" s="450"/>
      <c r="IK110" s="450"/>
      <c r="IL110" s="450"/>
      <c r="IM110" s="450"/>
      <c r="IN110" s="450"/>
      <c r="IO110" s="450"/>
      <c r="IP110" s="450"/>
      <c r="IQ110" s="450"/>
      <c r="IR110" s="450"/>
      <c r="IS110" s="450"/>
      <c r="IT110" s="450"/>
      <c r="IU110" s="450"/>
    </row>
    <row r="111" spans="1:255">
      <c r="A111" s="447">
        <v>20142537</v>
      </c>
      <c r="B111" s="469">
        <v>41318</v>
      </c>
      <c r="C111" s="449" t="s">
        <v>743</v>
      </c>
      <c r="D111" s="449" t="s">
        <v>653</v>
      </c>
      <c r="E111" s="449">
        <v>302</v>
      </c>
      <c r="F111" s="449">
        <v>7010</v>
      </c>
      <c r="G111" s="449" t="s">
        <v>129</v>
      </c>
      <c r="H111" s="449" t="s">
        <v>7</v>
      </c>
      <c r="I111" s="449" t="s">
        <v>738</v>
      </c>
      <c r="J111" s="449" t="s">
        <v>744</v>
      </c>
      <c r="K111" s="450" t="s">
        <v>740</v>
      </c>
      <c r="L111" s="451">
        <v>1</v>
      </c>
      <c r="M111" s="452">
        <v>900</v>
      </c>
      <c r="N111" s="452"/>
      <c r="O111" s="453">
        <v>24</v>
      </c>
      <c r="P111" s="453"/>
      <c r="Q111" s="454">
        <v>31</v>
      </c>
      <c r="R111" s="569"/>
      <c r="S111" s="454">
        <v>0</v>
      </c>
      <c r="T111" s="455">
        <v>7</v>
      </c>
      <c r="U111" s="456">
        <v>0</v>
      </c>
      <c r="V111" s="457">
        <v>6300</v>
      </c>
      <c r="W111" s="457">
        <v>0</v>
      </c>
      <c r="X111" s="458">
        <v>27900</v>
      </c>
      <c r="Y111" s="458">
        <v>0</v>
      </c>
      <c r="Z111" s="459" t="e">
        <v>#VALUE!</v>
      </c>
      <c r="AA111" s="459"/>
      <c r="AB111" s="450" t="s">
        <v>224</v>
      </c>
      <c r="AC111" s="460">
        <v>10159</v>
      </c>
      <c r="AD111" s="450">
        <v>400063</v>
      </c>
      <c r="AE111" s="450" t="s">
        <v>1404</v>
      </c>
      <c r="AF111" s="461" t="s">
        <v>1405</v>
      </c>
      <c r="AG111" s="461" t="s">
        <v>1406</v>
      </c>
      <c r="AH111" s="450">
        <v>11332</v>
      </c>
      <c r="AI111" s="462">
        <v>1</v>
      </c>
      <c r="AJ111" s="463" t="s">
        <v>1406</v>
      </c>
      <c r="AK111" s="463" t="s">
        <v>1407</v>
      </c>
      <c r="AL111" s="449" t="s">
        <v>1408</v>
      </c>
      <c r="AM111" s="449" t="s">
        <v>1409</v>
      </c>
      <c r="AN111" s="464">
        <v>5400</v>
      </c>
      <c r="AP111" s="464">
        <v>5400</v>
      </c>
      <c r="AQ111" s="464">
        <v>5400</v>
      </c>
      <c r="AR111" s="464">
        <v>5400</v>
      </c>
      <c r="AS111" s="450" t="s">
        <v>1390</v>
      </c>
      <c r="AT111" s="450" t="s">
        <v>752</v>
      </c>
      <c r="AU111" s="450" t="s">
        <v>1391</v>
      </c>
      <c r="AW111" s="466" t="s">
        <v>1405</v>
      </c>
      <c r="AX111" s="471"/>
      <c r="AY111" s="450"/>
      <c r="AZ111" s="450"/>
      <c r="BA111" s="450"/>
      <c r="BB111" s="450"/>
      <c r="BC111" s="450"/>
      <c r="BD111" s="450"/>
      <c r="BE111" s="450"/>
      <c r="BF111" s="450"/>
      <c r="BG111" s="450"/>
      <c r="BH111" s="450"/>
      <c r="BI111" s="450"/>
      <c r="BJ111" s="450"/>
      <c r="BK111" s="450"/>
      <c r="BL111" s="450"/>
      <c r="BM111" s="450"/>
      <c r="BN111" s="450"/>
      <c r="BO111" s="450"/>
      <c r="BP111" s="450"/>
      <c r="BQ111" s="450"/>
      <c r="BR111" s="450"/>
      <c r="BS111" s="450"/>
      <c r="BT111" s="450"/>
      <c r="BU111" s="450"/>
      <c r="BV111" s="450"/>
      <c r="BW111" s="450"/>
      <c r="BX111" s="450"/>
      <c r="BY111" s="450"/>
      <c r="BZ111" s="450"/>
      <c r="CA111" s="450"/>
      <c r="CB111" s="450"/>
      <c r="CC111" s="450"/>
      <c r="CD111" s="450"/>
      <c r="CE111" s="450"/>
      <c r="CF111" s="450"/>
      <c r="CG111" s="450"/>
      <c r="CH111" s="450"/>
      <c r="CI111" s="450"/>
      <c r="CJ111" s="450"/>
      <c r="CK111" s="450"/>
      <c r="CL111" s="450"/>
      <c r="CM111" s="450"/>
      <c r="CN111" s="450"/>
      <c r="CO111" s="450"/>
      <c r="CP111" s="450"/>
      <c r="CQ111" s="450"/>
      <c r="CR111" s="450"/>
      <c r="CS111" s="450"/>
      <c r="CT111" s="450"/>
      <c r="CU111" s="450"/>
      <c r="CV111" s="450"/>
      <c r="CW111" s="450"/>
      <c r="CX111" s="450"/>
      <c r="CY111" s="450"/>
      <c r="CZ111" s="450"/>
      <c r="DA111" s="450"/>
      <c r="DB111" s="450"/>
      <c r="DC111" s="450"/>
      <c r="DD111" s="450"/>
      <c r="DE111" s="450"/>
      <c r="DF111" s="450"/>
      <c r="DG111" s="450"/>
      <c r="DH111" s="450"/>
      <c r="DI111" s="450"/>
      <c r="DJ111" s="450"/>
      <c r="DK111" s="450"/>
      <c r="DL111" s="450"/>
      <c r="DM111" s="450"/>
      <c r="DN111" s="450"/>
      <c r="DO111" s="450"/>
      <c r="DP111" s="450"/>
      <c r="DQ111" s="450"/>
      <c r="DR111" s="450"/>
      <c r="DS111" s="450"/>
      <c r="DT111" s="450"/>
      <c r="DU111" s="450"/>
      <c r="DV111" s="450"/>
      <c r="DW111" s="450"/>
      <c r="DX111" s="450"/>
      <c r="DY111" s="450"/>
      <c r="DZ111" s="450"/>
      <c r="EA111" s="450"/>
      <c r="EB111" s="450"/>
      <c r="EC111" s="450"/>
      <c r="ED111" s="450"/>
      <c r="EE111" s="450"/>
      <c r="EF111" s="450"/>
      <c r="EG111" s="450"/>
      <c r="EH111" s="450"/>
      <c r="EI111" s="450"/>
      <c r="EJ111" s="450"/>
      <c r="EK111" s="450"/>
      <c r="EL111" s="450"/>
      <c r="EM111" s="450"/>
      <c r="EN111" s="450"/>
      <c r="EO111" s="450"/>
      <c r="EP111" s="450"/>
      <c r="EQ111" s="450"/>
      <c r="ER111" s="450"/>
      <c r="ES111" s="450"/>
      <c r="ET111" s="450"/>
      <c r="EU111" s="450"/>
      <c r="EV111" s="450"/>
      <c r="EW111" s="450"/>
      <c r="EX111" s="450"/>
      <c r="EY111" s="450"/>
      <c r="EZ111" s="450"/>
      <c r="FA111" s="450"/>
      <c r="FB111" s="450"/>
      <c r="FC111" s="450"/>
      <c r="FD111" s="450"/>
      <c r="FE111" s="450"/>
      <c r="FF111" s="450"/>
      <c r="FG111" s="450"/>
      <c r="FH111" s="450"/>
      <c r="FI111" s="450"/>
      <c r="FJ111" s="450"/>
      <c r="FK111" s="450"/>
      <c r="FL111" s="450"/>
      <c r="FM111" s="450"/>
      <c r="FN111" s="450"/>
      <c r="FO111" s="450"/>
      <c r="FP111" s="450"/>
      <c r="FQ111" s="450"/>
      <c r="FR111" s="450"/>
      <c r="FS111" s="450"/>
      <c r="FT111" s="450"/>
      <c r="FU111" s="450"/>
      <c r="FV111" s="450"/>
      <c r="FW111" s="450"/>
      <c r="FX111" s="450"/>
      <c r="FY111" s="450"/>
      <c r="FZ111" s="450"/>
      <c r="GA111" s="450"/>
      <c r="GB111" s="450"/>
      <c r="GC111" s="450"/>
      <c r="GD111" s="450"/>
      <c r="GE111" s="450"/>
      <c r="GF111" s="450"/>
      <c r="GG111" s="450"/>
      <c r="GH111" s="450"/>
      <c r="GI111" s="450"/>
      <c r="GJ111" s="450"/>
      <c r="GK111" s="450"/>
      <c r="GL111" s="450"/>
      <c r="GM111" s="450"/>
      <c r="GN111" s="450"/>
      <c r="GO111" s="450"/>
      <c r="GP111" s="450"/>
      <c r="GQ111" s="450"/>
      <c r="GR111" s="450"/>
      <c r="GS111" s="450"/>
      <c r="GT111" s="450"/>
      <c r="GU111" s="450"/>
      <c r="GV111" s="450"/>
      <c r="GW111" s="450"/>
      <c r="GX111" s="450"/>
      <c r="GY111" s="450"/>
      <c r="GZ111" s="450"/>
      <c r="HA111" s="450"/>
      <c r="HB111" s="450"/>
      <c r="HC111" s="450"/>
      <c r="HD111" s="450"/>
      <c r="HE111" s="450"/>
      <c r="HF111" s="450"/>
      <c r="HG111" s="450"/>
      <c r="HH111" s="450"/>
      <c r="HI111" s="450"/>
      <c r="HJ111" s="450"/>
      <c r="HK111" s="450"/>
      <c r="HL111" s="450"/>
      <c r="HM111" s="450"/>
      <c r="HN111" s="450"/>
      <c r="HO111" s="450"/>
      <c r="HP111" s="450"/>
      <c r="HQ111" s="450"/>
      <c r="HR111" s="450"/>
      <c r="HS111" s="450"/>
      <c r="HT111" s="450"/>
      <c r="HU111" s="450"/>
      <c r="HV111" s="450"/>
      <c r="HW111" s="450"/>
      <c r="HX111" s="450"/>
      <c r="HY111" s="450"/>
      <c r="HZ111" s="450"/>
      <c r="IA111" s="450"/>
      <c r="IB111" s="450"/>
      <c r="IC111" s="450"/>
      <c r="ID111" s="450"/>
      <c r="IE111" s="450"/>
      <c r="IF111" s="450"/>
      <c r="IG111" s="450"/>
      <c r="IH111" s="450"/>
      <c r="II111" s="450"/>
      <c r="IJ111" s="450"/>
      <c r="IK111" s="450"/>
      <c r="IL111" s="450"/>
      <c r="IM111" s="450"/>
      <c r="IN111" s="450"/>
      <c r="IO111" s="450"/>
      <c r="IP111" s="450"/>
      <c r="IQ111" s="450"/>
      <c r="IR111" s="450"/>
      <c r="IS111" s="450"/>
      <c r="IT111" s="450"/>
      <c r="IU111" s="450"/>
    </row>
    <row r="112" spans="1:255" s="475" customFormat="1">
      <c r="A112" s="473">
        <v>20136485</v>
      </c>
      <c r="B112" s="474">
        <v>41318</v>
      </c>
      <c r="C112" s="475" t="s">
        <v>743</v>
      </c>
      <c r="D112" s="475" t="s">
        <v>653</v>
      </c>
      <c r="E112" s="475">
        <v>302</v>
      </c>
      <c r="F112" s="475">
        <v>2000</v>
      </c>
      <c r="G112" s="475" t="s">
        <v>357</v>
      </c>
      <c r="H112" s="475" t="s">
        <v>5</v>
      </c>
      <c r="I112" s="475" t="s">
        <v>738</v>
      </c>
      <c r="J112" s="475" t="s">
        <v>744</v>
      </c>
      <c r="K112" s="475" t="s">
        <v>740</v>
      </c>
      <c r="L112" s="476">
        <v>1</v>
      </c>
      <c r="M112" s="477">
        <v>900</v>
      </c>
      <c r="N112" s="477"/>
      <c r="O112" s="478">
        <v>115.07979999999999</v>
      </c>
      <c r="P112" s="478"/>
      <c r="Q112" s="478">
        <v>110</v>
      </c>
      <c r="R112" s="569"/>
      <c r="S112" s="478">
        <v>0</v>
      </c>
      <c r="T112" s="479">
        <v>-5.0797999999999917</v>
      </c>
      <c r="U112" s="478"/>
      <c r="V112" s="480">
        <v>-4571.8199999999924</v>
      </c>
      <c r="W112" s="480"/>
      <c r="X112" s="478">
        <v>99000</v>
      </c>
      <c r="Y112" s="478"/>
      <c r="Z112" s="478"/>
      <c r="AA112" s="478"/>
      <c r="AB112" s="475" t="s">
        <v>224</v>
      </c>
      <c r="AC112" s="481">
        <v>10120</v>
      </c>
      <c r="AD112" s="475">
        <v>400092</v>
      </c>
      <c r="AE112" s="475" t="s">
        <v>1410</v>
      </c>
      <c r="AF112" s="482" t="s">
        <v>1411</v>
      </c>
      <c r="AG112" s="482" t="s">
        <v>1412</v>
      </c>
      <c r="AH112" s="475">
        <v>11334</v>
      </c>
      <c r="AI112" s="483">
        <v>1</v>
      </c>
      <c r="AJ112" s="484" t="s">
        <v>1412</v>
      </c>
      <c r="AK112" s="484" t="s">
        <v>1413</v>
      </c>
      <c r="AL112" s="475" t="s">
        <v>1414</v>
      </c>
      <c r="AM112" s="475" t="s">
        <v>1415</v>
      </c>
      <c r="AN112" s="485">
        <v>25892.955000000002</v>
      </c>
      <c r="AO112" s="482"/>
      <c r="AP112" s="485">
        <v>25892.955000000002</v>
      </c>
      <c r="AQ112" s="485">
        <v>25892.955000000002</v>
      </c>
      <c r="AR112" s="485">
        <v>25892.955000000002</v>
      </c>
      <c r="AS112" s="475" t="s">
        <v>751</v>
      </c>
      <c r="AT112" s="475" t="s">
        <v>752</v>
      </c>
      <c r="AU112" s="475" t="s">
        <v>753</v>
      </c>
      <c r="AW112" s="484" t="s">
        <v>1411</v>
      </c>
    </row>
    <row r="113" spans="1:49" s="486" customFormat="1">
      <c r="A113" s="486">
        <v>20144284</v>
      </c>
      <c r="B113" s="487">
        <v>41509</v>
      </c>
      <c r="C113" s="486" t="s">
        <v>1416</v>
      </c>
      <c r="D113" s="486" t="s">
        <v>685</v>
      </c>
      <c r="E113" s="486">
        <v>302</v>
      </c>
      <c r="F113" s="486">
        <v>2000</v>
      </c>
      <c r="G113" s="486" t="s">
        <v>357</v>
      </c>
      <c r="H113" s="486" t="s">
        <v>5</v>
      </c>
      <c r="I113" s="486" t="s">
        <v>738</v>
      </c>
      <c r="J113" s="486" t="s">
        <v>744</v>
      </c>
      <c r="K113" s="486" t="s">
        <v>740</v>
      </c>
      <c r="L113" s="488">
        <v>-0.66666666666666663</v>
      </c>
      <c r="M113" s="489">
        <v>900</v>
      </c>
      <c r="N113" s="489"/>
      <c r="O113" s="490">
        <v>115.07979999999999</v>
      </c>
      <c r="P113" s="490"/>
      <c r="Q113" s="490">
        <v>0</v>
      </c>
      <c r="R113" s="569"/>
      <c r="S113" s="490">
        <v>0</v>
      </c>
      <c r="T113" s="491"/>
      <c r="U113" s="490"/>
      <c r="V113" s="492">
        <v>0</v>
      </c>
      <c r="W113" s="492"/>
      <c r="X113" s="490"/>
      <c r="Y113" s="490"/>
      <c r="Z113" s="490"/>
      <c r="AA113" s="490"/>
      <c r="AB113" s="486" t="s">
        <v>224</v>
      </c>
      <c r="AC113" s="493">
        <v>10120</v>
      </c>
      <c r="AD113" s="493">
        <v>400092</v>
      </c>
      <c r="AE113" s="486" t="s">
        <v>1410</v>
      </c>
      <c r="AF113" s="494" t="s">
        <v>1411</v>
      </c>
      <c r="AG113" s="494" t="s">
        <v>1412</v>
      </c>
      <c r="AH113" s="486">
        <v>11334</v>
      </c>
      <c r="AI113" s="495">
        <v>1</v>
      </c>
      <c r="AJ113" s="496" t="s">
        <v>1412</v>
      </c>
      <c r="AK113" s="497" t="s">
        <v>1417</v>
      </c>
      <c r="AL113" s="486" t="s">
        <v>1414</v>
      </c>
      <c r="AM113" s="486" t="s">
        <v>1415</v>
      </c>
      <c r="AN113" s="498">
        <v>0</v>
      </c>
      <c r="AO113" s="494"/>
      <c r="AP113" s="499">
        <v>-34523.939999999995</v>
      </c>
      <c r="AQ113" s="498">
        <v>-17261.969999999994</v>
      </c>
      <c r="AR113" s="498">
        <v>-17261.97</v>
      </c>
      <c r="AS113" s="486" t="s">
        <v>751</v>
      </c>
      <c r="AT113" s="486" t="s">
        <v>1418</v>
      </c>
      <c r="AU113" s="486" t="s">
        <v>1419</v>
      </c>
      <c r="AW113" s="497" t="s">
        <v>1411</v>
      </c>
    </row>
    <row r="114" spans="1:49" s="486" customFormat="1">
      <c r="A114" s="486">
        <v>20144252</v>
      </c>
      <c r="B114" s="487">
        <v>41509</v>
      </c>
      <c r="C114" s="486" t="s">
        <v>1416</v>
      </c>
      <c r="D114" s="486" t="s">
        <v>685</v>
      </c>
      <c r="E114" s="486">
        <v>302</v>
      </c>
      <c r="F114" s="486" t="s">
        <v>1456</v>
      </c>
      <c r="G114" s="486" t="s">
        <v>1420</v>
      </c>
      <c r="H114" s="486" t="s">
        <v>5</v>
      </c>
      <c r="I114" s="486" t="s">
        <v>818</v>
      </c>
      <c r="J114" s="486" t="s">
        <v>744</v>
      </c>
      <c r="K114" s="486" t="s">
        <v>740</v>
      </c>
      <c r="L114" s="488">
        <v>0.66666666666666663</v>
      </c>
      <c r="M114" s="489">
        <v>900</v>
      </c>
      <c r="N114" s="489"/>
      <c r="O114" s="490">
        <v>115.07979999999999</v>
      </c>
      <c r="P114" s="490"/>
      <c r="Q114" s="490">
        <v>0</v>
      </c>
      <c r="R114" s="569"/>
      <c r="S114" s="490">
        <v>0</v>
      </c>
      <c r="T114" s="491"/>
      <c r="U114" s="490"/>
      <c r="V114" s="492">
        <v>0</v>
      </c>
      <c r="W114" s="492"/>
      <c r="X114" s="490"/>
      <c r="Y114" s="490"/>
      <c r="Z114" s="490"/>
      <c r="AA114" s="490"/>
      <c r="AB114" s="486" t="s">
        <v>224</v>
      </c>
      <c r="AC114" s="493" t="s">
        <v>699</v>
      </c>
      <c r="AD114" s="493">
        <v>152217</v>
      </c>
      <c r="AE114" s="486" t="s">
        <v>1421</v>
      </c>
      <c r="AF114" s="494" t="s">
        <v>1422</v>
      </c>
      <c r="AG114" s="494" t="s">
        <v>1423</v>
      </c>
      <c r="AH114" s="486" t="s">
        <v>822</v>
      </c>
      <c r="AI114" s="495">
        <v>0</v>
      </c>
      <c r="AJ114" s="496" t="s">
        <v>1423</v>
      </c>
      <c r="AK114" s="497" t="s">
        <v>1424</v>
      </c>
      <c r="AL114" s="486" t="s">
        <v>1425</v>
      </c>
      <c r="AM114" s="486" t="s">
        <v>1426</v>
      </c>
      <c r="AN114" s="498">
        <v>0</v>
      </c>
      <c r="AP114" s="498" t="s">
        <v>826</v>
      </c>
      <c r="AQ114" s="498" t="s">
        <v>826</v>
      </c>
      <c r="AR114" s="498" t="s">
        <v>826</v>
      </c>
      <c r="AS114" s="486" t="s">
        <v>827</v>
      </c>
      <c r="AT114" s="486" t="s">
        <v>1418</v>
      </c>
      <c r="AU114" s="486" t="s">
        <v>1419</v>
      </c>
      <c r="AW114" s="497" t="s">
        <v>1422</v>
      </c>
    </row>
    <row r="115" spans="1:49" s="475" customFormat="1">
      <c r="A115" s="473">
        <v>20138532</v>
      </c>
      <c r="B115" s="474">
        <v>41318</v>
      </c>
      <c r="C115" s="475" t="s">
        <v>743</v>
      </c>
      <c r="D115" s="475" t="s">
        <v>653</v>
      </c>
      <c r="E115" s="475">
        <v>302</v>
      </c>
      <c r="F115" s="475">
        <v>2074</v>
      </c>
      <c r="G115" s="475" t="s">
        <v>373</v>
      </c>
      <c r="H115" s="475" t="s">
        <v>5</v>
      </c>
      <c r="I115" s="475" t="s">
        <v>738</v>
      </c>
      <c r="J115" s="475" t="s">
        <v>744</v>
      </c>
      <c r="K115" s="475" t="s">
        <v>740</v>
      </c>
      <c r="L115" s="476">
        <v>1</v>
      </c>
      <c r="M115" s="477">
        <v>900</v>
      </c>
      <c r="N115" s="477"/>
      <c r="O115" s="478">
        <v>156.67070000000001</v>
      </c>
      <c r="P115" s="478"/>
      <c r="Q115" s="478">
        <v>156</v>
      </c>
      <c r="R115" s="569"/>
      <c r="S115" s="478">
        <v>0</v>
      </c>
      <c r="T115" s="479">
        <v>-0.67070000000001073</v>
      </c>
      <c r="U115" s="478"/>
      <c r="V115" s="480">
        <v>-603.63000000000966</v>
      </c>
      <c r="W115" s="480"/>
      <c r="X115" s="478">
        <v>140400</v>
      </c>
      <c r="Y115" s="478"/>
      <c r="Z115" s="478"/>
      <c r="AA115" s="478"/>
      <c r="AB115" s="475" t="s">
        <v>224</v>
      </c>
      <c r="AC115" s="481">
        <v>10122</v>
      </c>
      <c r="AD115" s="475">
        <v>400109</v>
      </c>
      <c r="AE115" s="475" t="s">
        <v>1427</v>
      </c>
      <c r="AF115" s="482" t="s">
        <v>1428</v>
      </c>
      <c r="AG115" s="482" t="s">
        <v>1429</v>
      </c>
      <c r="AH115" s="475">
        <v>11334</v>
      </c>
      <c r="AI115" s="483">
        <v>1</v>
      </c>
      <c r="AJ115" s="484" t="s">
        <v>1429</v>
      </c>
      <c r="AK115" s="484" t="s">
        <v>1430</v>
      </c>
      <c r="AL115" s="475" t="s">
        <v>1431</v>
      </c>
      <c r="AM115" s="475" t="s">
        <v>1432</v>
      </c>
      <c r="AN115" s="485">
        <v>35250.907500000001</v>
      </c>
      <c r="AO115" s="482"/>
      <c r="AP115" s="485">
        <v>35250.907500000001</v>
      </c>
      <c r="AQ115" s="485">
        <v>35250.907500000001</v>
      </c>
      <c r="AR115" s="485">
        <v>35250.907500000001</v>
      </c>
      <c r="AS115" s="475" t="s">
        <v>751</v>
      </c>
      <c r="AT115" s="475" t="s">
        <v>752</v>
      </c>
      <c r="AU115" s="475" t="s">
        <v>753</v>
      </c>
      <c r="AW115" s="484" t="s">
        <v>1428</v>
      </c>
    </row>
    <row r="116" spans="1:49" s="486" customFormat="1">
      <c r="A116" s="486">
        <v>20144317</v>
      </c>
      <c r="B116" s="487">
        <v>41509</v>
      </c>
      <c r="C116" s="486" t="s">
        <v>1416</v>
      </c>
      <c r="D116" s="486" t="s">
        <v>685</v>
      </c>
      <c r="E116" s="486">
        <v>302</v>
      </c>
      <c r="F116" s="486">
        <v>2074</v>
      </c>
      <c r="G116" s="486" t="s">
        <v>373</v>
      </c>
      <c r="H116" s="486" t="s">
        <v>5</v>
      </c>
      <c r="I116" s="486" t="s">
        <v>738</v>
      </c>
      <c r="J116" s="486" t="s">
        <v>744</v>
      </c>
      <c r="K116" s="486" t="s">
        <v>740</v>
      </c>
      <c r="L116" s="488">
        <v>-0.58333333333333337</v>
      </c>
      <c r="M116" s="489">
        <v>900</v>
      </c>
      <c r="N116" s="489"/>
      <c r="O116" s="490">
        <v>156.67070000000001</v>
      </c>
      <c r="P116" s="490"/>
      <c r="Q116" s="490">
        <v>156</v>
      </c>
      <c r="R116" s="569"/>
      <c r="S116" s="490">
        <v>0</v>
      </c>
      <c r="T116" s="491"/>
      <c r="U116" s="490"/>
      <c r="V116" s="492">
        <v>0</v>
      </c>
      <c r="W116" s="492"/>
      <c r="X116" s="490"/>
      <c r="Y116" s="490"/>
      <c r="Z116" s="490"/>
      <c r="AA116" s="490"/>
      <c r="AB116" s="486" t="s">
        <v>224</v>
      </c>
      <c r="AC116" s="493">
        <v>10122</v>
      </c>
      <c r="AD116" s="493">
        <v>400109</v>
      </c>
      <c r="AE116" s="486" t="s">
        <v>1427</v>
      </c>
      <c r="AF116" s="494" t="s">
        <v>1428</v>
      </c>
      <c r="AG116" s="494" t="s">
        <v>1429</v>
      </c>
      <c r="AH116" s="486">
        <v>11334</v>
      </c>
      <c r="AI116" s="495">
        <v>1</v>
      </c>
      <c r="AJ116" s="496" t="s">
        <v>1429</v>
      </c>
      <c r="AK116" s="497" t="s">
        <v>1433</v>
      </c>
      <c r="AL116" s="486" t="s">
        <v>1431</v>
      </c>
      <c r="AM116" s="486" t="s">
        <v>1432</v>
      </c>
      <c r="AN116" s="498">
        <v>0</v>
      </c>
      <c r="AO116" s="494"/>
      <c r="AP116" s="498">
        <v>-41126.058750000004</v>
      </c>
      <c r="AQ116" s="498">
        <v>-20563.029375000006</v>
      </c>
      <c r="AR116" s="498">
        <v>-20563.029374999998</v>
      </c>
      <c r="AS116" s="486" t="s">
        <v>751</v>
      </c>
      <c r="AT116" s="486" t="s">
        <v>752</v>
      </c>
      <c r="AU116" s="486" t="s">
        <v>753</v>
      </c>
      <c r="AW116" s="497" t="s">
        <v>1428</v>
      </c>
    </row>
    <row r="117" spans="1:49" s="486" customFormat="1">
      <c r="A117" s="486">
        <v>20144317</v>
      </c>
      <c r="B117" s="487">
        <v>41509</v>
      </c>
      <c r="C117" s="486" t="s">
        <v>1416</v>
      </c>
      <c r="D117" s="486" t="s">
        <v>685</v>
      </c>
      <c r="E117" s="486">
        <v>302</v>
      </c>
      <c r="F117" s="486" t="s">
        <v>1457</v>
      </c>
      <c r="G117" s="486" t="s">
        <v>1434</v>
      </c>
      <c r="H117" s="486" t="s">
        <v>699</v>
      </c>
      <c r="I117" s="486" t="s">
        <v>818</v>
      </c>
      <c r="J117" s="486" t="s">
        <v>744</v>
      </c>
      <c r="K117" s="486" t="s">
        <v>740</v>
      </c>
      <c r="L117" s="488">
        <v>0.58333333333333337</v>
      </c>
      <c r="M117" s="489">
        <v>900</v>
      </c>
      <c r="N117" s="489"/>
      <c r="O117" s="490">
        <v>156.67070000000001</v>
      </c>
      <c r="P117" s="490"/>
      <c r="Q117" s="490">
        <v>0</v>
      </c>
      <c r="R117" s="569"/>
      <c r="S117" s="490">
        <v>0</v>
      </c>
      <c r="T117" s="491"/>
      <c r="U117" s="490"/>
      <c r="V117" s="492">
        <v>0</v>
      </c>
      <c r="W117" s="492"/>
      <c r="X117" s="490"/>
      <c r="Y117" s="490"/>
      <c r="Z117" s="490"/>
      <c r="AA117" s="490"/>
      <c r="AB117" s="486" t="s">
        <v>224</v>
      </c>
      <c r="AC117" s="493" t="s">
        <v>699</v>
      </c>
      <c r="AD117" s="493">
        <v>151702</v>
      </c>
      <c r="AE117" s="486" t="s">
        <v>1435</v>
      </c>
      <c r="AF117" s="494" t="s">
        <v>1436</v>
      </c>
      <c r="AG117" s="494" t="s">
        <v>1437</v>
      </c>
      <c r="AH117" s="486" t="s">
        <v>822</v>
      </c>
      <c r="AI117" s="495">
        <v>0</v>
      </c>
      <c r="AJ117" s="496" t="s">
        <v>1437</v>
      </c>
      <c r="AK117" s="497" t="s">
        <v>1438</v>
      </c>
      <c r="AL117" s="486" t="s">
        <v>1439</v>
      </c>
      <c r="AM117" s="486" t="s">
        <v>1440</v>
      </c>
      <c r="AN117" s="498">
        <v>0</v>
      </c>
      <c r="AP117" s="498" t="s">
        <v>826</v>
      </c>
      <c r="AQ117" s="498" t="s">
        <v>826</v>
      </c>
      <c r="AR117" s="498" t="s">
        <v>826</v>
      </c>
      <c r="AS117" s="486" t="s">
        <v>827</v>
      </c>
      <c r="AT117" s="486" t="s">
        <v>1418</v>
      </c>
      <c r="AU117" s="486" t="s">
        <v>1441</v>
      </c>
      <c r="AW117" s="497" t="s">
        <v>1436</v>
      </c>
    </row>
    <row r="118" spans="1:49" s="475" customFormat="1">
      <c r="A118" s="473">
        <v>20132124</v>
      </c>
      <c r="B118" s="474">
        <v>41318</v>
      </c>
      <c r="C118" s="475" t="s">
        <v>743</v>
      </c>
      <c r="D118" s="475" t="s">
        <v>653</v>
      </c>
      <c r="E118" s="475">
        <v>302</v>
      </c>
      <c r="F118" s="475">
        <v>3519</v>
      </c>
      <c r="G118" s="475" t="s">
        <v>41</v>
      </c>
      <c r="H118" s="475" t="s">
        <v>5</v>
      </c>
      <c r="I118" s="475" t="s">
        <v>738</v>
      </c>
      <c r="J118" s="475" t="s">
        <v>744</v>
      </c>
      <c r="K118" s="475" t="s">
        <v>740</v>
      </c>
      <c r="L118" s="476">
        <v>1</v>
      </c>
      <c r="M118" s="477">
        <v>900</v>
      </c>
      <c r="N118" s="477"/>
      <c r="O118" s="478">
        <v>221.23500000000001</v>
      </c>
      <c r="P118" s="478"/>
      <c r="Q118" s="478">
        <v>225</v>
      </c>
      <c r="R118" s="569"/>
      <c r="S118" s="478">
        <v>0</v>
      </c>
      <c r="T118" s="479">
        <v>3.7649999999999864</v>
      </c>
      <c r="U118" s="478"/>
      <c r="V118" s="480">
        <v>3388.4999999999877</v>
      </c>
      <c r="W118" s="480"/>
      <c r="X118" s="478">
        <v>202500</v>
      </c>
      <c r="Y118" s="478"/>
      <c r="Z118" s="478" t="e">
        <v>#VALUE!</v>
      </c>
      <c r="AA118" s="478"/>
      <c r="AB118" s="475" t="s">
        <v>224</v>
      </c>
      <c r="AC118" s="481">
        <v>10134</v>
      </c>
      <c r="AD118" s="475">
        <v>400118</v>
      </c>
      <c r="AE118" s="475" t="s">
        <v>1442</v>
      </c>
      <c r="AF118" s="482" t="s">
        <v>1443</v>
      </c>
      <c r="AG118" s="482" t="s">
        <v>1444</v>
      </c>
      <c r="AH118" s="475">
        <v>11334</v>
      </c>
      <c r="AI118" s="483">
        <v>1</v>
      </c>
      <c r="AJ118" s="484" t="s">
        <v>1444</v>
      </c>
      <c r="AK118" s="484" t="s">
        <v>1445</v>
      </c>
      <c r="AL118" s="475" t="s">
        <v>1446</v>
      </c>
      <c r="AM118" s="475" t="s">
        <v>1447</v>
      </c>
      <c r="AN118" s="485">
        <v>49777.875</v>
      </c>
      <c r="AO118" s="482"/>
      <c r="AP118" s="485">
        <v>49777.875</v>
      </c>
      <c r="AQ118" s="485">
        <v>49777.875</v>
      </c>
      <c r="AR118" s="485">
        <v>49777.875</v>
      </c>
      <c r="AS118" s="475" t="s">
        <v>751</v>
      </c>
      <c r="AT118" s="475" t="s">
        <v>752</v>
      </c>
      <c r="AU118" s="475" t="s">
        <v>753</v>
      </c>
      <c r="AW118" s="484" t="s">
        <v>1443</v>
      </c>
    </row>
    <row r="119" spans="1:49" s="486" customFormat="1">
      <c r="A119" s="486">
        <v>20144343</v>
      </c>
      <c r="B119" s="500">
        <v>41514</v>
      </c>
      <c r="C119" s="486" t="s">
        <v>1416</v>
      </c>
      <c r="D119" s="486" t="s">
        <v>685</v>
      </c>
      <c r="E119" s="486">
        <v>302</v>
      </c>
      <c r="F119" s="486">
        <v>3519</v>
      </c>
      <c r="G119" s="486" t="s">
        <v>41</v>
      </c>
      <c r="H119" s="486" t="s">
        <v>5</v>
      </c>
      <c r="I119" s="486" t="s">
        <v>738</v>
      </c>
      <c r="J119" s="486" t="s">
        <v>744</v>
      </c>
      <c r="K119" s="486" t="s">
        <v>740</v>
      </c>
      <c r="L119" s="488">
        <v>-0.5</v>
      </c>
      <c r="M119" s="489">
        <v>900</v>
      </c>
      <c r="N119" s="489"/>
      <c r="O119" s="490">
        <v>221.23500000000001</v>
      </c>
      <c r="P119" s="490"/>
      <c r="Q119" s="490"/>
      <c r="R119" s="569"/>
      <c r="S119" s="490">
        <v>0</v>
      </c>
      <c r="T119" s="491"/>
      <c r="U119" s="490"/>
      <c r="V119" s="492">
        <v>0</v>
      </c>
      <c r="W119" s="492"/>
      <c r="X119" s="490"/>
      <c r="Y119" s="490"/>
      <c r="Z119" s="490"/>
      <c r="AA119" s="490"/>
      <c r="AB119" s="486" t="s">
        <v>224</v>
      </c>
      <c r="AC119" s="493">
        <v>10134</v>
      </c>
      <c r="AD119" s="493">
        <v>400118</v>
      </c>
      <c r="AE119" s="486" t="s">
        <v>1442</v>
      </c>
      <c r="AF119" s="494" t="s">
        <v>1443</v>
      </c>
      <c r="AG119" s="494" t="s">
        <v>1444</v>
      </c>
      <c r="AH119" s="486">
        <v>11334</v>
      </c>
      <c r="AI119" s="495">
        <v>1</v>
      </c>
      <c r="AJ119" s="496" t="s">
        <v>1444</v>
      </c>
      <c r="AK119" s="497" t="s">
        <v>1448</v>
      </c>
      <c r="AL119" s="486" t="s">
        <v>1446</v>
      </c>
      <c r="AM119" s="486" t="s">
        <v>1447</v>
      </c>
      <c r="AN119" s="498">
        <v>0</v>
      </c>
      <c r="AO119" s="494"/>
      <c r="AP119" s="498">
        <v>-49777.875</v>
      </c>
      <c r="AQ119" s="498">
        <v>-24888.9375</v>
      </c>
      <c r="AR119" s="498">
        <v>-24888.9375</v>
      </c>
      <c r="AS119" s="486" t="s">
        <v>751</v>
      </c>
      <c r="AT119" s="486" t="s">
        <v>1418</v>
      </c>
      <c r="AU119" s="486" t="s">
        <v>1419</v>
      </c>
      <c r="AW119" s="497" t="s">
        <v>1443</v>
      </c>
    </row>
    <row r="120" spans="1:49" s="486" customFormat="1">
      <c r="A120" s="486">
        <v>20144381</v>
      </c>
      <c r="B120" s="500">
        <v>41514</v>
      </c>
      <c r="C120" s="486" t="s">
        <v>1416</v>
      </c>
      <c r="D120" s="486" t="s">
        <v>685</v>
      </c>
      <c r="E120" s="486">
        <v>302</v>
      </c>
      <c r="F120" s="486" t="s">
        <v>1458</v>
      </c>
      <c r="G120" s="486" t="s">
        <v>1449</v>
      </c>
      <c r="H120" s="486" t="s">
        <v>699</v>
      </c>
      <c r="I120" s="486" t="s">
        <v>818</v>
      </c>
      <c r="J120" s="486" t="s">
        <v>744</v>
      </c>
      <c r="K120" s="486" t="s">
        <v>740</v>
      </c>
      <c r="L120" s="488">
        <v>0.5</v>
      </c>
      <c r="M120" s="489">
        <v>900</v>
      </c>
      <c r="N120" s="489"/>
      <c r="O120" s="490">
        <v>221.23500000000001</v>
      </c>
      <c r="P120" s="490"/>
      <c r="Q120" s="490">
        <v>0</v>
      </c>
      <c r="R120" s="569"/>
      <c r="S120" s="490">
        <v>0</v>
      </c>
      <c r="T120" s="491"/>
      <c r="U120" s="490"/>
      <c r="V120" s="492">
        <v>0</v>
      </c>
      <c r="W120" s="492"/>
      <c r="X120" s="490"/>
      <c r="Y120" s="490"/>
      <c r="Z120" s="490"/>
      <c r="AA120" s="490"/>
      <c r="AB120" s="486" t="s">
        <v>224</v>
      </c>
      <c r="AC120" s="493" t="s">
        <v>699</v>
      </c>
      <c r="AD120" s="493">
        <v>152128</v>
      </c>
      <c r="AE120" s="486" t="s">
        <v>1450</v>
      </c>
      <c r="AF120" s="494" t="s">
        <v>1451</v>
      </c>
      <c r="AG120" s="494" t="s">
        <v>1452</v>
      </c>
      <c r="AH120" s="486" t="s">
        <v>822</v>
      </c>
      <c r="AI120" s="495">
        <v>0</v>
      </c>
      <c r="AJ120" s="496" t="s">
        <v>1452</v>
      </c>
      <c r="AK120" s="497" t="s">
        <v>1453</v>
      </c>
      <c r="AL120" s="486" t="s">
        <v>1454</v>
      </c>
      <c r="AM120" s="486" t="s">
        <v>1455</v>
      </c>
      <c r="AN120" s="498">
        <v>0</v>
      </c>
      <c r="AP120" s="498" t="s">
        <v>826</v>
      </c>
      <c r="AQ120" s="498" t="s">
        <v>826</v>
      </c>
      <c r="AR120" s="498" t="s">
        <v>826</v>
      </c>
      <c r="AS120" s="486" t="s">
        <v>827</v>
      </c>
      <c r="AT120" s="486" t="s">
        <v>1418</v>
      </c>
      <c r="AU120" s="486" t="s">
        <v>1441</v>
      </c>
      <c r="AW120" s="497" t="s">
        <v>1451</v>
      </c>
    </row>
    <row r="121" spans="1:49" s="450" customFormat="1">
      <c r="T121" s="501"/>
      <c r="U121" s="502"/>
    </row>
    <row r="122" spans="1:49" s="450" customFormat="1">
      <c r="B122" s="503"/>
      <c r="T122" s="501"/>
      <c r="U122" s="502"/>
    </row>
    <row r="123" spans="1:49" s="450" customFormat="1">
      <c r="T123" s="501"/>
      <c r="U123" s="502"/>
    </row>
    <row r="124" spans="1:49" s="450" customFormat="1">
      <c r="P124" s="504">
        <v>27</v>
      </c>
      <c r="S124" s="504">
        <v>40</v>
      </c>
      <c r="T124" s="501"/>
      <c r="U124" s="502"/>
      <c r="V124" s="461">
        <v>166415.31000000023</v>
      </c>
      <c r="W124" s="461"/>
      <c r="X124" s="504">
        <v>11075400</v>
      </c>
      <c r="Y124" s="504">
        <v>12000</v>
      </c>
      <c r="Z124" s="504" t="e">
        <v>#VALUE!</v>
      </c>
      <c r="AA124" s="504">
        <v>8100</v>
      </c>
    </row>
    <row r="125" spans="1:49" s="450" customFormat="1">
      <c r="T125" s="501"/>
      <c r="U125" s="502"/>
    </row>
    <row r="126" spans="1:49" s="450" customFormat="1">
      <c r="T126" s="501"/>
      <c r="U126" s="502"/>
    </row>
    <row r="127" spans="1:49" s="450" customFormat="1">
      <c r="T127" s="501"/>
      <c r="U127" s="502"/>
    </row>
    <row r="128" spans="1:49" s="450" customFormat="1">
      <c r="T128" s="501"/>
      <c r="U128" s="502"/>
    </row>
    <row r="129" spans="20:21" s="450" customFormat="1">
      <c r="T129" s="501"/>
      <c r="U129" s="502"/>
    </row>
    <row r="130" spans="20:21" s="450" customFormat="1">
      <c r="T130" s="501"/>
      <c r="U130" s="502"/>
    </row>
    <row r="131" spans="20:21" s="450" customFormat="1">
      <c r="T131" s="501"/>
      <c r="U131" s="502"/>
    </row>
    <row r="132" spans="20:21" s="450" customFormat="1">
      <c r="T132" s="501"/>
      <c r="U132" s="502"/>
    </row>
    <row r="133" spans="20:21" s="450" customFormat="1">
      <c r="T133" s="501"/>
      <c r="U133" s="502"/>
    </row>
    <row r="134" spans="20:21" s="450" customFormat="1">
      <c r="T134" s="501"/>
      <c r="U134" s="502"/>
    </row>
    <row r="135" spans="20:21" s="450" customFormat="1">
      <c r="T135" s="501"/>
      <c r="U135" s="502"/>
    </row>
    <row r="136" spans="20:21" s="450" customFormat="1">
      <c r="T136" s="501"/>
      <c r="U136" s="502"/>
    </row>
    <row r="137" spans="20:21" s="450" customFormat="1">
      <c r="T137" s="501"/>
      <c r="U137" s="502"/>
    </row>
    <row r="138" spans="20:21" s="450" customFormat="1">
      <c r="T138" s="501"/>
      <c r="U138" s="502"/>
    </row>
    <row r="139" spans="20:21" s="450" customFormat="1">
      <c r="T139" s="501"/>
      <c r="U139" s="502"/>
    </row>
    <row r="140" spans="20:21" s="450" customFormat="1">
      <c r="T140" s="501"/>
      <c r="U140" s="502"/>
    </row>
    <row r="141" spans="20:21" s="450" customFormat="1">
      <c r="T141" s="501"/>
      <c r="U141" s="502"/>
    </row>
    <row r="142" spans="20:21" s="450" customFormat="1">
      <c r="T142" s="501"/>
      <c r="U142" s="502"/>
    </row>
    <row r="143" spans="20:21" s="450" customFormat="1">
      <c r="T143" s="501"/>
      <c r="U143" s="502"/>
    </row>
    <row r="144" spans="20:21" s="450" customFormat="1">
      <c r="T144" s="501"/>
      <c r="U144" s="502"/>
    </row>
    <row r="145" spans="20:21" s="450" customFormat="1">
      <c r="T145" s="501"/>
      <c r="U145" s="502"/>
    </row>
    <row r="146" spans="20:21" s="450" customFormat="1">
      <c r="T146" s="501"/>
      <c r="U146" s="502"/>
    </row>
    <row r="147" spans="20:21" s="450" customFormat="1">
      <c r="T147" s="501"/>
      <c r="U147" s="502"/>
    </row>
    <row r="148" spans="20:21" s="450" customFormat="1">
      <c r="T148" s="501"/>
      <c r="U148" s="502"/>
    </row>
    <row r="149" spans="20:21" s="450" customFormat="1">
      <c r="T149" s="501"/>
      <c r="U149" s="502"/>
    </row>
    <row r="150" spans="20:21" s="450" customFormat="1">
      <c r="T150" s="501"/>
      <c r="U150" s="502"/>
    </row>
    <row r="151" spans="20:21" s="450" customFormat="1">
      <c r="T151" s="501"/>
      <c r="U151" s="502"/>
    </row>
    <row r="152" spans="20:21" s="450" customFormat="1">
      <c r="T152" s="501"/>
      <c r="U152" s="502"/>
    </row>
    <row r="153" spans="20:21" s="450" customFormat="1">
      <c r="T153" s="501"/>
      <c r="U153" s="502"/>
    </row>
    <row r="154" spans="20:21" s="450" customFormat="1">
      <c r="T154" s="501"/>
      <c r="U154" s="502"/>
    </row>
    <row r="155" spans="20:21" s="450" customFormat="1">
      <c r="T155" s="501"/>
      <c r="U155" s="502"/>
    </row>
    <row r="156" spans="20:21" s="450" customFormat="1">
      <c r="T156" s="501"/>
      <c r="U156" s="502"/>
    </row>
    <row r="157" spans="20:21" s="450" customFormat="1">
      <c r="T157" s="501"/>
      <c r="U157" s="502"/>
    </row>
    <row r="158" spans="20:21" s="450" customFormat="1">
      <c r="T158" s="501"/>
      <c r="U158" s="502"/>
    </row>
    <row r="159" spans="20:21" s="450" customFormat="1">
      <c r="T159" s="501"/>
      <c r="U159" s="502"/>
    </row>
    <row r="160" spans="20:21" s="450" customFormat="1">
      <c r="T160" s="501"/>
      <c r="U160" s="502"/>
    </row>
    <row r="161" spans="20:21" s="450" customFormat="1">
      <c r="T161" s="501"/>
      <c r="U161" s="502"/>
    </row>
    <row r="162" spans="20:21" s="450" customFormat="1">
      <c r="T162" s="501"/>
      <c r="U162" s="502"/>
    </row>
    <row r="163" spans="20:21" s="450" customFormat="1">
      <c r="T163" s="501"/>
      <c r="U163" s="502"/>
    </row>
    <row r="164" spans="20:21" s="450" customFormat="1">
      <c r="T164" s="501"/>
      <c r="U164" s="502"/>
    </row>
    <row r="165" spans="20:21" s="450" customFormat="1">
      <c r="T165" s="501"/>
      <c r="U165" s="502"/>
    </row>
    <row r="166" spans="20:21" s="450" customFormat="1">
      <c r="T166" s="501"/>
      <c r="U166" s="502"/>
    </row>
    <row r="167" spans="20:21" s="450" customFormat="1">
      <c r="T167" s="501"/>
      <c r="U167" s="502"/>
    </row>
    <row r="168" spans="20:21" s="450" customFormat="1">
      <c r="T168" s="501"/>
      <c r="U168" s="502"/>
    </row>
    <row r="169" spans="20:21" s="450" customFormat="1">
      <c r="T169" s="501"/>
      <c r="U169" s="502"/>
    </row>
    <row r="170" spans="20:21" s="450" customFormat="1">
      <c r="T170" s="501"/>
      <c r="U170" s="502"/>
    </row>
    <row r="171" spans="20:21" s="450" customFormat="1">
      <c r="T171" s="501"/>
      <c r="U171" s="502"/>
    </row>
    <row r="172" spans="20:21" s="450" customFormat="1">
      <c r="T172" s="501"/>
      <c r="U172" s="502"/>
    </row>
    <row r="173" spans="20:21" s="450" customFormat="1">
      <c r="T173" s="501"/>
      <c r="U173" s="502"/>
    </row>
    <row r="174" spans="20:21" s="450" customFormat="1">
      <c r="T174" s="501"/>
      <c r="U174" s="502"/>
    </row>
    <row r="175" spans="20:21" s="450" customFormat="1">
      <c r="T175" s="501"/>
      <c r="U175" s="502"/>
    </row>
    <row r="176" spans="20:21" s="450" customFormat="1">
      <c r="T176" s="501"/>
      <c r="U176" s="502"/>
    </row>
    <row r="177" spans="20:21" s="450" customFormat="1">
      <c r="T177" s="501"/>
      <c r="U177" s="502"/>
    </row>
    <row r="178" spans="20:21" s="450" customFormat="1">
      <c r="T178" s="501"/>
      <c r="U178" s="502"/>
    </row>
    <row r="179" spans="20:21" s="450" customFormat="1">
      <c r="T179" s="501"/>
      <c r="U179" s="502"/>
    </row>
    <row r="180" spans="20:21" s="450" customFormat="1">
      <c r="T180" s="501"/>
      <c r="U180" s="502"/>
    </row>
    <row r="181" spans="20:21" s="450" customFormat="1">
      <c r="T181" s="501"/>
      <c r="U181" s="502"/>
    </row>
    <row r="182" spans="20:21" s="450" customFormat="1">
      <c r="T182" s="501"/>
      <c r="U182" s="502"/>
    </row>
    <row r="183" spans="20:21" s="450" customFormat="1">
      <c r="T183" s="501"/>
      <c r="U183" s="502"/>
    </row>
    <row r="184" spans="20:21" s="450" customFormat="1">
      <c r="T184" s="501"/>
      <c r="U184" s="502"/>
    </row>
    <row r="185" spans="20:21" s="450" customFormat="1">
      <c r="T185" s="501"/>
      <c r="U185" s="502"/>
    </row>
    <row r="186" spans="20:21" s="450" customFormat="1">
      <c r="T186" s="501"/>
      <c r="U186" s="502"/>
    </row>
    <row r="187" spans="20:21" s="450" customFormat="1">
      <c r="T187" s="501"/>
      <c r="U187" s="502"/>
    </row>
    <row r="188" spans="20:21" s="450" customFormat="1">
      <c r="T188" s="501"/>
      <c r="U188" s="502"/>
    </row>
    <row r="189" spans="20:21" s="450" customFormat="1">
      <c r="T189" s="501"/>
      <c r="U189" s="502"/>
    </row>
    <row r="190" spans="20:21" s="450" customFormat="1">
      <c r="T190" s="501"/>
      <c r="U190" s="502"/>
    </row>
    <row r="191" spans="20:21" s="450" customFormat="1">
      <c r="T191" s="501"/>
      <c r="U191" s="502"/>
    </row>
    <row r="192" spans="20:21" s="450" customFormat="1">
      <c r="T192" s="501"/>
      <c r="U192" s="502"/>
    </row>
    <row r="193" spans="20:21" s="450" customFormat="1">
      <c r="T193" s="501"/>
      <c r="U193" s="502"/>
    </row>
    <row r="194" spans="20:21" s="450" customFormat="1">
      <c r="T194" s="501"/>
      <c r="U194" s="502"/>
    </row>
    <row r="195" spans="20:21" s="450" customFormat="1">
      <c r="T195" s="501"/>
      <c r="U195" s="502"/>
    </row>
    <row r="196" spans="20:21" s="450" customFormat="1">
      <c r="T196" s="501"/>
      <c r="U196" s="502"/>
    </row>
    <row r="197" spans="20:21" s="450" customFormat="1">
      <c r="T197" s="501"/>
      <c r="U197" s="502"/>
    </row>
    <row r="198" spans="20:21" s="450" customFormat="1">
      <c r="T198" s="501"/>
      <c r="U198" s="502"/>
    </row>
    <row r="199" spans="20:21" s="450" customFormat="1">
      <c r="T199" s="501"/>
      <c r="U199" s="502"/>
    </row>
    <row r="200" spans="20:21" s="450" customFormat="1">
      <c r="T200" s="501"/>
      <c r="U200" s="502"/>
    </row>
    <row r="201" spans="20:21" s="450" customFormat="1">
      <c r="T201" s="501"/>
      <c r="U201" s="502"/>
    </row>
    <row r="202" spans="20:21" s="450" customFormat="1">
      <c r="T202" s="501"/>
      <c r="U202" s="502"/>
    </row>
    <row r="203" spans="20:21" s="450" customFormat="1">
      <c r="T203" s="501"/>
      <c r="U203" s="502"/>
    </row>
    <row r="204" spans="20:21" s="450" customFormat="1">
      <c r="T204" s="501"/>
      <c r="U204" s="502"/>
    </row>
    <row r="205" spans="20:21" s="450" customFormat="1">
      <c r="T205" s="501"/>
      <c r="U205" s="502"/>
    </row>
    <row r="206" spans="20:21" s="450" customFormat="1">
      <c r="T206" s="501"/>
      <c r="U206" s="502"/>
    </row>
    <row r="207" spans="20:21" s="450" customFormat="1">
      <c r="T207" s="501"/>
      <c r="U207" s="502"/>
    </row>
    <row r="208" spans="20:21" s="450" customFormat="1">
      <c r="T208" s="501"/>
      <c r="U208" s="502"/>
    </row>
    <row r="209" spans="20:21" s="450" customFormat="1">
      <c r="T209" s="501"/>
      <c r="U209" s="502"/>
    </row>
    <row r="210" spans="20:21" s="450" customFormat="1">
      <c r="T210" s="501"/>
      <c r="U210" s="502"/>
    </row>
    <row r="211" spans="20:21" s="450" customFormat="1">
      <c r="T211" s="501"/>
      <c r="U211" s="502"/>
    </row>
    <row r="212" spans="20:21" s="450" customFormat="1">
      <c r="T212" s="501"/>
      <c r="U212" s="502"/>
    </row>
    <row r="213" spans="20:21" s="450" customFormat="1">
      <c r="T213" s="501"/>
      <c r="U213" s="502"/>
    </row>
    <row r="214" spans="20:21" s="450" customFormat="1">
      <c r="T214" s="501"/>
      <c r="U214" s="502"/>
    </row>
    <row r="215" spans="20:21" s="450" customFormat="1">
      <c r="T215" s="501"/>
      <c r="U215" s="502"/>
    </row>
    <row r="216" spans="20:21" s="450" customFormat="1">
      <c r="T216" s="501"/>
      <c r="U216" s="502"/>
    </row>
    <row r="217" spans="20:21" s="450" customFormat="1">
      <c r="T217" s="501"/>
      <c r="U217" s="502"/>
    </row>
    <row r="218" spans="20:21" s="450" customFormat="1">
      <c r="T218" s="501"/>
      <c r="U218" s="502"/>
    </row>
    <row r="219" spans="20:21" s="450" customFormat="1">
      <c r="T219" s="501"/>
      <c r="U219" s="502"/>
    </row>
    <row r="220" spans="20:21" s="450" customFormat="1">
      <c r="T220" s="501"/>
      <c r="U220" s="502"/>
    </row>
    <row r="221" spans="20:21" s="450" customFormat="1">
      <c r="T221" s="501"/>
      <c r="U221" s="502"/>
    </row>
    <row r="222" spans="20:21" s="450" customFormat="1">
      <c r="T222" s="501"/>
      <c r="U222" s="502"/>
    </row>
    <row r="223" spans="20:21" s="450" customFormat="1">
      <c r="T223" s="501"/>
      <c r="U223" s="502"/>
    </row>
    <row r="224" spans="20:21" s="450" customFormat="1">
      <c r="T224" s="501"/>
      <c r="U224" s="502"/>
    </row>
    <row r="225" spans="20:21" s="450" customFormat="1">
      <c r="T225" s="501"/>
      <c r="U225" s="502"/>
    </row>
    <row r="226" spans="20:21" s="450" customFormat="1">
      <c r="T226" s="501"/>
      <c r="U226" s="502"/>
    </row>
    <row r="227" spans="20:21" s="450" customFormat="1">
      <c r="T227" s="501"/>
      <c r="U227" s="502"/>
    </row>
    <row r="228" spans="20:21" s="450" customFormat="1">
      <c r="T228" s="501"/>
      <c r="U228" s="502"/>
    </row>
    <row r="229" spans="20:21" s="450" customFormat="1">
      <c r="T229" s="501"/>
      <c r="U229" s="502"/>
    </row>
    <row r="230" spans="20:21" s="450" customFormat="1">
      <c r="T230" s="501"/>
      <c r="U230" s="502"/>
    </row>
    <row r="231" spans="20:21" s="450" customFormat="1">
      <c r="T231" s="501"/>
      <c r="U231" s="502"/>
    </row>
    <row r="232" spans="20:21" s="450" customFormat="1">
      <c r="T232" s="501"/>
      <c r="U232" s="502"/>
    </row>
    <row r="233" spans="20:21" s="450" customFormat="1">
      <c r="T233" s="501"/>
      <c r="U233" s="502"/>
    </row>
    <row r="234" spans="20:21" s="450" customFormat="1">
      <c r="T234" s="501"/>
      <c r="U234" s="502"/>
    </row>
    <row r="235" spans="20:21" s="450" customFormat="1">
      <c r="T235" s="501"/>
      <c r="U235" s="502"/>
    </row>
    <row r="236" spans="20:21" s="450" customFormat="1">
      <c r="T236" s="501"/>
      <c r="U236" s="502"/>
    </row>
    <row r="237" spans="20:21" s="450" customFormat="1">
      <c r="T237" s="501"/>
      <c r="U237" s="502"/>
    </row>
    <row r="238" spans="20:21" s="450" customFormat="1">
      <c r="T238" s="501"/>
      <c r="U238" s="502"/>
    </row>
    <row r="239" spans="20:21" s="450" customFormat="1">
      <c r="T239" s="501"/>
      <c r="U239" s="502"/>
    </row>
    <row r="240" spans="20:21" s="450" customFormat="1">
      <c r="T240" s="501"/>
      <c r="U240" s="502"/>
    </row>
    <row r="241" spans="20:21" s="450" customFormat="1">
      <c r="T241" s="501"/>
      <c r="U241" s="502"/>
    </row>
    <row r="242" spans="20:21" s="450" customFormat="1">
      <c r="T242" s="501"/>
      <c r="U242" s="502"/>
    </row>
    <row r="243" spans="20:21" s="450" customFormat="1">
      <c r="T243" s="501"/>
      <c r="U243" s="502"/>
    </row>
    <row r="244" spans="20:21" s="450" customFormat="1">
      <c r="T244" s="501"/>
      <c r="U244" s="502"/>
    </row>
    <row r="245" spans="20:21" s="450" customFormat="1">
      <c r="T245" s="501"/>
      <c r="U245" s="502"/>
    </row>
    <row r="246" spans="20:21" s="450" customFormat="1">
      <c r="T246" s="501"/>
      <c r="U246" s="502"/>
    </row>
    <row r="247" spans="20:21" s="450" customFormat="1">
      <c r="T247" s="501"/>
      <c r="U247" s="502"/>
    </row>
    <row r="248" spans="20:21" s="450" customFormat="1">
      <c r="T248" s="501"/>
      <c r="U248" s="502"/>
    </row>
    <row r="249" spans="20:21" s="450" customFormat="1">
      <c r="T249" s="501"/>
      <c r="U249" s="502"/>
    </row>
    <row r="250" spans="20:21" s="450" customFormat="1">
      <c r="T250" s="501"/>
      <c r="U250" s="502"/>
    </row>
    <row r="251" spans="20:21" s="450" customFormat="1">
      <c r="T251" s="501"/>
      <c r="U251" s="502"/>
    </row>
    <row r="252" spans="20:21" s="450" customFormat="1">
      <c r="T252" s="501"/>
      <c r="U252" s="502"/>
    </row>
    <row r="253" spans="20:21" s="450" customFormat="1">
      <c r="T253" s="501"/>
      <c r="U253" s="502"/>
    </row>
    <row r="254" spans="20:21" s="450" customFormat="1">
      <c r="T254" s="501"/>
      <c r="U254" s="502"/>
    </row>
    <row r="255" spans="20:21" s="450" customFormat="1">
      <c r="T255" s="501"/>
      <c r="U255" s="502"/>
    </row>
    <row r="256" spans="20:21" s="450" customFormat="1">
      <c r="T256" s="501"/>
      <c r="U256" s="502"/>
    </row>
    <row r="257" spans="20:21" s="450" customFormat="1">
      <c r="T257" s="501"/>
      <c r="U257" s="502"/>
    </row>
    <row r="258" spans="20:21" s="450" customFormat="1">
      <c r="T258" s="501"/>
      <c r="U258" s="502"/>
    </row>
    <row r="259" spans="20:21" s="450" customFormat="1">
      <c r="T259" s="501"/>
      <c r="U259" s="502"/>
    </row>
    <row r="260" spans="20:21" s="450" customFormat="1">
      <c r="T260" s="501"/>
      <c r="U260" s="502"/>
    </row>
    <row r="261" spans="20:21" s="450" customFormat="1">
      <c r="T261" s="501"/>
      <c r="U261" s="502"/>
    </row>
    <row r="262" spans="20:21" s="450" customFormat="1">
      <c r="T262" s="501"/>
      <c r="U262" s="502"/>
    </row>
    <row r="263" spans="20:21" s="450" customFormat="1">
      <c r="T263" s="501"/>
      <c r="U263" s="502"/>
    </row>
    <row r="264" spans="20:21" s="450" customFormat="1">
      <c r="T264" s="501"/>
      <c r="U264" s="502"/>
    </row>
    <row r="265" spans="20:21" s="450" customFormat="1">
      <c r="T265" s="501"/>
      <c r="U265" s="502"/>
    </row>
    <row r="266" spans="20:21" s="450" customFormat="1">
      <c r="T266" s="501"/>
      <c r="U266" s="502"/>
    </row>
    <row r="267" spans="20:21" s="450" customFormat="1">
      <c r="T267" s="501"/>
      <c r="U267" s="502"/>
    </row>
    <row r="268" spans="20:21" s="450" customFormat="1">
      <c r="T268" s="501"/>
      <c r="U268" s="502"/>
    </row>
    <row r="269" spans="20:21" s="450" customFormat="1">
      <c r="T269" s="501"/>
      <c r="U269" s="502"/>
    </row>
    <row r="270" spans="20:21" s="450" customFormat="1">
      <c r="T270" s="501"/>
      <c r="U270" s="502"/>
    </row>
    <row r="271" spans="20:21" s="450" customFormat="1">
      <c r="T271" s="501"/>
      <c r="U271" s="502"/>
    </row>
    <row r="272" spans="20:21" s="450" customFormat="1">
      <c r="T272" s="501"/>
      <c r="U272" s="502"/>
    </row>
    <row r="273" spans="20:21" s="450" customFormat="1">
      <c r="T273" s="501"/>
      <c r="U273" s="502"/>
    </row>
    <row r="274" spans="20:21" s="450" customFormat="1">
      <c r="T274" s="501"/>
      <c r="U274" s="502"/>
    </row>
    <row r="275" spans="20:21" s="450" customFormat="1">
      <c r="T275" s="501"/>
      <c r="U275" s="502"/>
    </row>
    <row r="276" spans="20:21" s="450" customFormat="1">
      <c r="T276" s="501"/>
      <c r="U276" s="502"/>
    </row>
    <row r="277" spans="20:21" s="450" customFormat="1">
      <c r="T277" s="501"/>
      <c r="U277" s="502"/>
    </row>
    <row r="278" spans="20:21" s="450" customFormat="1">
      <c r="T278" s="501"/>
      <c r="U278" s="502"/>
    </row>
    <row r="279" spans="20:21" s="450" customFormat="1">
      <c r="T279" s="501"/>
      <c r="U279" s="502"/>
    </row>
    <row r="280" spans="20:21" s="450" customFormat="1">
      <c r="T280" s="501"/>
      <c r="U280" s="502"/>
    </row>
    <row r="281" spans="20:21" s="450" customFormat="1">
      <c r="T281" s="501"/>
      <c r="U281" s="502"/>
    </row>
    <row r="282" spans="20:21" s="450" customFormat="1">
      <c r="T282" s="501"/>
      <c r="U282" s="502"/>
    </row>
    <row r="283" spans="20:21" s="450" customFormat="1">
      <c r="T283" s="501"/>
      <c r="U283" s="502"/>
    </row>
    <row r="284" spans="20:21" s="450" customFormat="1">
      <c r="T284" s="501"/>
      <c r="U284" s="502"/>
    </row>
    <row r="285" spans="20:21" s="450" customFormat="1">
      <c r="T285" s="501"/>
      <c r="U285" s="502"/>
    </row>
    <row r="286" spans="20:21" s="450" customFormat="1">
      <c r="T286" s="501"/>
      <c r="U286" s="502"/>
    </row>
    <row r="287" spans="20:21" s="450" customFormat="1">
      <c r="T287" s="501"/>
      <c r="U287" s="502"/>
    </row>
    <row r="288" spans="20:21" s="450" customFormat="1">
      <c r="T288" s="501"/>
      <c r="U288" s="502"/>
    </row>
    <row r="289" spans="20:21" s="450" customFormat="1">
      <c r="T289" s="501"/>
      <c r="U289" s="502"/>
    </row>
    <row r="290" spans="20:21" s="450" customFormat="1">
      <c r="T290" s="501"/>
      <c r="U290" s="502"/>
    </row>
    <row r="291" spans="20:21" s="450" customFormat="1">
      <c r="T291" s="501"/>
      <c r="U291" s="502"/>
    </row>
    <row r="292" spans="20:21" s="450" customFormat="1">
      <c r="T292" s="501"/>
      <c r="U292" s="502"/>
    </row>
    <row r="293" spans="20:21" s="450" customFormat="1">
      <c r="T293" s="501"/>
      <c r="U293" s="502"/>
    </row>
    <row r="294" spans="20:21" s="450" customFormat="1">
      <c r="T294" s="501"/>
      <c r="U294" s="502"/>
    </row>
    <row r="295" spans="20:21" s="450" customFormat="1">
      <c r="T295" s="501"/>
      <c r="U295" s="502"/>
    </row>
    <row r="296" spans="20:21" s="450" customFormat="1">
      <c r="T296" s="501"/>
      <c r="U296" s="502"/>
    </row>
    <row r="297" spans="20:21" s="450" customFormat="1">
      <c r="T297" s="501"/>
      <c r="U297" s="502"/>
    </row>
    <row r="298" spans="20:21" s="450" customFormat="1">
      <c r="T298" s="501"/>
      <c r="U298" s="502"/>
    </row>
    <row r="299" spans="20:21" s="450" customFormat="1">
      <c r="T299" s="501"/>
      <c r="U299" s="502"/>
    </row>
    <row r="300" spans="20:21" s="450" customFormat="1">
      <c r="T300" s="501"/>
      <c r="U300" s="502"/>
    </row>
    <row r="301" spans="20:21" s="450" customFormat="1">
      <c r="T301" s="501"/>
      <c r="U301" s="502"/>
    </row>
    <row r="302" spans="20:21" s="450" customFormat="1">
      <c r="T302" s="501"/>
      <c r="U302" s="502"/>
    </row>
    <row r="303" spans="20:21" s="450" customFormat="1">
      <c r="T303" s="501"/>
      <c r="U303" s="502"/>
    </row>
    <row r="304" spans="20:21" s="450" customFormat="1">
      <c r="T304" s="501"/>
      <c r="U304" s="502"/>
    </row>
    <row r="305" spans="20:21" s="450" customFormat="1">
      <c r="T305" s="501"/>
      <c r="U305" s="502"/>
    </row>
    <row r="306" spans="20:21" s="450" customFormat="1">
      <c r="T306" s="501"/>
      <c r="U306" s="502"/>
    </row>
    <row r="307" spans="20:21" s="450" customFormat="1">
      <c r="T307" s="501"/>
      <c r="U307" s="502"/>
    </row>
    <row r="308" spans="20:21" s="450" customFormat="1">
      <c r="T308" s="501"/>
      <c r="U308" s="502"/>
    </row>
    <row r="309" spans="20:21" s="450" customFormat="1">
      <c r="T309" s="501"/>
      <c r="U309" s="502"/>
    </row>
    <row r="310" spans="20:21" s="450" customFormat="1">
      <c r="T310" s="501"/>
      <c r="U310" s="502"/>
    </row>
    <row r="311" spans="20:21" s="450" customFormat="1">
      <c r="T311" s="501"/>
      <c r="U311" s="502"/>
    </row>
    <row r="312" spans="20:21" s="450" customFormat="1">
      <c r="T312" s="501"/>
      <c r="U312" s="502"/>
    </row>
    <row r="313" spans="20:21" s="450" customFormat="1">
      <c r="T313" s="501"/>
      <c r="U313" s="502"/>
    </row>
    <row r="314" spans="20:21" s="450" customFormat="1">
      <c r="T314" s="501"/>
      <c r="U314" s="502"/>
    </row>
    <row r="315" spans="20:21" s="450" customFormat="1">
      <c r="T315" s="501"/>
      <c r="U315" s="502"/>
    </row>
    <row r="316" spans="20:21" s="450" customFormat="1">
      <c r="T316" s="501"/>
      <c r="U316" s="502"/>
    </row>
    <row r="317" spans="20:21" s="450" customFormat="1">
      <c r="T317" s="501"/>
      <c r="U317" s="502"/>
    </row>
    <row r="318" spans="20:21" s="450" customFormat="1">
      <c r="T318" s="501"/>
      <c r="U318" s="502"/>
    </row>
    <row r="319" spans="20:21" s="450" customFormat="1">
      <c r="T319" s="501"/>
      <c r="U319" s="502"/>
    </row>
    <row r="320" spans="20:21" s="450" customFormat="1">
      <c r="T320" s="501"/>
      <c r="U320" s="502"/>
    </row>
    <row r="321" spans="20:21" s="450" customFormat="1">
      <c r="T321" s="501"/>
      <c r="U321" s="502"/>
    </row>
    <row r="322" spans="20:21" s="450" customFormat="1">
      <c r="T322" s="501"/>
      <c r="U322" s="502"/>
    </row>
    <row r="323" spans="20:21" s="450" customFormat="1">
      <c r="T323" s="501"/>
      <c r="U323" s="502"/>
    </row>
    <row r="324" spans="20:21" s="450" customFormat="1">
      <c r="T324" s="501"/>
      <c r="U324" s="502"/>
    </row>
    <row r="325" spans="20:21" s="450" customFormat="1">
      <c r="T325" s="501"/>
      <c r="U325" s="502"/>
    </row>
    <row r="326" spans="20:21" s="450" customFormat="1">
      <c r="T326" s="501"/>
      <c r="U326" s="502"/>
    </row>
    <row r="327" spans="20:21" s="450" customFormat="1">
      <c r="T327" s="501"/>
      <c r="U327" s="502"/>
    </row>
    <row r="328" spans="20:21" s="450" customFormat="1">
      <c r="T328" s="501"/>
      <c r="U328" s="502"/>
    </row>
    <row r="329" spans="20:21" s="450" customFormat="1">
      <c r="T329" s="501"/>
      <c r="U329" s="502"/>
    </row>
    <row r="330" spans="20:21" s="450" customFormat="1">
      <c r="T330" s="501"/>
      <c r="U330" s="502"/>
    </row>
    <row r="331" spans="20:21" s="450" customFormat="1">
      <c r="T331" s="501"/>
      <c r="U331" s="502"/>
    </row>
    <row r="332" spans="20:21" s="450" customFormat="1">
      <c r="T332" s="501"/>
      <c r="U332" s="502"/>
    </row>
    <row r="333" spans="20:21" s="450" customFormat="1">
      <c r="T333" s="501"/>
      <c r="U333" s="502"/>
    </row>
    <row r="334" spans="20:21" s="450" customFormat="1">
      <c r="T334" s="501"/>
      <c r="U334" s="502"/>
    </row>
    <row r="335" spans="20:21" s="450" customFormat="1">
      <c r="T335" s="501"/>
      <c r="U335" s="502"/>
    </row>
    <row r="336" spans="20:21" s="450" customFormat="1">
      <c r="T336" s="501"/>
      <c r="U336" s="502"/>
    </row>
    <row r="337" spans="20:21" s="450" customFormat="1">
      <c r="T337" s="501"/>
      <c r="U337" s="502"/>
    </row>
    <row r="338" spans="20:21" s="450" customFormat="1">
      <c r="T338" s="501"/>
      <c r="U338" s="502"/>
    </row>
    <row r="339" spans="20:21" s="450" customFormat="1">
      <c r="T339" s="501"/>
      <c r="U339" s="502"/>
    </row>
    <row r="340" spans="20:21" s="450" customFormat="1">
      <c r="T340" s="501"/>
      <c r="U340" s="502"/>
    </row>
    <row r="341" spans="20:21" s="450" customFormat="1">
      <c r="T341" s="501"/>
      <c r="U341" s="502"/>
    </row>
    <row r="342" spans="20:21" s="450" customFormat="1">
      <c r="T342" s="501"/>
      <c r="U342" s="502"/>
    </row>
    <row r="343" spans="20:21" s="450" customFormat="1">
      <c r="T343" s="501"/>
      <c r="U343" s="502"/>
    </row>
    <row r="344" spans="20:21" s="450" customFormat="1">
      <c r="T344" s="501"/>
      <c r="U344" s="502"/>
    </row>
    <row r="345" spans="20:21" s="450" customFormat="1">
      <c r="T345" s="501"/>
      <c r="U345" s="502"/>
    </row>
    <row r="346" spans="20:21" s="450" customFormat="1">
      <c r="T346" s="501"/>
      <c r="U346" s="502"/>
    </row>
    <row r="347" spans="20:21" s="450" customFormat="1">
      <c r="T347" s="501"/>
      <c r="U347" s="502"/>
    </row>
    <row r="348" spans="20:21" s="450" customFormat="1">
      <c r="T348" s="501"/>
      <c r="U348" s="502"/>
    </row>
    <row r="349" spans="20:21" s="450" customFormat="1">
      <c r="T349" s="501"/>
      <c r="U349" s="502"/>
    </row>
    <row r="350" spans="20:21" s="450" customFormat="1">
      <c r="T350" s="501"/>
      <c r="U350" s="502"/>
    </row>
    <row r="351" spans="20:21" s="450" customFormat="1">
      <c r="T351" s="501"/>
      <c r="U351" s="502"/>
    </row>
    <row r="352" spans="20:21" s="450" customFormat="1">
      <c r="T352" s="501"/>
      <c r="U352" s="502"/>
    </row>
    <row r="353" spans="20:21" s="450" customFormat="1">
      <c r="T353" s="501"/>
      <c r="U353" s="502"/>
    </row>
    <row r="354" spans="20:21" s="450" customFormat="1">
      <c r="T354" s="501"/>
      <c r="U354" s="502"/>
    </row>
    <row r="355" spans="20:21" s="450" customFormat="1">
      <c r="T355" s="501"/>
      <c r="U355" s="502"/>
    </row>
    <row r="356" spans="20:21" s="450" customFormat="1">
      <c r="T356" s="501"/>
      <c r="U356" s="502"/>
    </row>
    <row r="357" spans="20:21" s="450" customFormat="1">
      <c r="T357" s="501"/>
      <c r="U357" s="502"/>
    </row>
    <row r="358" spans="20:21" s="450" customFormat="1">
      <c r="T358" s="501"/>
      <c r="U358" s="502"/>
    </row>
    <row r="359" spans="20:21" s="450" customFormat="1">
      <c r="T359" s="501"/>
      <c r="U359" s="502"/>
    </row>
    <row r="360" spans="20:21" s="450" customFormat="1">
      <c r="T360" s="501"/>
      <c r="U360" s="502"/>
    </row>
    <row r="361" spans="20:21" s="450" customFormat="1">
      <c r="T361" s="501"/>
      <c r="U361" s="502"/>
    </row>
    <row r="362" spans="20:21" s="450" customFormat="1">
      <c r="T362" s="501"/>
      <c r="U362" s="502"/>
    </row>
    <row r="363" spans="20:21" s="450" customFormat="1">
      <c r="T363" s="501"/>
      <c r="U363" s="502"/>
    </row>
    <row r="364" spans="20:21" s="450" customFormat="1">
      <c r="T364" s="501"/>
      <c r="U364" s="502"/>
    </row>
    <row r="365" spans="20:21" s="450" customFormat="1">
      <c r="T365" s="501"/>
      <c r="U365" s="502"/>
    </row>
    <row r="366" spans="20:21" s="450" customFormat="1">
      <c r="T366" s="501"/>
      <c r="U366" s="502"/>
    </row>
    <row r="367" spans="20:21" s="450" customFormat="1">
      <c r="T367" s="501"/>
      <c r="U367" s="502"/>
    </row>
    <row r="368" spans="20:21" s="450" customFormat="1">
      <c r="T368" s="501"/>
      <c r="U368" s="502"/>
    </row>
    <row r="369" spans="20:21" s="450" customFormat="1">
      <c r="T369" s="501"/>
      <c r="U369" s="502"/>
    </row>
    <row r="370" spans="20:21" s="450" customFormat="1">
      <c r="T370" s="501"/>
      <c r="U370" s="502"/>
    </row>
    <row r="371" spans="20:21" s="450" customFormat="1">
      <c r="T371" s="501"/>
      <c r="U371" s="502"/>
    </row>
    <row r="372" spans="20:21" s="450" customFormat="1">
      <c r="T372" s="501"/>
      <c r="U372" s="502"/>
    </row>
    <row r="373" spans="20:21" s="450" customFormat="1">
      <c r="T373" s="501"/>
      <c r="U373" s="502"/>
    </row>
    <row r="374" spans="20:21" s="450" customFormat="1">
      <c r="T374" s="501"/>
      <c r="U374" s="502"/>
    </row>
    <row r="375" spans="20:21" s="450" customFormat="1">
      <c r="T375" s="501"/>
      <c r="U375" s="502"/>
    </row>
    <row r="376" spans="20:21" s="450" customFormat="1">
      <c r="T376" s="501"/>
      <c r="U376" s="502"/>
    </row>
    <row r="377" spans="20:21" s="450" customFormat="1">
      <c r="T377" s="501"/>
      <c r="U377" s="502"/>
    </row>
    <row r="378" spans="20:21" s="450" customFormat="1">
      <c r="T378" s="501"/>
      <c r="U378" s="502"/>
    </row>
    <row r="379" spans="20:21" s="450" customFormat="1">
      <c r="T379" s="501"/>
      <c r="U379" s="502"/>
    </row>
    <row r="380" spans="20:21" s="450" customFormat="1">
      <c r="T380" s="501"/>
      <c r="U380" s="502"/>
    </row>
    <row r="381" spans="20:21" s="450" customFormat="1">
      <c r="T381" s="501"/>
      <c r="U381" s="502"/>
    </row>
    <row r="382" spans="20:21" s="450" customFormat="1">
      <c r="T382" s="501"/>
      <c r="U382" s="502"/>
    </row>
    <row r="383" spans="20:21" s="450" customFormat="1">
      <c r="T383" s="501"/>
      <c r="U383" s="502"/>
    </row>
    <row r="384" spans="20:21" s="450" customFormat="1">
      <c r="T384" s="501"/>
      <c r="U384" s="502"/>
    </row>
    <row r="385" spans="20:21" s="450" customFormat="1">
      <c r="T385" s="501"/>
      <c r="U385" s="502"/>
    </row>
    <row r="386" spans="20:21" s="450" customFormat="1">
      <c r="T386" s="501"/>
      <c r="U386" s="502"/>
    </row>
    <row r="387" spans="20:21" s="450" customFormat="1">
      <c r="T387" s="501"/>
      <c r="U387" s="502"/>
    </row>
    <row r="388" spans="20:21" s="450" customFormat="1">
      <c r="T388" s="501"/>
      <c r="U388" s="502"/>
    </row>
    <row r="389" spans="20:21" s="450" customFormat="1">
      <c r="T389" s="501"/>
      <c r="U389" s="502"/>
    </row>
    <row r="390" spans="20:21" s="450" customFormat="1">
      <c r="T390" s="501"/>
      <c r="U390" s="502"/>
    </row>
    <row r="391" spans="20:21" s="450" customFormat="1">
      <c r="T391" s="501"/>
      <c r="U391" s="502"/>
    </row>
    <row r="392" spans="20:21" s="450" customFormat="1">
      <c r="T392" s="501"/>
      <c r="U392" s="502"/>
    </row>
    <row r="393" spans="20:21" s="450" customFormat="1">
      <c r="T393" s="501"/>
      <c r="U393" s="502"/>
    </row>
    <row r="394" spans="20:21" s="450" customFormat="1">
      <c r="T394" s="501"/>
      <c r="U394" s="502"/>
    </row>
    <row r="395" spans="20:21" s="450" customFormat="1">
      <c r="T395" s="501"/>
      <c r="U395" s="502"/>
    </row>
    <row r="396" spans="20:21" s="450" customFormat="1">
      <c r="T396" s="501"/>
      <c r="U396" s="502"/>
    </row>
    <row r="397" spans="20:21" s="450" customFormat="1">
      <c r="T397" s="501"/>
      <c r="U397" s="502"/>
    </row>
    <row r="398" spans="20:21" s="450" customFormat="1">
      <c r="T398" s="501"/>
      <c r="U398" s="502"/>
    </row>
    <row r="399" spans="20:21" s="450" customFormat="1">
      <c r="T399" s="501"/>
      <c r="U399" s="502"/>
    </row>
    <row r="400" spans="20:21" s="450" customFormat="1">
      <c r="T400" s="501"/>
      <c r="U400" s="502"/>
    </row>
    <row r="401" spans="20:21" s="450" customFormat="1">
      <c r="T401" s="501"/>
      <c r="U401" s="502"/>
    </row>
    <row r="402" spans="20:21" s="450" customFormat="1">
      <c r="T402" s="501"/>
      <c r="U402" s="502"/>
    </row>
    <row r="403" spans="20:21" s="450" customFormat="1">
      <c r="T403" s="501"/>
      <c r="U403" s="502"/>
    </row>
    <row r="404" spans="20:21" s="450" customFormat="1">
      <c r="T404" s="501"/>
      <c r="U404" s="502"/>
    </row>
    <row r="405" spans="20:21" s="450" customFormat="1">
      <c r="T405" s="501"/>
      <c r="U405" s="502"/>
    </row>
    <row r="406" spans="20:21" s="450" customFormat="1">
      <c r="T406" s="501"/>
      <c r="U406" s="502"/>
    </row>
    <row r="407" spans="20:21" s="450" customFormat="1">
      <c r="T407" s="501"/>
      <c r="U407" s="502"/>
    </row>
    <row r="408" spans="20:21" s="450" customFormat="1">
      <c r="T408" s="501"/>
      <c r="U408" s="502"/>
    </row>
    <row r="409" spans="20:21" s="450" customFormat="1">
      <c r="T409" s="501"/>
      <c r="U409" s="502"/>
    </row>
    <row r="410" spans="20:21" s="450" customFormat="1">
      <c r="T410" s="501"/>
      <c r="U410" s="502"/>
    </row>
    <row r="411" spans="20:21" s="450" customFormat="1">
      <c r="T411" s="501"/>
      <c r="U411" s="502"/>
    </row>
    <row r="412" spans="20:21" s="450" customFormat="1">
      <c r="T412" s="501"/>
      <c r="U412" s="502"/>
    </row>
    <row r="413" spans="20:21" s="450" customFormat="1">
      <c r="T413" s="501"/>
      <c r="U413" s="502"/>
    </row>
    <row r="414" spans="20:21" s="450" customFormat="1">
      <c r="T414" s="501"/>
      <c r="U414" s="502"/>
    </row>
    <row r="415" spans="20:21" s="450" customFormat="1">
      <c r="T415" s="501"/>
      <c r="U415" s="502"/>
    </row>
    <row r="416" spans="20:21" s="450" customFormat="1">
      <c r="T416" s="501"/>
      <c r="U416" s="502"/>
    </row>
    <row r="417" spans="20:21" s="450" customFormat="1">
      <c r="T417" s="501"/>
      <c r="U417" s="502"/>
    </row>
    <row r="418" spans="20:21" s="450" customFormat="1">
      <c r="T418" s="501"/>
      <c r="U418" s="502"/>
    </row>
    <row r="419" spans="20:21" s="450" customFormat="1">
      <c r="T419" s="501"/>
      <c r="U419" s="502"/>
    </row>
    <row r="420" spans="20:21" s="450" customFormat="1">
      <c r="T420" s="501"/>
      <c r="U420" s="502"/>
    </row>
    <row r="421" spans="20:21" s="450" customFormat="1">
      <c r="T421" s="501"/>
      <c r="U421" s="502"/>
    </row>
    <row r="422" spans="20:21" s="450" customFormat="1">
      <c r="T422" s="501"/>
      <c r="U422" s="502"/>
    </row>
    <row r="423" spans="20:21" s="450" customFormat="1">
      <c r="T423" s="501"/>
      <c r="U423" s="502"/>
    </row>
    <row r="424" spans="20:21" s="450" customFormat="1">
      <c r="T424" s="501"/>
      <c r="U424" s="502"/>
    </row>
    <row r="425" spans="20:21" s="450" customFormat="1">
      <c r="T425" s="501"/>
      <c r="U425" s="502"/>
    </row>
    <row r="426" spans="20:21" s="450" customFormat="1">
      <c r="T426" s="501"/>
      <c r="U426" s="502"/>
    </row>
    <row r="427" spans="20:21" s="450" customFormat="1">
      <c r="T427" s="501"/>
      <c r="U427" s="502"/>
    </row>
    <row r="428" spans="20:21" s="450" customFormat="1">
      <c r="T428" s="501"/>
      <c r="U428" s="502"/>
    </row>
    <row r="429" spans="20:21" s="450" customFormat="1">
      <c r="T429" s="501"/>
      <c r="U429" s="502"/>
    </row>
    <row r="430" spans="20:21" s="450" customFormat="1">
      <c r="T430" s="501"/>
      <c r="U430" s="502"/>
    </row>
    <row r="431" spans="20:21" s="450" customFormat="1">
      <c r="T431" s="501"/>
      <c r="U431" s="502"/>
    </row>
    <row r="432" spans="20:21" s="450" customFormat="1">
      <c r="T432" s="501"/>
      <c r="U432" s="502"/>
    </row>
    <row r="433" spans="20:21" s="450" customFormat="1">
      <c r="T433" s="501"/>
      <c r="U433" s="502"/>
    </row>
    <row r="434" spans="20:21" s="450" customFormat="1">
      <c r="T434" s="501"/>
      <c r="U434" s="502"/>
    </row>
    <row r="435" spans="20:21" s="450" customFormat="1">
      <c r="T435" s="501"/>
      <c r="U435" s="502"/>
    </row>
    <row r="436" spans="20:21" s="450" customFormat="1">
      <c r="T436" s="501"/>
      <c r="U436" s="502"/>
    </row>
    <row r="437" spans="20:21" s="450" customFormat="1">
      <c r="T437" s="501"/>
      <c r="U437" s="502"/>
    </row>
    <row r="438" spans="20:21" s="450" customFormat="1">
      <c r="T438" s="501"/>
      <c r="U438" s="502"/>
    </row>
    <row r="439" spans="20:21" s="450" customFormat="1">
      <c r="T439" s="501"/>
      <c r="U439" s="502"/>
    </row>
    <row r="440" spans="20:21" s="450" customFormat="1">
      <c r="T440" s="501"/>
      <c r="U440" s="502"/>
    </row>
    <row r="441" spans="20:21" s="450" customFormat="1">
      <c r="T441" s="501"/>
      <c r="U441" s="502"/>
    </row>
    <row r="442" spans="20:21" s="450" customFormat="1">
      <c r="T442" s="501"/>
      <c r="U442" s="502"/>
    </row>
    <row r="443" spans="20:21" s="450" customFormat="1">
      <c r="T443" s="501"/>
      <c r="U443" s="502"/>
    </row>
    <row r="444" spans="20:21" s="450" customFormat="1">
      <c r="T444" s="501"/>
      <c r="U444" s="502"/>
    </row>
    <row r="445" spans="20:21" s="450" customFormat="1">
      <c r="T445" s="501"/>
      <c r="U445" s="502"/>
    </row>
    <row r="446" spans="20:21" s="450" customFormat="1">
      <c r="T446" s="501"/>
      <c r="U446" s="502"/>
    </row>
    <row r="447" spans="20:21" s="450" customFormat="1">
      <c r="T447" s="501"/>
      <c r="U447" s="502"/>
    </row>
    <row r="448" spans="20:21" s="450" customFormat="1">
      <c r="T448" s="501"/>
      <c r="U448" s="502"/>
    </row>
    <row r="449" spans="20:21" s="450" customFormat="1">
      <c r="T449" s="501"/>
      <c r="U449" s="502"/>
    </row>
    <row r="450" spans="20:21" s="450" customFormat="1">
      <c r="T450" s="501"/>
      <c r="U450" s="502"/>
    </row>
    <row r="451" spans="20:21" s="450" customFormat="1">
      <c r="T451" s="501"/>
      <c r="U451" s="502"/>
    </row>
    <row r="452" spans="20:21" s="450" customFormat="1">
      <c r="T452" s="501"/>
      <c r="U452" s="502"/>
    </row>
    <row r="453" spans="20:21" s="450" customFormat="1">
      <c r="T453" s="501"/>
      <c r="U453" s="502"/>
    </row>
    <row r="454" spans="20:21" s="450" customFormat="1">
      <c r="T454" s="501"/>
      <c r="U454" s="502"/>
    </row>
    <row r="455" spans="20:21" s="450" customFormat="1">
      <c r="T455" s="501"/>
      <c r="U455" s="502"/>
    </row>
    <row r="456" spans="20:21" s="450" customFormat="1">
      <c r="T456" s="501"/>
      <c r="U456" s="502"/>
    </row>
    <row r="457" spans="20:21" s="450" customFormat="1">
      <c r="T457" s="501"/>
      <c r="U457" s="502"/>
    </row>
    <row r="458" spans="20:21" s="450" customFormat="1">
      <c r="T458" s="501"/>
      <c r="U458" s="502"/>
    </row>
    <row r="459" spans="20:21" s="450" customFormat="1">
      <c r="T459" s="501"/>
      <c r="U459" s="502"/>
    </row>
    <row r="460" spans="20:21" s="450" customFormat="1">
      <c r="T460" s="501"/>
      <c r="U460" s="502"/>
    </row>
    <row r="461" spans="20:21" s="450" customFormat="1">
      <c r="T461" s="501"/>
      <c r="U461" s="502"/>
    </row>
    <row r="462" spans="20:21" s="450" customFormat="1">
      <c r="T462" s="501"/>
      <c r="U462" s="502"/>
    </row>
    <row r="463" spans="20:21" s="450" customFormat="1">
      <c r="T463" s="501"/>
      <c r="U463" s="502"/>
    </row>
    <row r="464" spans="20:21" s="450" customFormat="1">
      <c r="T464" s="501"/>
      <c r="U464" s="502"/>
    </row>
    <row r="465" spans="20:21" s="450" customFormat="1">
      <c r="T465" s="501"/>
      <c r="U465" s="502"/>
    </row>
    <row r="466" spans="20:21" s="450" customFormat="1">
      <c r="T466" s="501"/>
      <c r="U466" s="502"/>
    </row>
    <row r="467" spans="20:21" s="450" customFormat="1">
      <c r="T467" s="501"/>
      <c r="U467" s="502"/>
    </row>
    <row r="468" spans="20:21" s="450" customFormat="1">
      <c r="T468" s="501"/>
      <c r="U468" s="502"/>
    </row>
    <row r="469" spans="20:21" s="450" customFormat="1">
      <c r="T469" s="501"/>
      <c r="U469" s="502"/>
    </row>
    <row r="470" spans="20:21" s="450" customFormat="1">
      <c r="T470" s="501"/>
      <c r="U470" s="502"/>
    </row>
    <row r="471" spans="20:21" s="450" customFormat="1">
      <c r="T471" s="501"/>
      <c r="U471" s="502"/>
    </row>
    <row r="472" spans="20:21" s="450" customFormat="1">
      <c r="T472" s="501"/>
      <c r="U472" s="502"/>
    </row>
    <row r="473" spans="20:21" s="450" customFormat="1">
      <c r="T473" s="501"/>
      <c r="U473" s="502"/>
    </row>
    <row r="474" spans="20:21" s="450" customFormat="1">
      <c r="T474" s="501"/>
      <c r="U474" s="502"/>
    </row>
    <row r="475" spans="20:21" s="450" customFormat="1">
      <c r="T475" s="501"/>
      <c r="U475" s="502"/>
    </row>
    <row r="476" spans="20:21" s="450" customFormat="1">
      <c r="T476" s="501"/>
      <c r="U476" s="502"/>
    </row>
    <row r="477" spans="20:21" s="450" customFormat="1">
      <c r="T477" s="501"/>
      <c r="U477" s="502"/>
    </row>
    <row r="478" spans="20:21" s="450" customFormat="1">
      <c r="T478" s="501"/>
      <c r="U478" s="502"/>
    </row>
    <row r="479" spans="20:21" s="450" customFormat="1">
      <c r="T479" s="501"/>
      <c r="U479" s="502"/>
    </row>
    <row r="480" spans="20:21" s="450" customFormat="1">
      <c r="T480" s="501"/>
      <c r="U480" s="502"/>
    </row>
    <row r="481" spans="20:21" s="450" customFormat="1">
      <c r="T481" s="501"/>
      <c r="U481" s="502"/>
    </row>
    <row r="482" spans="20:21" s="450" customFormat="1">
      <c r="T482" s="501"/>
      <c r="U482" s="502"/>
    </row>
    <row r="483" spans="20:21" s="450" customFormat="1">
      <c r="T483" s="501"/>
      <c r="U483" s="502"/>
    </row>
    <row r="484" spans="20:21" s="450" customFormat="1">
      <c r="T484" s="501"/>
      <c r="U484" s="502"/>
    </row>
    <row r="485" spans="20:21" s="450" customFormat="1">
      <c r="T485" s="501"/>
      <c r="U485" s="502"/>
    </row>
    <row r="486" spans="20:21" s="450" customFormat="1">
      <c r="T486" s="501"/>
      <c r="U486" s="502"/>
    </row>
    <row r="487" spans="20:21" s="450" customFormat="1">
      <c r="T487" s="501"/>
      <c r="U487" s="502"/>
    </row>
    <row r="488" spans="20:21" s="450" customFormat="1">
      <c r="T488" s="501"/>
      <c r="U488" s="502"/>
    </row>
    <row r="489" spans="20:21" s="450" customFormat="1">
      <c r="T489" s="501"/>
      <c r="U489" s="502"/>
    </row>
    <row r="490" spans="20:21" s="450" customFormat="1">
      <c r="T490" s="501"/>
      <c r="U490" s="502"/>
    </row>
    <row r="491" spans="20:21" s="450" customFormat="1">
      <c r="T491" s="501"/>
      <c r="U491" s="502"/>
    </row>
    <row r="492" spans="20:21" s="450" customFormat="1">
      <c r="T492" s="501"/>
      <c r="U492" s="502"/>
    </row>
    <row r="493" spans="20:21" s="450" customFormat="1">
      <c r="T493" s="501"/>
      <c r="U493" s="502"/>
    </row>
    <row r="494" spans="20:21" s="450" customFormat="1">
      <c r="T494" s="501"/>
      <c r="U494" s="502"/>
    </row>
    <row r="495" spans="20:21" s="450" customFormat="1">
      <c r="T495" s="501"/>
      <c r="U495" s="502"/>
    </row>
    <row r="496" spans="20:21" s="450" customFormat="1">
      <c r="T496" s="501"/>
      <c r="U496" s="502"/>
    </row>
    <row r="497" spans="20:21" s="450" customFormat="1">
      <c r="T497" s="501"/>
      <c r="U497" s="502"/>
    </row>
    <row r="498" spans="20:21" s="450" customFormat="1">
      <c r="T498" s="501"/>
      <c r="U498" s="502"/>
    </row>
    <row r="499" spans="20:21" s="450" customFormat="1">
      <c r="T499" s="501"/>
      <c r="U499" s="502"/>
    </row>
    <row r="500" spans="20:21" s="450" customFormat="1">
      <c r="T500" s="501"/>
      <c r="U500" s="502"/>
    </row>
    <row r="501" spans="20:21" s="450" customFormat="1">
      <c r="T501" s="501"/>
      <c r="U501" s="502"/>
    </row>
    <row r="502" spans="20:21" s="450" customFormat="1">
      <c r="T502" s="501"/>
      <c r="U502" s="502"/>
    </row>
    <row r="503" spans="20:21" s="450" customFormat="1">
      <c r="T503" s="501"/>
      <c r="U503" s="502"/>
    </row>
    <row r="504" spans="20:21" s="450" customFormat="1">
      <c r="T504" s="501"/>
      <c r="U504" s="502"/>
    </row>
    <row r="505" spans="20:21" s="450" customFormat="1">
      <c r="T505" s="501"/>
      <c r="U505" s="502"/>
    </row>
    <row r="506" spans="20:21" s="450" customFormat="1">
      <c r="T506" s="501"/>
      <c r="U506" s="502"/>
    </row>
    <row r="507" spans="20:21" s="450" customFormat="1">
      <c r="T507" s="501"/>
      <c r="U507" s="502"/>
    </row>
    <row r="508" spans="20:21" s="450" customFormat="1">
      <c r="T508" s="501"/>
      <c r="U508" s="502"/>
    </row>
    <row r="509" spans="20:21" s="450" customFormat="1">
      <c r="T509" s="501"/>
      <c r="U509" s="502"/>
    </row>
    <row r="510" spans="20:21" s="450" customFormat="1">
      <c r="T510" s="501"/>
      <c r="U510" s="502"/>
    </row>
    <row r="511" spans="20:21" s="450" customFormat="1">
      <c r="T511" s="501"/>
      <c r="U511" s="502"/>
    </row>
    <row r="512" spans="20:21" s="450" customFormat="1">
      <c r="T512" s="501"/>
      <c r="U512" s="502"/>
    </row>
    <row r="513" spans="20:21" s="450" customFormat="1">
      <c r="T513" s="501"/>
      <c r="U513" s="502"/>
    </row>
    <row r="514" spans="20:21" s="450" customFormat="1">
      <c r="T514" s="501"/>
      <c r="U514" s="502"/>
    </row>
    <row r="515" spans="20:21" s="450" customFormat="1">
      <c r="T515" s="501"/>
      <c r="U515" s="502"/>
    </row>
    <row r="516" spans="20:21" s="450" customFormat="1">
      <c r="T516" s="501"/>
      <c r="U516" s="502"/>
    </row>
    <row r="517" spans="20:21" s="450" customFormat="1">
      <c r="T517" s="501"/>
      <c r="U517" s="502"/>
    </row>
    <row r="518" spans="20:21" s="450" customFormat="1">
      <c r="T518" s="501"/>
      <c r="U518" s="502"/>
    </row>
    <row r="519" spans="20:21" s="450" customFormat="1">
      <c r="T519" s="501"/>
      <c r="U519" s="502"/>
    </row>
    <row r="520" spans="20:21" s="450" customFormat="1">
      <c r="T520" s="501"/>
      <c r="U520" s="502"/>
    </row>
    <row r="521" spans="20:21" s="450" customFormat="1">
      <c r="T521" s="501"/>
      <c r="U521" s="502"/>
    </row>
    <row r="522" spans="20:21" s="450" customFormat="1">
      <c r="T522" s="501"/>
      <c r="U522" s="502"/>
    </row>
    <row r="523" spans="20:21" s="450" customFormat="1">
      <c r="T523" s="501"/>
      <c r="U523" s="502"/>
    </row>
    <row r="524" spans="20:21" s="450" customFormat="1">
      <c r="T524" s="501"/>
      <c r="U524" s="502"/>
    </row>
    <row r="525" spans="20:21" s="450" customFormat="1">
      <c r="T525" s="501"/>
      <c r="U525" s="502"/>
    </row>
    <row r="526" spans="20:21" s="450" customFormat="1">
      <c r="T526" s="501"/>
      <c r="U526" s="502"/>
    </row>
    <row r="527" spans="20:21" s="450" customFormat="1">
      <c r="T527" s="501"/>
      <c r="U527" s="502"/>
    </row>
    <row r="528" spans="20:21" s="450" customFormat="1">
      <c r="T528" s="501"/>
      <c r="U528" s="502"/>
    </row>
    <row r="529" spans="20:21" s="450" customFormat="1">
      <c r="T529" s="501"/>
      <c r="U529" s="502"/>
    </row>
    <row r="530" spans="20:21" s="450" customFormat="1">
      <c r="T530" s="501"/>
      <c r="U530" s="502"/>
    </row>
    <row r="531" spans="20:21" s="450" customFormat="1">
      <c r="T531" s="501"/>
      <c r="U531" s="502"/>
    </row>
    <row r="532" spans="20:21" s="450" customFormat="1">
      <c r="T532" s="501"/>
      <c r="U532" s="502"/>
    </row>
    <row r="533" spans="20:21" s="450" customFormat="1">
      <c r="T533" s="501"/>
      <c r="U533" s="502"/>
    </row>
    <row r="534" spans="20:21" s="450" customFormat="1">
      <c r="T534" s="501"/>
      <c r="U534" s="502"/>
    </row>
    <row r="535" spans="20:21" s="450" customFormat="1">
      <c r="T535" s="501"/>
      <c r="U535" s="502"/>
    </row>
    <row r="536" spans="20:21" s="450" customFormat="1">
      <c r="T536" s="501"/>
      <c r="U536" s="502"/>
    </row>
    <row r="537" spans="20:21" s="450" customFormat="1">
      <c r="T537" s="501"/>
      <c r="U537" s="502"/>
    </row>
    <row r="538" spans="20:21" s="450" customFormat="1">
      <c r="T538" s="501"/>
      <c r="U538" s="502"/>
    </row>
    <row r="539" spans="20:21" s="450" customFormat="1">
      <c r="T539" s="501"/>
      <c r="U539" s="502"/>
    </row>
    <row r="540" spans="20:21" s="450" customFormat="1">
      <c r="T540" s="501"/>
      <c r="U540" s="502"/>
    </row>
    <row r="541" spans="20:21" s="450" customFormat="1">
      <c r="T541" s="501"/>
      <c r="U541" s="502"/>
    </row>
    <row r="542" spans="20:21" s="450" customFormat="1">
      <c r="T542" s="501"/>
      <c r="U542" s="502"/>
    </row>
    <row r="543" spans="20:21" s="450" customFormat="1">
      <c r="T543" s="501"/>
      <c r="U543" s="502"/>
    </row>
    <row r="544" spans="20:21" s="450" customFormat="1">
      <c r="T544" s="501"/>
      <c r="U544" s="502"/>
    </row>
    <row r="545" spans="20:21" s="450" customFormat="1">
      <c r="T545" s="501"/>
      <c r="U545" s="502"/>
    </row>
    <row r="546" spans="20:21" s="450" customFormat="1">
      <c r="T546" s="501"/>
      <c r="U546" s="502"/>
    </row>
    <row r="547" spans="20:21" s="450" customFormat="1">
      <c r="T547" s="501"/>
      <c r="U547" s="502"/>
    </row>
    <row r="548" spans="20:21" s="450" customFormat="1">
      <c r="T548" s="501"/>
      <c r="U548" s="502"/>
    </row>
    <row r="549" spans="20:21" s="450" customFormat="1">
      <c r="T549" s="501"/>
      <c r="U549" s="502"/>
    </row>
    <row r="550" spans="20:21" s="450" customFormat="1">
      <c r="T550" s="501"/>
      <c r="U550" s="502"/>
    </row>
    <row r="551" spans="20:21" s="450" customFormat="1">
      <c r="T551" s="501"/>
      <c r="U551" s="502"/>
    </row>
    <row r="552" spans="20:21" s="450" customFormat="1">
      <c r="T552" s="501"/>
      <c r="U552" s="502"/>
    </row>
    <row r="553" spans="20:21" s="450" customFormat="1">
      <c r="T553" s="501"/>
      <c r="U553" s="502"/>
    </row>
    <row r="554" spans="20:21" s="450" customFormat="1">
      <c r="T554" s="501"/>
      <c r="U554" s="502"/>
    </row>
    <row r="555" spans="20:21" s="450" customFormat="1">
      <c r="T555" s="501"/>
      <c r="U555" s="502"/>
    </row>
    <row r="556" spans="20:21" s="450" customFormat="1">
      <c r="T556" s="501"/>
      <c r="U556" s="502"/>
    </row>
    <row r="557" spans="20:21" s="450" customFormat="1">
      <c r="T557" s="501"/>
      <c r="U557" s="502"/>
    </row>
    <row r="558" spans="20:21" s="450" customFormat="1">
      <c r="T558" s="501"/>
      <c r="U558" s="502"/>
    </row>
    <row r="559" spans="20:21" s="450" customFormat="1">
      <c r="T559" s="501"/>
      <c r="U559" s="502"/>
    </row>
    <row r="560" spans="20:21" s="450" customFormat="1">
      <c r="T560" s="501"/>
      <c r="U560" s="502"/>
    </row>
    <row r="561" spans="20:21" s="450" customFormat="1">
      <c r="T561" s="501"/>
      <c r="U561" s="502"/>
    </row>
    <row r="562" spans="20:21" s="450" customFormat="1">
      <c r="T562" s="501"/>
      <c r="U562" s="502"/>
    </row>
    <row r="563" spans="20:21" s="450" customFormat="1">
      <c r="T563" s="501"/>
      <c r="U563" s="502"/>
    </row>
    <row r="564" spans="20:21" s="450" customFormat="1">
      <c r="T564" s="501"/>
      <c r="U564" s="502"/>
    </row>
    <row r="565" spans="20:21" s="450" customFormat="1">
      <c r="T565" s="501"/>
      <c r="U565" s="502"/>
    </row>
    <row r="566" spans="20:21" s="450" customFormat="1">
      <c r="T566" s="501"/>
      <c r="U566" s="502"/>
    </row>
    <row r="567" spans="20:21" s="450" customFormat="1">
      <c r="T567" s="501"/>
      <c r="U567" s="502"/>
    </row>
    <row r="568" spans="20:21" s="450" customFormat="1">
      <c r="T568" s="501"/>
      <c r="U568" s="502"/>
    </row>
    <row r="569" spans="20:21" s="450" customFormat="1">
      <c r="T569" s="501"/>
      <c r="U569" s="502"/>
    </row>
    <row r="570" spans="20:21" s="450" customFormat="1">
      <c r="T570" s="501"/>
      <c r="U570" s="502"/>
    </row>
    <row r="571" spans="20:21" s="450" customFormat="1">
      <c r="T571" s="501"/>
      <c r="U571" s="502"/>
    </row>
    <row r="572" spans="20:21" s="450" customFormat="1">
      <c r="T572" s="501"/>
      <c r="U572" s="502"/>
    </row>
    <row r="573" spans="20:21" s="450" customFormat="1">
      <c r="T573" s="501"/>
      <c r="U573" s="502"/>
    </row>
    <row r="574" spans="20:21" s="450" customFormat="1">
      <c r="T574" s="501"/>
      <c r="U574" s="502"/>
    </row>
    <row r="575" spans="20:21" s="450" customFormat="1">
      <c r="T575" s="501"/>
      <c r="U575" s="502"/>
    </row>
    <row r="576" spans="20:21" s="450" customFormat="1">
      <c r="T576" s="501"/>
      <c r="U576" s="502"/>
    </row>
    <row r="577" spans="20:21" s="450" customFormat="1">
      <c r="T577" s="501"/>
      <c r="U577" s="502"/>
    </row>
    <row r="578" spans="20:21" s="450" customFormat="1">
      <c r="T578" s="501"/>
      <c r="U578" s="502"/>
    </row>
    <row r="579" spans="20:21" s="450" customFormat="1">
      <c r="T579" s="501"/>
      <c r="U579" s="502"/>
    </row>
    <row r="580" spans="20:21" s="450" customFormat="1">
      <c r="T580" s="501"/>
      <c r="U580" s="502"/>
    </row>
    <row r="581" spans="20:21" s="450" customFormat="1">
      <c r="T581" s="501"/>
      <c r="U581" s="502"/>
    </row>
    <row r="582" spans="20:21" s="450" customFormat="1">
      <c r="T582" s="501"/>
      <c r="U582" s="502"/>
    </row>
    <row r="583" spans="20:21" s="450" customFormat="1">
      <c r="T583" s="501"/>
      <c r="U583" s="502"/>
    </row>
    <row r="584" spans="20:21" s="450" customFormat="1">
      <c r="T584" s="501"/>
      <c r="U584" s="502"/>
    </row>
    <row r="585" spans="20:21" s="450" customFormat="1">
      <c r="T585" s="501"/>
      <c r="U585" s="502"/>
    </row>
    <row r="586" spans="20:21" s="450" customFormat="1">
      <c r="T586" s="501"/>
      <c r="U586" s="502"/>
    </row>
    <row r="587" spans="20:21" s="450" customFormat="1">
      <c r="T587" s="501"/>
      <c r="U587" s="502"/>
    </row>
    <row r="588" spans="20:21" s="450" customFormat="1">
      <c r="T588" s="501"/>
      <c r="U588" s="502"/>
    </row>
    <row r="589" spans="20:21" s="450" customFormat="1">
      <c r="T589" s="501"/>
      <c r="U589" s="502"/>
    </row>
    <row r="590" spans="20:21" s="450" customFormat="1">
      <c r="T590" s="501"/>
      <c r="U590" s="502"/>
    </row>
    <row r="591" spans="20:21" s="450" customFormat="1">
      <c r="T591" s="501"/>
      <c r="U591" s="502"/>
    </row>
    <row r="592" spans="20:21" s="450" customFormat="1">
      <c r="T592" s="501"/>
      <c r="U592" s="502"/>
    </row>
    <row r="593" spans="20:21" s="450" customFormat="1">
      <c r="T593" s="501"/>
      <c r="U593" s="502"/>
    </row>
    <row r="594" spans="20:21" s="450" customFormat="1">
      <c r="T594" s="501"/>
      <c r="U594" s="502"/>
    </row>
    <row r="595" spans="20:21" s="450" customFormat="1">
      <c r="T595" s="501"/>
      <c r="U595" s="502"/>
    </row>
    <row r="596" spans="20:21" s="450" customFormat="1">
      <c r="T596" s="501"/>
      <c r="U596" s="502"/>
    </row>
    <row r="597" spans="20:21" s="450" customFormat="1">
      <c r="T597" s="501"/>
      <c r="U597" s="502"/>
    </row>
    <row r="598" spans="20:21" s="450" customFormat="1">
      <c r="T598" s="501"/>
      <c r="U598" s="502"/>
    </row>
    <row r="599" spans="20:21" s="450" customFormat="1">
      <c r="T599" s="501"/>
      <c r="U599" s="502"/>
    </row>
    <row r="600" spans="20:21" s="450" customFormat="1">
      <c r="T600" s="501"/>
      <c r="U600" s="502"/>
    </row>
    <row r="601" spans="20:21" s="450" customFormat="1">
      <c r="T601" s="501"/>
      <c r="U601" s="502"/>
    </row>
    <row r="602" spans="20:21" s="450" customFormat="1">
      <c r="T602" s="501"/>
      <c r="U602" s="502"/>
    </row>
    <row r="603" spans="20:21" s="450" customFormat="1">
      <c r="T603" s="501"/>
      <c r="U603" s="502"/>
    </row>
    <row r="604" spans="20:21" s="450" customFormat="1">
      <c r="T604" s="501"/>
      <c r="U604" s="502"/>
    </row>
    <row r="605" spans="20:21" s="450" customFormat="1">
      <c r="T605" s="501"/>
      <c r="U605" s="502"/>
    </row>
    <row r="606" spans="20:21" s="450" customFormat="1">
      <c r="T606" s="501"/>
      <c r="U606" s="502"/>
    </row>
    <row r="607" spans="20:21" s="450" customFormat="1">
      <c r="T607" s="501"/>
      <c r="U607" s="502"/>
    </row>
    <row r="608" spans="20:21" s="450" customFormat="1">
      <c r="T608" s="501"/>
      <c r="U608" s="502"/>
    </row>
    <row r="609" spans="20:21" s="450" customFormat="1">
      <c r="T609" s="501"/>
      <c r="U609" s="502"/>
    </row>
    <row r="610" spans="20:21" s="450" customFormat="1">
      <c r="T610" s="501"/>
      <c r="U610" s="502"/>
    </row>
    <row r="611" spans="20:21" s="450" customFormat="1">
      <c r="T611" s="501"/>
      <c r="U611" s="502"/>
    </row>
    <row r="612" spans="20:21" s="450" customFormat="1">
      <c r="T612" s="501"/>
      <c r="U612" s="502"/>
    </row>
    <row r="613" spans="20:21" s="450" customFormat="1">
      <c r="T613" s="501"/>
      <c r="U613" s="502"/>
    </row>
    <row r="614" spans="20:21" s="450" customFormat="1">
      <c r="T614" s="501"/>
      <c r="U614" s="502"/>
    </row>
    <row r="615" spans="20:21" s="450" customFormat="1">
      <c r="T615" s="501"/>
      <c r="U615" s="502"/>
    </row>
    <row r="616" spans="20:21" s="450" customFormat="1">
      <c r="T616" s="501"/>
      <c r="U616" s="502"/>
    </row>
    <row r="617" spans="20:21" s="450" customFormat="1">
      <c r="T617" s="501"/>
      <c r="U617" s="502"/>
    </row>
    <row r="618" spans="20:21" s="450" customFormat="1">
      <c r="T618" s="501"/>
      <c r="U618" s="502"/>
    </row>
    <row r="619" spans="20:21" s="450" customFormat="1">
      <c r="T619" s="501"/>
      <c r="U619" s="502"/>
    </row>
    <row r="620" spans="20:21" s="450" customFormat="1">
      <c r="T620" s="501"/>
      <c r="U620" s="502"/>
    </row>
    <row r="621" spans="20:21" s="450" customFormat="1">
      <c r="T621" s="501"/>
      <c r="U621" s="502"/>
    </row>
    <row r="622" spans="20:21" s="450" customFormat="1">
      <c r="T622" s="501"/>
      <c r="U622" s="502"/>
    </row>
    <row r="623" spans="20:21" s="450" customFormat="1">
      <c r="T623" s="501"/>
      <c r="U623" s="502"/>
    </row>
    <row r="624" spans="20:21" s="450" customFormat="1">
      <c r="T624" s="501"/>
      <c r="U624" s="502"/>
    </row>
    <row r="625" spans="20:21" s="450" customFormat="1">
      <c r="T625" s="501"/>
      <c r="U625" s="502"/>
    </row>
    <row r="626" spans="20:21" s="450" customFormat="1">
      <c r="T626" s="501"/>
      <c r="U626" s="502"/>
    </row>
    <row r="627" spans="20:21" s="450" customFormat="1">
      <c r="T627" s="501"/>
      <c r="U627" s="502"/>
    </row>
    <row r="628" spans="20:21" s="450" customFormat="1">
      <c r="T628" s="501"/>
      <c r="U628" s="502"/>
    </row>
    <row r="629" spans="20:21" s="450" customFormat="1">
      <c r="T629" s="501"/>
      <c r="U629" s="502"/>
    </row>
    <row r="630" spans="20:21" s="450" customFormat="1">
      <c r="T630" s="501"/>
      <c r="U630" s="502"/>
    </row>
    <row r="631" spans="20:21" s="450" customFormat="1">
      <c r="T631" s="501"/>
      <c r="U631" s="502"/>
    </row>
    <row r="632" spans="20:21" s="450" customFormat="1">
      <c r="T632" s="501"/>
      <c r="U632" s="502"/>
    </row>
    <row r="633" spans="20:21" s="450" customFormat="1">
      <c r="T633" s="501"/>
      <c r="U633" s="502"/>
    </row>
    <row r="634" spans="20:21" s="450" customFormat="1">
      <c r="T634" s="501"/>
      <c r="U634" s="502"/>
    </row>
    <row r="635" spans="20:21" s="450" customFormat="1">
      <c r="T635" s="501"/>
      <c r="U635" s="502"/>
    </row>
    <row r="636" spans="20:21" s="450" customFormat="1">
      <c r="T636" s="501"/>
      <c r="U636" s="502"/>
    </row>
    <row r="637" spans="20:21" s="450" customFormat="1">
      <c r="T637" s="501"/>
      <c r="U637" s="502"/>
    </row>
    <row r="638" spans="20:21" s="450" customFormat="1">
      <c r="T638" s="501"/>
      <c r="U638" s="502"/>
    </row>
    <row r="639" spans="20:21" s="450" customFormat="1">
      <c r="T639" s="501"/>
      <c r="U639" s="502"/>
    </row>
    <row r="640" spans="20:21" s="450" customFormat="1">
      <c r="T640" s="501"/>
      <c r="U640" s="502"/>
    </row>
    <row r="641" spans="20:21" s="450" customFormat="1">
      <c r="T641" s="501"/>
      <c r="U641" s="502"/>
    </row>
    <row r="642" spans="20:21" s="450" customFormat="1">
      <c r="T642" s="501"/>
      <c r="U642" s="502"/>
    </row>
    <row r="643" spans="20:21" s="450" customFormat="1">
      <c r="T643" s="501"/>
      <c r="U643" s="502"/>
    </row>
    <row r="644" spans="20:21" s="450" customFormat="1">
      <c r="T644" s="501"/>
      <c r="U644" s="502"/>
    </row>
    <row r="645" spans="20:21" s="450" customFormat="1">
      <c r="T645" s="501"/>
      <c r="U645" s="502"/>
    </row>
    <row r="646" spans="20:21" s="450" customFormat="1">
      <c r="T646" s="501"/>
      <c r="U646" s="502"/>
    </row>
    <row r="647" spans="20:21" s="450" customFormat="1">
      <c r="T647" s="501"/>
      <c r="U647" s="502"/>
    </row>
    <row r="648" spans="20:21" s="450" customFormat="1">
      <c r="T648" s="501"/>
      <c r="U648" s="502"/>
    </row>
    <row r="649" spans="20:21" s="450" customFormat="1">
      <c r="T649" s="501"/>
      <c r="U649" s="502"/>
    </row>
    <row r="650" spans="20:21" s="450" customFormat="1">
      <c r="T650" s="501"/>
      <c r="U650" s="502"/>
    </row>
    <row r="651" spans="20:21" s="450" customFormat="1">
      <c r="T651" s="501"/>
      <c r="U651" s="502"/>
    </row>
    <row r="652" spans="20:21" s="450" customFormat="1">
      <c r="T652" s="501"/>
      <c r="U652" s="502"/>
    </row>
    <row r="653" spans="20:21" s="450" customFormat="1">
      <c r="T653" s="501"/>
      <c r="U653" s="502"/>
    </row>
    <row r="654" spans="20:21" s="450" customFormat="1">
      <c r="T654" s="501"/>
      <c r="U654" s="502"/>
    </row>
    <row r="655" spans="20:21" s="450" customFormat="1">
      <c r="T655" s="501"/>
      <c r="U655" s="502"/>
    </row>
    <row r="656" spans="20:21" s="450" customFormat="1">
      <c r="T656" s="501"/>
      <c r="U656" s="502"/>
    </row>
    <row r="657" spans="20:21" s="450" customFormat="1">
      <c r="T657" s="501"/>
      <c r="U657" s="502"/>
    </row>
    <row r="658" spans="20:21" s="450" customFormat="1">
      <c r="T658" s="501"/>
      <c r="U658" s="502"/>
    </row>
    <row r="659" spans="20:21" s="450" customFormat="1">
      <c r="T659" s="501"/>
      <c r="U659" s="502"/>
    </row>
    <row r="660" spans="20:21" s="450" customFormat="1">
      <c r="T660" s="501"/>
      <c r="U660" s="502"/>
    </row>
    <row r="661" spans="20:21" s="450" customFormat="1">
      <c r="T661" s="501"/>
      <c r="U661" s="502"/>
    </row>
    <row r="662" spans="20:21" s="450" customFormat="1">
      <c r="T662" s="501"/>
      <c r="U662" s="502"/>
    </row>
    <row r="663" spans="20:21" s="450" customFormat="1">
      <c r="T663" s="501"/>
      <c r="U663" s="502"/>
    </row>
    <row r="664" spans="20:21" s="450" customFormat="1">
      <c r="T664" s="501"/>
      <c r="U664" s="502"/>
    </row>
    <row r="665" spans="20:21" s="450" customFormat="1">
      <c r="T665" s="501"/>
      <c r="U665" s="502"/>
    </row>
    <row r="666" spans="20:21" s="450" customFormat="1">
      <c r="T666" s="501"/>
      <c r="U666" s="502"/>
    </row>
    <row r="667" spans="20:21" s="450" customFormat="1">
      <c r="T667" s="501"/>
      <c r="U667" s="502"/>
    </row>
    <row r="668" spans="20:21" s="450" customFormat="1">
      <c r="T668" s="501"/>
      <c r="U668" s="502"/>
    </row>
    <row r="669" spans="20:21" s="450" customFormat="1">
      <c r="T669" s="501"/>
      <c r="U669" s="502"/>
    </row>
    <row r="670" spans="20:21" s="450" customFormat="1">
      <c r="T670" s="501"/>
      <c r="U670" s="502"/>
    </row>
    <row r="671" spans="20:21" s="450" customFormat="1">
      <c r="T671" s="501"/>
      <c r="U671" s="502"/>
    </row>
    <row r="672" spans="20:21" s="450" customFormat="1">
      <c r="T672" s="501"/>
      <c r="U672" s="502"/>
    </row>
    <row r="673" spans="20:21" s="450" customFormat="1">
      <c r="T673" s="501"/>
      <c r="U673" s="502"/>
    </row>
    <row r="674" spans="20:21" s="450" customFormat="1">
      <c r="T674" s="501"/>
      <c r="U674" s="502"/>
    </row>
    <row r="675" spans="20:21" s="450" customFormat="1">
      <c r="T675" s="501"/>
      <c r="U675" s="502"/>
    </row>
    <row r="676" spans="20:21" s="450" customFormat="1">
      <c r="T676" s="501"/>
      <c r="U676" s="502"/>
    </row>
    <row r="677" spans="20:21" s="450" customFormat="1">
      <c r="T677" s="501"/>
      <c r="U677" s="502"/>
    </row>
    <row r="678" spans="20:21" s="450" customFormat="1">
      <c r="T678" s="501"/>
      <c r="U678" s="502"/>
    </row>
    <row r="679" spans="20:21" s="450" customFormat="1">
      <c r="T679" s="501"/>
      <c r="U679" s="502"/>
    </row>
    <row r="680" spans="20:21" s="450" customFormat="1">
      <c r="T680" s="501"/>
      <c r="U680" s="502"/>
    </row>
    <row r="681" spans="20:21" s="450" customFormat="1">
      <c r="T681" s="501"/>
      <c r="U681" s="502"/>
    </row>
    <row r="682" spans="20:21" s="450" customFormat="1">
      <c r="T682" s="501"/>
      <c r="U682" s="502"/>
    </row>
    <row r="683" spans="20:21" s="450" customFormat="1">
      <c r="T683" s="501"/>
      <c r="U683" s="502"/>
    </row>
    <row r="684" spans="20:21" s="450" customFormat="1">
      <c r="T684" s="501"/>
      <c r="U684" s="502"/>
    </row>
    <row r="685" spans="20:21" s="450" customFormat="1">
      <c r="T685" s="501"/>
      <c r="U685" s="502"/>
    </row>
    <row r="686" spans="20:21" s="450" customFormat="1">
      <c r="T686" s="501"/>
      <c r="U686" s="502"/>
    </row>
    <row r="687" spans="20:21" s="450" customFormat="1">
      <c r="T687" s="501"/>
      <c r="U687" s="502"/>
    </row>
    <row r="688" spans="20:21" s="450" customFormat="1">
      <c r="T688" s="501"/>
      <c r="U688" s="502"/>
    </row>
    <row r="689" spans="20:21" s="450" customFormat="1">
      <c r="T689" s="501"/>
      <c r="U689" s="502"/>
    </row>
    <row r="690" spans="20:21" s="450" customFormat="1">
      <c r="T690" s="501"/>
      <c r="U690" s="502"/>
    </row>
    <row r="691" spans="20:21" s="450" customFormat="1">
      <c r="T691" s="501"/>
      <c r="U691" s="502"/>
    </row>
    <row r="692" spans="20:21" s="450" customFormat="1">
      <c r="T692" s="501"/>
      <c r="U692" s="502"/>
    </row>
    <row r="693" spans="20:21" s="450" customFormat="1">
      <c r="T693" s="501"/>
      <c r="U693" s="502"/>
    </row>
    <row r="694" spans="20:21" s="450" customFormat="1">
      <c r="T694" s="501"/>
      <c r="U694" s="502"/>
    </row>
    <row r="695" spans="20:21" s="450" customFormat="1">
      <c r="T695" s="501"/>
      <c r="U695" s="502"/>
    </row>
    <row r="696" spans="20:21" s="450" customFormat="1">
      <c r="T696" s="501"/>
      <c r="U696" s="502"/>
    </row>
    <row r="697" spans="20:21" s="450" customFormat="1">
      <c r="T697" s="501"/>
      <c r="U697" s="502"/>
    </row>
    <row r="698" spans="20:21" s="450" customFormat="1">
      <c r="T698" s="501"/>
      <c r="U698" s="502"/>
    </row>
    <row r="699" spans="20:21" s="450" customFormat="1">
      <c r="T699" s="501"/>
      <c r="U699" s="502"/>
    </row>
    <row r="700" spans="20:21" s="450" customFormat="1">
      <c r="T700" s="501"/>
      <c r="U700" s="502"/>
    </row>
    <row r="701" spans="20:21" s="450" customFormat="1">
      <c r="T701" s="501"/>
      <c r="U701" s="502"/>
    </row>
    <row r="702" spans="20:21" s="450" customFormat="1">
      <c r="T702" s="501"/>
      <c r="U702" s="502"/>
    </row>
    <row r="703" spans="20:21" s="450" customFormat="1">
      <c r="T703" s="501"/>
      <c r="U703" s="502"/>
    </row>
    <row r="704" spans="20:21" s="450" customFormat="1">
      <c r="T704" s="501"/>
      <c r="U704" s="502"/>
    </row>
    <row r="705" spans="20:21" s="450" customFormat="1">
      <c r="T705" s="501"/>
      <c r="U705" s="502"/>
    </row>
    <row r="706" spans="20:21" s="450" customFormat="1">
      <c r="T706" s="501"/>
      <c r="U706" s="502"/>
    </row>
    <row r="707" spans="20:21" s="450" customFormat="1">
      <c r="T707" s="501"/>
      <c r="U707" s="502"/>
    </row>
    <row r="708" spans="20:21" s="450" customFormat="1">
      <c r="T708" s="501"/>
      <c r="U708" s="502"/>
    </row>
    <row r="709" spans="20:21" s="450" customFormat="1">
      <c r="T709" s="501"/>
      <c r="U709" s="502"/>
    </row>
    <row r="710" spans="20:21" s="450" customFormat="1">
      <c r="T710" s="501"/>
      <c r="U710" s="502"/>
    </row>
    <row r="711" spans="20:21" s="450" customFormat="1">
      <c r="T711" s="501"/>
      <c r="U711" s="502"/>
    </row>
    <row r="712" spans="20:21" s="450" customFormat="1">
      <c r="T712" s="501"/>
      <c r="U712" s="502"/>
    </row>
    <row r="713" spans="20:21" s="450" customFormat="1">
      <c r="T713" s="501"/>
      <c r="U713" s="502"/>
    </row>
    <row r="714" spans="20:21" s="450" customFormat="1">
      <c r="T714" s="501"/>
      <c r="U714" s="502"/>
    </row>
    <row r="715" spans="20:21" s="450" customFormat="1">
      <c r="T715" s="501"/>
      <c r="U715" s="502"/>
    </row>
    <row r="716" spans="20:21" s="450" customFormat="1">
      <c r="T716" s="501"/>
      <c r="U716" s="502"/>
    </row>
    <row r="717" spans="20:21" s="450" customFormat="1">
      <c r="T717" s="501"/>
      <c r="U717" s="502"/>
    </row>
    <row r="718" spans="20:21" s="450" customFormat="1">
      <c r="T718" s="501"/>
      <c r="U718" s="502"/>
    </row>
    <row r="719" spans="20:21" s="450" customFormat="1">
      <c r="T719" s="501"/>
      <c r="U719" s="502"/>
    </row>
    <row r="720" spans="20:21" s="450" customFormat="1">
      <c r="T720" s="501"/>
      <c r="U720" s="502"/>
    </row>
    <row r="721" spans="20:21" s="450" customFormat="1">
      <c r="T721" s="501"/>
      <c r="U721" s="502"/>
    </row>
    <row r="722" spans="20:21" s="450" customFormat="1">
      <c r="T722" s="501"/>
      <c r="U722" s="502"/>
    </row>
    <row r="723" spans="20:21" s="450" customFormat="1">
      <c r="T723" s="501"/>
      <c r="U723" s="502"/>
    </row>
    <row r="724" spans="20:21" s="450" customFormat="1">
      <c r="T724" s="501"/>
      <c r="U724" s="502"/>
    </row>
    <row r="725" spans="20:21" s="450" customFormat="1">
      <c r="T725" s="501"/>
      <c r="U725" s="502"/>
    </row>
    <row r="726" spans="20:21" s="450" customFormat="1">
      <c r="T726" s="501"/>
      <c r="U726" s="502"/>
    </row>
    <row r="727" spans="20:21" s="450" customFormat="1">
      <c r="T727" s="501"/>
      <c r="U727" s="502"/>
    </row>
    <row r="728" spans="20:21" s="450" customFormat="1">
      <c r="T728" s="501"/>
      <c r="U728" s="502"/>
    </row>
    <row r="729" spans="20:21" s="450" customFormat="1">
      <c r="T729" s="501"/>
      <c r="U729" s="502"/>
    </row>
    <row r="730" spans="20:21" s="450" customFormat="1">
      <c r="T730" s="501"/>
      <c r="U730" s="502"/>
    </row>
    <row r="731" spans="20:21" s="450" customFormat="1">
      <c r="T731" s="501"/>
      <c r="U731" s="502"/>
    </row>
    <row r="732" spans="20:21" s="450" customFormat="1">
      <c r="T732" s="501"/>
      <c r="U732" s="502"/>
    </row>
    <row r="733" spans="20:21" s="450" customFormat="1">
      <c r="T733" s="501"/>
      <c r="U733" s="502"/>
    </row>
    <row r="734" spans="20:21" s="450" customFormat="1">
      <c r="T734" s="501"/>
      <c r="U734" s="502"/>
    </row>
    <row r="735" spans="20:21" s="450" customFormat="1">
      <c r="T735" s="501"/>
      <c r="U735" s="502"/>
    </row>
    <row r="736" spans="20:21" s="450" customFormat="1">
      <c r="T736" s="501"/>
      <c r="U736" s="502"/>
    </row>
    <row r="737" spans="20:21" s="450" customFormat="1">
      <c r="T737" s="501"/>
      <c r="U737" s="502"/>
    </row>
    <row r="738" spans="20:21" s="450" customFormat="1">
      <c r="T738" s="501"/>
      <c r="U738" s="502"/>
    </row>
    <row r="739" spans="20:21" s="450" customFormat="1">
      <c r="T739" s="501"/>
      <c r="U739" s="502"/>
    </row>
    <row r="740" spans="20:21" s="450" customFormat="1">
      <c r="T740" s="501"/>
      <c r="U740" s="502"/>
    </row>
    <row r="741" spans="20:21" s="450" customFormat="1">
      <c r="T741" s="501"/>
      <c r="U741" s="502"/>
    </row>
    <row r="742" spans="20:21" s="450" customFormat="1">
      <c r="T742" s="501"/>
      <c r="U742" s="502"/>
    </row>
    <row r="743" spans="20:21" s="450" customFormat="1">
      <c r="T743" s="501"/>
      <c r="U743" s="502"/>
    </row>
    <row r="744" spans="20:21" s="450" customFormat="1">
      <c r="T744" s="501"/>
      <c r="U744" s="502"/>
    </row>
    <row r="745" spans="20:21" s="450" customFormat="1">
      <c r="T745" s="501"/>
      <c r="U745" s="502"/>
    </row>
    <row r="746" spans="20:21" s="450" customFormat="1">
      <c r="T746" s="501"/>
      <c r="U746" s="502"/>
    </row>
    <row r="747" spans="20:21" s="450" customFormat="1">
      <c r="T747" s="501"/>
      <c r="U747" s="502"/>
    </row>
    <row r="748" spans="20:21" s="450" customFormat="1">
      <c r="T748" s="501"/>
      <c r="U748" s="502"/>
    </row>
    <row r="749" spans="20:21" s="450" customFormat="1">
      <c r="T749" s="501"/>
      <c r="U749" s="502"/>
    </row>
    <row r="750" spans="20:21" s="450" customFormat="1">
      <c r="T750" s="501"/>
      <c r="U750" s="502"/>
    </row>
    <row r="751" spans="20:21" s="450" customFormat="1">
      <c r="T751" s="501"/>
      <c r="U751" s="502"/>
    </row>
    <row r="752" spans="20:21" s="450" customFormat="1">
      <c r="T752" s="501"/>
      <c r="U752" s="502"/>
    </row>
    <row r="753" spans="20:21" s="450" customFormat="1">
      <c r="T753" s="501"/>
      <c r="U753" s="502"/>
    </row>
    <row r="754" spans="20:21" s="450" customFormat="1">
      <c r="T754" s="501"/>
      <c r="U754" s="502"/>
    </row>
    <row r="755" spans="20:21" s="450" customFormat="1">
      <c r="T755" s="501"/>
      <c r="U755" s="502"/>
    </row>
    <row r="756" spans="20:21" s="450" customFormat="1">
      <c r="T756" s="501"/>
      <c r="U756" s="502"/>
    </row>
    <row r="757" spans="20:21" s="450" customFormat="1">
      <c r="T757" s="501"/>
      <c r="U757" s="502"/>
    </row>
    <row r="758" spans="20:21" s="450" customFormat="1">
      <c r="T758" s="501"/>
      <c r="U758" s="502"/>
    </row>
    <row r="759" spans="20:21" s="450" customFormat="1">
      <c r="T759" s="501"/>
      <c r="U759" s="502"/>
    </row>
    <row r="760" spans="20:21" s="450" customFormat="1">
      <c r="T760" s="501"/>
      <c r="U760" s="502"/>
    </row>
    <row r="761" spans="20:21" s="450" customFormat="1">
      <c r="T761" s="501"/>
      <c r="U761" s="502"/>
    </row>
    <row r="762" spans="20:21" s="450" customFormat="1">
      <c r="T762" s="501"/>
      <c r="U762" s="502"/>
    </row>
    <row r="763" spans="20:21" s="450" customFormat="1">
      <c r="T763" s="501"/>
      <c r="U763" s="502"/>
    </row>
    <row r="764" spans="20:21" s="450" customFormat="1">
      <c r="T764" s="501"/>
      <c r="U764" s="502"/>
    </row>
    <row r="765" spans="20:21" s="450" customFormat="1">
      <c r="T765" s="501"/>
      <c r="U765" s="502"/>
    </row>
    <row r="766" spans="20:21" s="450" customFormat="1">
      <c r="T766" s="501"/>
      <c r="U766" s="502"/>
    </row>
    <row r="767" spans="20:21" s="450" customFormat="1">
      <c r="T767" s="501"/>
      <c r="U767" s="502"/>
    </row>
    <row r="768" spans="20:21" s="450" customFormat="1">
      <c r="T768" s="501"/>
      <c r="U768" s="502"/>
    </row>
    <row r="769" spans="20:21" s="450" customFormat="1">
      <c r="T769" s="501"/>
      <c r="U769" s="502"/>
    </row>
    <row r="770" spans="20:21" s="450" customFormat="1">
      <c r="T770" s="501"/>
      <c r="U770" s="502"/>
    </row>
    <row r="771" spans="20:21" s="450" customFormat="1">
      <c r="T771" s="501"/>
      <c r="U771" s="502"/>
    </row>
    <row r="772" spans="20:21" s="450" customFormat="1">
      <c r="T772" s="501"/>
      <c r="U772" s="502"/>
    </row>
    <row r="773" spans="20:21" s="450" customFormat="1">
      <c r="T773" s="501"/>
      <c r="U773" s="502"/>
    </row>
    <row r="774" spans="20:21" s="450" customFormat="1">
      <c r="T774" s="501"/>
      <c r="U774" s="502"/>
    </row>
    <row r="775" spans="20:21" s="450" customFormat="1">
      <c r="T775" s="501"/>
      <c r="U775" s="502"/>
    </row>
    <row r="776" spans="20:21" s="450" customFormat="1">
      <c r="T776" s="501"/>
      <c r="U776" s="502"/>
    </row>
    <row r="777" spans="20:21" s="450" customFormat="1">
      <c r="T777" s="501"/>
      <c r="U777" s="502"/>
    </row>
    <row r="778" spans="20:21" s="450" customFormat="1">
      <c r="T778" s="501"/>
      <c r="U778" s="502"/>
    </row>
    <row r="779" spans="20:21" s="450" customFormat="1">
      <c r="T779" s="501"/>
      <c r="U779" s="502"/>
    </row>
    <row r="780" spans="20:21" s="450" customFormat="1">
      <c r="T780" s="501"/>
      <c r="U780" s="502"/>
    </row>
    <row r="781" spans="20:21" s="450" customFormat="1">
      <c r="T781" s="501"/>
      <c r="U781" s="502"/>
    </row>
    <row r="782" spans="20:21" s="450" customFormat="1">
      <c r="T782" s="501"/>
      <c r="U782" s="502"/>
    </row>
    <row r="783" spans="20:21" s="450" customFormat="1">
      <c r="T783" s="501"/>
      <c r="U783" s="502"/>
    </row>
    <row r="784" spans="20:21" s="450" customFormat="1">
      <c r="T784" s="501"/>
      <c r="U784" s="502"/>
    </row>
    <row r="785" spans="20:21" s="450" customFormat="1">
      <c r="T785" s="501"/>
      <c r="U785" s="502"/>
    </row>
    <row r="786" spans="20:21" s="450" customFormat="1">
      <c r="T786" s="501"/>
      <c r="U786" s="502"/>
    </row>
    <row r="787" spans="20:21" s="450" customFormat="1">
      <c r="T787" s="501"/>
      <c r="U787" s="502"/>
    </row>
    <row r="788" spans="20:21" s="450" customFormat="1">
      <c r="T788" s="501"/>
      <c r="U788" s="502"/>
    </row>
    <row r="789" spans="20:21" s="450" customFormat="1">
      <c r="T789" s="501"/>
      <c r="U789" s="502"/>
    </row>
    <row r="790" spans="20:21" s="450" customFormat="1">
      <c r="T790" s="501"/>
      <c r="U790" s="502"/>
    </row>
    <row r="791" spans="20:21" s="450" customFormat="1">
      <c r="T791" s="501"/>
      <c r="U791" s="502"/>
    </row>
    <row r="792" spans="20:21" s="450" customFormat="1">
      <c r="T792" s="501"/>
      <c r="U792" s="502"/>
    </row>
    <row r="793" spans="20:21" s="450" customFormat="1">
      <c r="T793" s="501"/>
      <c r="U793" s="502"/>
    </row>
    <row r="794" spans="20:21" s="450" customFormat="1">
      <c r="T794" s="501"/>
      <c r="U794" s="502"/>
    </row>
    <row r="795" spans="20:21" s="450" customFormat="1">
      <c r="T795" s="501"/>
      <c r="U795" s="502"/>
    </row>
    <row r="796" spans="20:21" s="450" customFormat="1">
      <c r="T796" s="501"/>
      <c r="U796" s="502"/>
    </row>
    <row r="797" spans="20:21" s="450" customFormat="1">
      <c r="T797" s="501"/>
      <c r="U797" s="502"/>
    </row>
    <row r="798" spans="20:21" s="450" customFormat="1">
      <c r="T798" s="501"/>
      <c r="U798" s="502"/>
    </row>
    <row r="799" spans="20:21" s="450" customFormat="1">
      <c r="T799" s="501"/>
      <c r="U799" s="502"/>
    </row>
    <row r="800" spans="20:21" s="450" customFormat="1">
      <c r="T800" s="501"/>
      <c r="U800" s="502"/>
    </row>
    <row r="801" spans="20:21" s="450" customFormat="1">
      <c r="T801" s="501"/>
      <c r="U801" s="502"/>
    </row>
    <row r="802" spans="20:21" s="450" customFormat="1">
      <c r="T802" s="501"/>
      <c r="U802" s="502"/>
    </row>
    <row r="803" spans="20:21" s="450" customFormat="1">
      <c r="T803" s="501"/>
      <c r="U803" s="502"/>
    </row>
    <row r="804" spans="20:21" s="450" customFormat="1">
      <c r="T804" s="501"/>
      <c r="U804" s="502"/>
    </row>
    <row r="805" spans="20:21" s="450" customFormat="1">
      <c r="T805" s="501"/>
      <c r="U805" s="502"/>
    </row>
    <row r="806" spans="20:21" s="450" customFormat="1">
      <c r="T806" s="501"/>
      <c r="U806" s="502"/>
    </row>
    <row r="807" spans="20:21" s="450" customFormat="1">
      <c r="T807" s="501"/>
      <c r="U807" s="502"/>
    </row>
    <row r="808" spans="20:21" s="450" customFormat="1">
      <c r="T808" s="501"/>
      <c r="U808" s="502"/>
    </row>
    <row r="809" spans="20:21" s="450" customFormat="1">
      <c r="T809" s="501"/>
      <c r="U809" s="502"/>
    </row>
    <row r="810" spans="20:21" s="450" customFormat="1">
      <c r="T810" s="501"/>
      <c r="U810" s="502"/>
    </row>
    <row r="811" spans="20:21" s="450" customFormat="1">
      <c r="T811" s="501"/>
      <c r="U811" s="502"/>
    </row>
    <row r="812" spans="20:21" s="450" customFormat="1">
      <c r="T812" s="501"/>
      <c r="U812" s="502"/>
    </row>
    <row r="813" spans="20:21" s="450" customFormat="1">
      <c r="T813" s="501"/>
      <c r="U813" s="502"/>
    </row>
    <row r="814" spans="20:21" s="450" customFormat="1">
      <c r="T814" s="501"/>
      <c r="U814" s="502"/>
    </row>
    <row r="815" spans="20:21" s="450" customFormat="1">
      <c r="T815" s="501"/>
      <c r="U815" s="502"/>
    </row>
    <row r="816" spans="20:21" s="450" customFormat="1">
      <c r="T816" s="501"/>
      <c r="U816" s="502"/>
    </row>
    <row r="817" spans="20:21" s="450" customFormat="1">
      <c r="T817" s="501"/>
      <c r="U817" s="502"/>
    </row>
    <row r="818" spans="20:21" s="450" customFormat="1">
      <c r="T818" s="501"/>
      <c r="U818" s="502"/>
    </row>
    <row r="819" spans="20:21" s="450" customFormat="1">
      <c r="T819" s="501"/>
      <c r="U819" s="502"/>
    </row>
    <row r="820" spans="20:21" s="450" customFormat="1">
      <c r="T820" s="501"/>
      <c r="U820" s="502"/>
    </row>
    <row r="821" spans="20:21" s="450" customFormat="1">
      <c r="T821" s="501"/>
      <c r="U821" s="502"/>
    </row>
    <row r="822" spans="20:21" s="450" customFormat="1">
      <c r="T822" s="501"/>
      <c r="U822" s="502"/>
    </row>
    <row r="823" spans="20:21" s="450" customFormat="1">
      <c r="T823" s="501"/>
      <c r="U823" s="502"/>
    </row>
    <row r="824" spans="20:21" s="450" customFormat="1">
      <c r="T824" s="501"/>
      <c r="U824" s="502"/>
    </row>
    <row r="825" spans="20:21" s="450" customFormat="1">
      <c r="T825" s="501"/>
      <c r="U825" s="502"/>
    </row>
    <row r="826" spans="20:21" s="450" customFormat="1">
      <c r="T826" s="501"/>
      <c r="U826" s="502"/>
    </row>
    <row r="827" spans="20:21" s="450" customFormat="1">
      <c r="T827" s="501"/>
      <c r="U827" s="502"/>
    </row>
    <row r="828" spans="20:21" s="450" customFormat="1">
      <c r="T828" s="501"/>
      <c r="U828" s="502"/>
    </row>
    <row r="829" spans="20:21" s="450" customFormat="1">
      <c r="T829" s="501"/>
      <c r="U829" s="502"/>
    </row>
    <row r="830" spans="20:21" s="450" customFormat="1">
      <c r="T830" s="501"/>
      <c r="U830" s="502"/>
    </row>
    <row r="831" spans="20:21" s="450" customFormat="1">
      <c r="T831" s="501"/>
      <c r="U831" s="502"/>
    </row>
    <row r="832" spans="20:21" s="450" customFormat="1">
      <c r="T832" s="501"/>
      <c r="U832" s="502"/>
    </row>
    <row r="833" spans="20:21" s="450" customFormat="1">
      <c r="T833" s="501"/>
      <c r="U833" s="502"/>
    </row>
    <row r="834" spans="20:21" s="450" customFormat="1">
      <c r="T834" s="501"/>
      <c r="U834" s="502"/>
    </row>
    <row r="835" spans="20:21" s="450" customFormat="1">
      <c r="T835" s="501"/>
      <c r="U835" s="502"/>
    </row>
    <row r="836" spans="20:21" s="450" customFormat="1">
      <c r="T836" s="501"/>
      <c r="U836" s="502"/>
    </row>
    <row r="837" spans="20:21" s="450" customFormat="1">
      <c r="T837" s="501"/>
      <c r="U837" s="502"/>
    </row>
    <row r="838" spans="20:21" s="450" customFormat="1">
      <c r="T838" s="501"/>
      <c r="U838" s="502"/>
    </row>
    <row r="839" spans="20:21" s="450" customFormat="1">
      <c r="T839" s="501"/>
      <c r="U839" s="502"/>
    </row>
    <row r="840" spans="20:21" s="450" customFormat="1">
      <c r="T840" s="501"/>
      <c r="U840" s="502"/>
    </row>
    <row r="841" spans="20:21" s="450" customFormat="1">
      <c r="T841" s="501"/>
      <c r="U841" s="502"/>
    </row>
    <row r="842" spans="20:21" s="450" customFormat="1">
      <c r="T842" s="501"/>
      <c r="U842" s="502"/>
    </row>
    <row r="843" spans="20:21" s="450" customFormat="1">
      <c r="T843" s="501"/>
      <c r="U843" s="502"/>
    </row>
    <row r="844" spans="20:21" s="450" customFormat="1">
      <c r="T844" s="501"/>
      <c r="U844" s="502"/>
    </row>
    <row r="845" spans="20:21" s="450" customFormat="1">
      <c r="T845" s="501"/>
      <c r="U845" s="502"/>
    </row>
    <row r="846" spans="20:21" s="450" customFormat="1">
      <c r="T846" s="501"/>
      <c r="U846" s="502"/>
    </row>
    <row r="847" spans="20:21" s="450" customFormat="1">
      <c r="T847" s="501"/>
      <c r="U847" s="502"/>
    </row>
    <row r="848" spans="20:21" s="450" customFormat="1">
      <c r="T848" s="501"/>
      <c r="U848" s="502"/>
    </row>
    <row r="849" spans="20:21" s="450" customFormat="1">
      <c r="T849" s="501"/>
      <c r="U849" s="502"/>
    </row>
    <row r="850" spans="20:21" s="450" customFormat="1">
      <c r="T850" s="501"/>
      <c r="U850" s="502"/>
    </row>
    <row r="851" spans="20:21" s="450" customFormat="1">
      <c r="T851" s="501"/>
      <c r="U851" s="502"/>
    </row>
    <row r="852" spans="20:21" s="450" customFormat="1">
      <c r="T852" s="501"/>
      <c r="U852" s="502"/>
    </row>
    <row r="853" spans="20:21" s="450" customFormat="1">
      <c r="T853" s="501"/>
      <c r="U853" s="502"/>
    </row>
    <row r="854" spans="20:21" s="450" customFormat="1">
      <c r="T854" s="501"/>
      <c r="U854" s="502"/>
    </row>
    <row r="855" spans="20:21" s="450" customFormat="1">
      <c r="T855" s="501"/>
      <c r="U855" s="502"/>
    </row>
    <row r="856" spans="20:21" s="450" customFormat="1">
      <c r="T856" s="501"/>
      <c r="U856" s="502"/>
    </row>
    <row r="857" spans="20:21" s="450" customFormat="1">
      <c r="T857" s="501"/>
      <c r="U857" s="502"/>
    </row>
    <row r="858" spans="20:21" s="450" customFormat="1">
      <c r="T858" s="501"/>
      <c r="U858" s="502"/>
    </row>
    <row r="859" spans="20:21" s="450" customFormat="1">
      <c r="T859" s="501"/>
      <c r="U859" s="502"/>
    </row>
    <row r="860" spans="20:21" s="450" customFormat="1">
      <c r="T860" s="501"/>
      <c r="U860" s="502"/>
    </row>
    <row r="861" spans="20:21" s="450" customFormat="1">
      <c r="T861" s="501"/>
      <c r="U861" s="502"/>
    </row>
    <row r="862" spans="20:21" s="450" customFormat="1">
      <c r="T862" s="501"/>
      <c r="U862" s="502"/>
    </row>
    <row r="863" spans="20:21" s="450" customFormat="1">
      <c r="T863" s="501"/>
      <c r="U863" s="502"/>
    </row>
    <row r="864" spans="20:21" s="450" customFormat="1">
      <c r="T864" s="501"/>
      <c r="U864" s="502"/>
    </row>
    <row r="865" spans="20:21" s="450" customFormat="1">
      <c r="T865" s="501"/>
      <c r="U865" s="502"/>
    </row>
    <row r="866" spans="20:21" s="450" customFormat="1">
      <c r="T866" s="501"/>
      <c r="U866" s="502"/>
    </row>
    <row r="867" spans="20:21" s="450" customFormat="1">
      <c r="T867" s="501"/>
      <c r="U867" s="502"/>
    </row>
    <row r="868" spans="20:21" s="450" customFormat="1">
      <c r="T868" s="501"/>
      <c r="U868" s="502"/>
    </row>
    <row r="869" spans="20:21" s="450" customFormat="1">
      <c r="T869" s="501"/>
      <c r="U869" s="502"/>
    </row>
    <row r="870" spans="20:21" s="450" customFormat="1">
      <c r="T870" s="501"/>
      <c r="U870" s="502"/>
    </row>
    <row r="871" spans="20:21" s="450" customFormat="1">
      <c r="T871" s="501"/>
      <c r="U871" s="502"/>
    </row>
    <row r="872" spans="20:21" s="450" customFormat="1">
      <c r="T872" s="501"/>
      <c r="U872" s="502"/>
    </row>
    <row r="873" spans="20:21" s="450" customFormat="1">
      <c r="T873" s="501"/>
      <c r="U873" s="502"/>
    </row>
    <row r="874" spans="20:21" s="450" customFormat="1">
      <c r="T874" s="501"/>
      <c r="U874" s="502"/>
    </row>
    <row r="875" spans="20:21" s="450" customFormat="1">
      <c r="T875" s="501"/>
      <c r="U875" s="502"/>
    </row>
    <row r="876" spans="20:21" s="450" customFormat="1">
      <c r="T876" s="501"/>
      <c r="U876" s="502"/>
    </row>
    <row r="877" spans="20:21" s="450" customFormat="1">
      <c r="T877" s="501"/>
      <c r="U877" s="502"/>
    </row>
    <row r="878" spans="20:21" s="450" customFormat="1">
      <c r="T878" s="501"/>
      <c r="U878" s="502"/>
    </row>
    <row r="879" spans="20:21" s="450" customFormat="1">
      <c r="T879" s="501"/>
      <c r="U879" s="502"/>
    </row>
    <row r="880" spans="20:21" s="450" customFormat="1">
      <c r="T880" s="501"/>
      <c r="U880" s="502"/>
    </row>
    <row r="881" spans="20:21" s="450" customFormat="1">
      <c r="T881" s="501"/>
      <c r="U881" s="502"/>
    </row>
    <row r="882" spans="20:21" s="450" customFormat="1">
      <c r="T882" s="501"/>
      <c r="U882" s="502"/>
    </row>
    <row r="883" spans="20:21" s="450" customFormat="1">
      <c r="T883" s="501"/>
      <c r="U883" s="502"/>
    </row>
    <row r="884" spans="20:21" s="450" customFormat="1">
      <c r="T884" s="501"/>
      <c r="U884" s="502"/>
    </row>
    <row r="885" spans="20:21" s="450" customFormat="1">
      <c r="T885" s="501"/>
      <c r="U885" s="502"/>
    </row>
    <row r="886" spans="20:21" s="450" customFormat="1">
      <c r="T886" s="501"/>
      <c r="U886" s="502"/>
    </row>
    <row r="887" spans="20:21" s="450" customFormat="1">
      <c r="T887" s="501"/>
      <c r="U887" s="502"/>
    </row>
    <row r="888" spans="20:21" s="450" customFormat="1">
      <c r="T888" s="501"/>
      <c r="U888" s="502"/>
    </row>
    <row r="889" spans="20:21" s="450" customFormat="1">
      <c r="T889" s="501"/>
      <c r="U889" s="502"/>
    </row>
    <row r="890" spans="20:21" s="450" customFormat="1">
      <c r="T890" s="501"/>
      <c r="U890" s="502"/>
    </row>
    <row r="891" spans="20:21" s="450" customFormat="1">
      <c r="T891" s="501"/>
      <c r="U891" s="502"/>
    </row>
    <row r="892" spans="20:21" s="450" customFormat="1">
      <c r="T892" s="501"/>
      <c r="U892" s="502"/>
    </row>
    <row r="893" spans="20:21" s="450" customFormat="1">
      <c r="T893" s="501"/>
      <c r="U893" s="502"/>
    </row>
    <row r="894" spans="20:21" s="450" customFormat="1">
      <c r="T894" s="501"/>
      <c r="U894" s="502"/>
    </row>
    <row r="895" spans="20:21" s="450" customFormat="1">
      <c r="T895" s="501"/>
      <c r="U895" s="502"/>
    </row>
    <row r="896" spans="20:21" s="450" customFormat="1">
      <c r="T896" s="501"/>
      <c r="U896" s="502"/>
    </row>
    <row r="897" spans="20:21" s="450" customFormat="1">
      <c r="T897" s="501"/>
      <c r="U897" s="502"/>
    </row>
    <row r="898" spans="20:21" s="450" customFormat="1">
      <c r="T898" s="501"/>
      <c r="U898" s="502"/>
    </row>
    <row r="899" spans="20:21" s="450" customFormat="1">
      <c r="T899" s="501"/>
      <c r="U899" s="502"/>
    </row>
    <row r="900" spans="20:21" s="450" customFormat="1">
      <c r="T900" s="501"/>
      <c r="U900" s="502"/>
    </row>
    <row r="901" spans="20:21" s="450" customFormat="1">
      <c r="T901" s="501"/>
      <c r="U901" s="502"/>
    </row>
    <row r="902" spans="20:21" s="450" customFormat="1">
      <c r="T902" s="501"/>
      <c r="U902" s="502"/>
    </row>
    <row r="903" spans="20:21" s="450" customFormat="1">
      <c r="T903" s="501"/>
      <c r="U903" s="502"/>
    </row>
    <row r="904" spans="20:21" s="450" customFormat="1">
      <c r="T904" s="501"/>
      <c r="U904" s="502"/>
    </row>
    <row r="905" spans="20:21" s="450" customFormat="1">
      <c r="T905" s="501"/>
      <c r="U905" s="502"/>
    </row>
    <row r="906" spans="20:21" s="450" customFormat="1">
      <c r="T906" s="501"/>
      <c r="U906" s="502"/>
    </row>
    <row r="907" spans="20:21" s="450" customFormat="1">
      <c r="T907" s="501"/>
      <c r="U907" s="502"/>
    </row>
    <row r="908" spans="20:21" s="450" customFormat="1">
      <c r="T908" s="501"/>
      <c r="U908" s="502"/>
    </row>
    <row r="909" spans="20:21" s="450" customFormat="1">
      <c r="T909" s="501"/>
      <c r="U909" s="502"/>
    </row>
    <row r="910" spans="20:21" s="450" customFormat="1">
      <c r="T910" s="501"/>
      <c r="U910" s="502"/>
    </row>
    <row r="911" spans="20:21" s="450" customFormat="1">
      <c r="T911" s="501"/>
      <c r="U911" s="502"/>
    </row>
    <row r="912" spans="20:21" s="450" customFormat="1">
      <c r="T912" s="501"/>
      <c r="U912" s="502"/>
    </row>
    <row r="913" spans="20:21" s="450" customFormat="1">
      <c r="T913" s="501"/>
      <c r="U913" s="502"/>
    </row>
    <row r="914" spans="20:21" s="450" customFormat="1">
      <c r="T914" s="501"/>
      <c r="U914" s="502"/>
    </row>
    <row r="915" spans="20:21" s="450" customFormat="1">
      <c r="T915" s="501"/>
      <c r="U915" s="502"/>
    </row>
    <row r="916" spans="20:21" s="450" customFormat="1">
      <c r="T916" s="501"/>
      <c r="U916" s="502"/>
    </row>
    <row r="917" spans="20:21" s="450" customFormat="1">
      <c r="T917" s="501"/>
      <c r="U917" s="502"/>
    </row>
    <row r="918" spans="20:21" s="450" customFormat="1">
      <c r="T918" s="501"/>
      <c r="U918" s="502"/>
    </row>
    <row r="919" spans="20:21" s="450" customFormat="1">
      <c r="T919" s="501"/>
      <c r="U919" s="502"/>
    </row>
    <row r="920" spans="20:21" s="450" customFormat="1">
      <c r="T920" s="501"/>
      <c r="U920" s="502"/>
    </row>
    <row r="921" spans="20:21" s="450" customFormat="1">
      <c r="T921" s="501"/>
      <c r="U921" s="502"/>
    </row>
    <row r="922" spans="20:21" s="450" customFormat="1">
      <c r="T922" s="501"/>
      <c r="U922" s="502"/>
    </row>
    <row r="923" spans="20:21" s="450" customFormat="1">
      <c r="T923" s="501"/>
      <c r="U923" s="502"/>
    </row>
    <row r="924" spans="20:21" s="450" customFormat="1">
      <c r="T924" s="501"/>
      <c r="U924" s="502"/>
    </row>
    <row r="925" spans="20:21" s="450" customFormat="1">
      <c r="T925" s="501"/>
      <c r="U925" s="502"/>
    </row>
    <row r="926" spans="20:21" s="450" customFormat="1">
      <c r="T926" s="501"/>
      <c r="U926" s="502"/>
    </row>
    <row r="927" spans="20:21" s="450" customFormat="1">
      <c r="T927" s="501"/>
      <c r="U927" s="502"/>
    </row>
    <row r="928" spans="20:21" s="450" customFormat="1">
      <c r="T928" s="501"/>
      <c r="U928" s="502"/>
    </row>
    <row r="929" spans="20:21" s="450" customFormat="1">
      <c r="T929" s="501"/>
      <c r="U929" s="502"/>
    </row>
    <row r="930" spans="20:21" s="450" customFormat="1">
      <c r="T930" s="501"/>
      <c r="U930" s="502"/>
    </row>
    <row r="931" spans="20:21" s="450" customFormat="1">
      <c r="T931" s="501"/>
      <c r="U931" s="502"/>
    </row>
    <row r="932" spans="20:21" s="450" customFormat="1">
      <c r="T932" s="501"/>
      <c r="U932" s="502"/>
    </row>
    <row r="933" spans="20:21" s="450" customFormat="1">
      <c r="T933" s="501"/>
      <c r="U933" s="502"/>
    </row>
    <row r="934" spans="20:21" s="450" customFormat="1">
      <c r="T934" s="501"/>
      <c r="U934" s="502"/>
    </row>
    <row r="935" spans="20:21" s="450" customFormat="1">
      <c r="T935" s="501"/>
      <c r="U935" s="502"/>
    </row>
    <row r="936" spans="20:21" s="450" customFormat="1">
      <c r="T936" s="501"/>
      <c r="U936" s="502"/>
    </row>
    <row r="937" spans="20:21" s="450" customFormat="1">
      <c r="T937" s="501"/>
      <c r="U937" s="502"/>
    </row>
    <row r="938" spans="20:21" s="450" customFormat="1">
      <c r="T938" s="501"/>
      <c r="U938" s="502"/>
    </row>
    <row r="939" spans="20:21" s="450" customFormat="1">
      <c r="T939" s="501"/>
      <c r="U939" s="502"/>
    </row>
    <row r="940" spans="20:21" s="450" customFormat="1">
      <c r="T940" s="501"/>
      <c r="U940" s="502"/>
    </row>
    <row r="941" spans="20:21" s="450" customFormat="1">
      <c r="T941" s="501"/>
      <c r="U941" s="502"/>
    </row>
    <row r="942" spans="20:21" s="450" customFormat="1">
      <c r="T942" s="501"/>
      <c r="U942" s="502"/>
    </row>
    <row r="943" spans="20:21" s="450" customFormat="1">
      <c r="T943" s="501"/>
      <c r="U943" s="502"/>
    </row>
    <row r="944" spans="20:21" s="450" customFormat="1">
      <c r="T944" s="501"/>
      <c r="U944" s="502"/>
    </row>
    <row r="945" spans="20:21" s="450" customFormat="1">
      <c r="T945" s="501"/>
      <c r="U945" s="502"/>
    </row>
    <row r="946" spans="20:21" s="450" customFormat="1">
      <c r="T946" s="501"/>
      <c r="U946" s="502"/>
    </row>
    <row r="947" spans="20:21" s="450" customFormat="1">
      <c r="T947" s="501"/>
      <c r="U947" s="502"/>
    </row>
    <row r="948" spans="20:21" s="450" customFormat="1">
      <c r="T948" s="501"/>
      <c r="U948" s="502"/>
    </row>
    <row r="949" spans="20:21" s="450" customFormat="1">
      <c r="T949" s="501"/>
      <c r="U949" s="502"/>
    </row>
    <row r="950" spans="20:21" s="450" customFormat="1">
      <c r="T950" s="501"/>
      <c r="U950" s="502"/>
    </row>
    <row r="951" spans="20:21" s="450" customFormat="1">
      <c r="T951" s="501"/>
      <c r="U951" s="502"/>
    </row>
    <row r="952" spans="20:21" s="450" customFormat="1">
      <c r="T952" s="501"/>
      <c r="U952" s="502"/>
    </row>
    <row r="953" spans="20:21" s="450" customFormat="1">
      <c r="T953" s="501"/>
      <c r="U953" s="502"/>
    </row>
    <row r="954" spans="20:21" s="450" customFormat="1">
      <c r="T954" s="501"/>
      <c r="U954" s="502"/>
    </row>
    <row r="955" spans="20:21" s="450" customFormat="1">
      <c r="T955" s="501"/>
      <c r="U955" s="502"/>
    </row>
    <row r="956" spans="20:21" s="450" customFormat="1">
      <c r="T956" s="501"/>
      <c r="U956" s="502"/>
    </row>
    <row r="957" spans="20:21" s="450" customFormat="1">
      <c r="T957" s="501"/>
      <c r="U957" s="502"/>
    </row>
    <row r="958" spans="20:21" s="450" customFormat="1">
      <c r="T958" s="501"/>
      <c r="U958" s="502"/>
    </row>
    <row r="959" spans="20:21" s="450" customFormat="1">
      <c r="T959" s="501"/>
      <c r="U959" s="502"/>
    </row>
    <row r="960" spans="20:21" s="450" customFormat="1">
      <c r="T960" s="501"/>
      <c r="U960" s="502"/>
    </row>
    <row r="961" spans="20:21" s="450" customFormat="1">
      <c r="T961" s="501"/>
      <c r="U961" s="502"/>
    </row>
    <row r="962" spans="20:21" s="450" customFormat="1">
      <c r="T962" s="501"/>
      <c r="U962" s="502"/>
    </row>
    <row r="963" spans="20:21" s="450" customFormat="1">
      <c r="T963" s="501"/>
      <c r="U963" s="502"/>
    </row>
    <row r="964" spans="20:21" s="450" customFormat="1">
      <c r="T964" s="501"/>
      <c r="U964" s="502"/>
    </row>
    <row r="965" spans="20:21" s="450" customFormat="1">
      <c r="T965" s="501"/>
      <c r="U965" s="502"/>
    </row>
    <row r="966" spans="20:21" s="450" customFormat="1">
      <c r="T966" s="501"/>
      <c r="U966" s="502"/>
    </row>
    <row r="967" spans="20:21" s="450" customFormat="1">
      <c r="T967" s="501"/>
      <c r="U967" s="502"/>
    </row>
    <row r="968" spans="20:21" s="450" customFormat="1">
      <c r="T968" s="501"/>
      <c r="U968" s="502"/>
    </row>
    <row r="969" spans="20:21" s="450" customFormat="1">
      <c r="T969" s="501"/>
      <c r="U969" s="502"/>
    </row>
    <row r="970" spans="20:21" s="450" customFormat="1">
      <c r="T970" s="501"/>
      <c r="U970" s="502"/>
    </row>
    <row r="971" spans="20:21" s="450" customFormat="1">
      <c r="T971" s="501"/>
      <c r="U971" s="502"/>
    </row>
    <row r="972" spans="20:21" s="450" customFormat="1">
      <c r="T972" s="501"/>
      <c r="U972" s="502"/>
    </row>
    <row r="973" spans="20:21" s="450" customFormat="1">
      <c r="T973" s="501"/>
      <c r="U973" s="502"/>
    </row>
    <row r="974" spans="20:21" s="450" customFormat="1">
      <c r="T974" s="501"/>
      <c r="U974" s="502"/>
    </row>
    <row r="975" spans="20:21" s="450" customFormat="1">
      <c r="T975" s="501"/>
      <c r="U975" s="502"/>
    </row>
    <row r="976" spans="20:21" s="450" customFormat="1">
      <c r="T976" s="501"/>
      <c r="U976" s="502"/>
    </row>
    <row r="977" spans="20:21" s="450" customFormat="1">
      <c r="T977" s="501"/>
      <c r="U977" s="502"/>
    </row>
    <row r="978" spans="20:21" s="450" customFormat="1">
      <c r="T978" s="501"/>
      <c r="U978" s="502"/>
    </row>
    <row r="979" spans="20:21" s="450" customFormat="1">
      <c r="T979" s="501"/>
      <c r="U979" s="502"/>
    </row>
    <row r="980" spans="20:21" s="450" customFormat="1">
      <c r="T980" s="501"/>
      <c r="U980" s="502"/>
    </row>
    <row r="981" spans="20:21" s="450" customFormat="1">
      <c r="T981" s="501"/>
      <c r="U981" s="502"/>
    </row>
    <row r="982" spans="20:21" s="450" customFormat="1">
      <c r="T982" s="501"/>
      <c r="U982" s="502"/>
    </row>
    <row r="983" spans="20:21" s="450" customFormat="1">
      <c r="T983" s="501"/>
      <c r="U983" s="502"/>
    </row>
    <row r="984" spans="20:21" s="450" customFormat="1">
      <c r="T984" s="501"/>
      <c r="U984" s="502"/>
    </row>
    <row r="985" spans="20:21" s="450" customFormat="1">
      <c r="T985" s="501"/>
      <c r="U985" s="502"/>
    </row>
    <row r="986" spans="20:21" s="450" customFormat="1">
      <c r="T986" s="501"/>
      <c r="U986" s="502"/>
    </row>
    <row r="987" spans="20:21" s="450" customFormat="1">
      <c r="T987" s="501"/>
      <c r="U987" s="502"/>
    </row>
    <row r="988" spans="20:21" s="450" customFormat="1">
      <c r="T988" s="501"/>
      <c r="U988" s="502"/>
    </row>
    <row r="989" spans="20:21" s="450" customFormat="1">
      <c r="T989" s="501"/>
      <c r="U989" s="502"/>
    </row>
    <row r="990" spans="20:21" s="450" customFormat="1">
      <c r="T990" s="501"/>
      <c r="U990" s="502"/>
    </row>
    <row r="991" spans="20:21" s="450" customFormat="1">
      <c r="T991" s="501"/>
      <c r="U991" s="502"/>
    </row>
    <row r="992" spans="20:21" s="450" customFormat="1">
      <c r="T992" s="501"/>
      <c r="U992" s="502"/>
    </row>
    <row r="993" spans="20:21" s="450" customFormat="1">
      <c r="T993" s="501"/>
      <c r="U993" s="502"/>
    </row>
    <row r="994" spans="20:21" s="450" customFormat="1">
      <c r="T994" s="501"/>
      <c r="U994" s="502"/>
    </row>
    <row r="995" spans="20:21" s="450" customFormat="1">
      <c r="T995" s="501"/>
      <c r="U995" s="502"/>
    </row>
    <row r="996" spans="20:21" s="450" customFormat="1">
      <c r="T996" s="501"/>
      <c r="U996" s="502"/>
    </row>
    <row r="997" spans="20:21" s="450" customFormat="1">
      <c r="T997" s="501"/>
      <c r="U997" s="502"/>
    </row>
    <row r="998" spans="20:21" s="450" customFormat="1">
      <c r="T998" s="501"/>
      <c r="U998" s="502"/>
    </row>
    <row r="999" spans="20:21" s="450" customFormat="1">
      <c r="T999" s="501"/>
      <c r="U999" s="502"/>
    </row>
    <row r="1000" spans="20:21" s="450" customFormat="1">
      <c r="T1000" s="501"/>
      <c r="U1000" s="502"/>
    </row>
    <row r="1001" spans="20:21" s="450" customFormat="1">
      <c r="T1001" s="501"/>
      <c r="U1001" s="502"/>
    </row>
    <row r="1002" spans="20:21" s="450" customFormat="1">
      <c r="T1002" s="501"/>
      <c r="U1002" s="502"/>
    </row>
    <row r="1003" spans="20:21" s="450" customFormat="1">
      <c r="T1003" s="501"/>
      <c r="U1003" s="502"/>
    </row>
    <row r="1004" spans="20:21" s="450" customFormat="1">
      <c r="T1004" s="501"/>
      <c r="U1004" s="502"/>
    </row>
    <row r="1005" spans="20:21" s="450" customFormat="1">
      <c r="T1005" s="501"/>
      <c r="U1005" s="502"/>
    </row>
    <row r="1006" spans="20:21" s="450" customFormat="1">
      <c r="T1006" s="501"/>
      <c r="U1006" s="502"/>
    </row>
    <row r="1007" spans="20:21" s="450" customFormat="1">
      <c r="T1007" s="501"/>
      <c r="U1007" s="502"/>
    </row>
    <row r="1008" spans="20:21" s="450" customFormat="1">
      <c r="T1008" s="501"/>
      <c r="U1008" s="502"/>
    </row>
    <row r="1009" spans="20:21" s="450" customFormat="1">
      <c r="T1009" s="501"/>
      <c r="U1009" s="502"/>
    </row>
    <row r="1010" spans="20:21" s="450" customFormat="1">
      <c r="T1010" s="501"/>
      <c r="U1010" s="502"/>
    </row>
    <row r="1011" spans="20:21" s="450" customFormat="1">
      <c r="T1011" s="501"/>
      <c r="U1011" s="502"/>
    </row>
    <row r="1012" spans="20:21" s="450" customFormat="1">
      <c r="T1012" s="501"/>
      <c r="U1012" s="502"/>
    </row>
    <row r="1013" spans="20:21" s="450" customFormat="1">
      <c r="T1013" s="501"/>
      <c r="U1013" s="502"/>
    </row>
    <row r="1014" spans="20:21" s="450" customFormat="1">
      <c r="T1014" s="501"/>
      <c r="U1014" s="502"/>
    </row>
    <row r="1015" spans="20:21" s="450" customFormat="1">
      <c r="T1015" s="501"/>
      <c r="U1015" s="502"/>
    </row>
    <row r="1016" spans="20:21" s="450" customFormat="1">
      <c r="T1016" s="501"/>
      <c r="U1016" s="502"/>
    </row>
    <row r="1017" spans="20:21" s="450" customFormat="1">
      <c r="T1017" s="501"/>
      <c r="U1017" s="502"/>
    </row>
    <row r="1018" spans="20:21" s="450" customFormat="1">
      <c r="T1018" s="501"/>
      <c r="U1018" s="502"/>
    </row>
    <row r="1019" spans="20:21" s="450" customFormat="1">
      <c r="T1019" s="501"/>
      <c r="U1019" s="502"/>
    </row>
    <row r="1020" spans="20:21" s="450" customFormat="1">
      <c r="T1020" s="501"/>
      <c r="U1020" s="502"/>
    </row>
    <row r="1021" spans="20:21" s="450" customFormat="1">
      <c r="T1021" s="501"/>
      <c r="U1021" s="502"/>
    </row>
    <row r="1022" spans="20:21" s="450" customFormat="1">
      <c r="T1022" s="501"/>
      <c r="U1022" s="502"/>
    </row>
    <row r="1023" spans="20:21" s="450" customFormat="1">
      <c r="T1023" s="501"/>
      <c r="U1023" s="502"/>
    </row>
    <row r="1024" spans="20:21" s="450" customFormat="1">
      <c r="T1024" s="501"/>
      <c r="U1024" s="502"/>
    </row>
    <row r="1025" spans="20:21" s="450" customFormat="1">
      <c r="T1025" s="501"/>
      <c r="U1025" s="502"/>
    </row>
    <row r="1026" spans="20:21" s="450" customFormat="1">
      <c r="T1026" s="501"/>
      <c r="U1026" s="502"/>
    </row>
    <row r="1027" spans="20:21" s="450" customFormat="1">
      <c r="T1027" s="501"/>
      <c r="U1027" s="502"/>
    </row>
    <row r="1028" spans="20:21" s="450" customFormat="1">
      <c r="T1028" s="501"/>
      <c r="U1028" s="502"/>
    </row>
    <row r="1029" spans="20:21" s="450" customFormat="1">
      <c r="T1029" s="501"/>
      <c r="U1029" s="502"/>
    </row>
    <row r="1030" spans="20:21" s="450" customFormat="1">
      <c r="T1030" s="501"/>
      <c r="U1030" s="502"/>
    </row>
    <row r="1031" spans="20:21" s="450" customFormat="1">
      <c r="T1031" s="501"/>
      <c r="U1031" s="502"/>
    </row>
    <row r="1032" spans="20:21" s="450" customFormat="1">
      <c r="T1032" s="501"/>
      <c r="U1032" s="502"/>
    </row>
    <row r="1033" spans="20:21" s="450" customFormat="1">
      <c r="T1033" s="501"/>
      <c r="U1033" s="502"/>
    </row>
    <row r="1034" spans="20:21" s="450" customFormat="1">
      <c r="T1034" s="501"/>
      <c r="U1034" s="502"/>
    </row>
    <row r="1035" spans="20:21" s="450" customFormat="1">
      <c r="T1035" s="501"/>
      <c r="U1035" s="502"/>
    </row>
    <row r="1036" spans="20:21" s="450" customFormat="1">
      <c r="T1036" s="501"/>
      <c r="U1036" s="502"/>
    </row>
    <row r="1037" spans="20:21" s="450" customFormat="1">
      <c r="T1037" s="501"/>
      <c r="U1037" s="502"/>
    </row>
    <row r="1038" spans="20:21" s="450" customFormat="1">
      <c r="T1038" s="501"/>
      <c r="U1038" s="502"/>
    </row>
    <row r="1039" spans="20:21" s="450" customFormat="1">
      <c r="T1039" s="501"/>
      <c r="U1039" s="502"/>
    </row>
    <row r="1040" spans="20:21" s="450" customFormat="1">
      <c r="T1040" s="501"/>
      <c r="U1040" s="502"/>
    </row>
    <row r="1041" spans="20:21" s="450" customFormat="1">
      <c r="T1041" s="501"/>
      <c r="U1041" s="502"/>
    </row>
    <row r="1042" spans="20:21" s="450" customFormat="1">
      <c r="T1042" s="501"/>
      <c r="U1042" s="502"/>
    </row>
    <row r="1043" spans="20:21" s="450" customFormat="1">
      <c r="T1043" s="501"/>
      <c r="U1043" s="502"/>
    </row>
    <row r="1044" spans="20:21" s="450" customFormat="1">
      <c r="T1044" s="501"/>
      <c r="U1044" s="502"/>
    </row>
    <row r="1045" spans="20:21" s="450" customFormat="1">
      <c r="T1045" s="501"/>
      <c r="U1045" s="502"/>
    </row>
    <row r="1046" spans="20:21" s="450" customFormat="1">
      <c r="T1046" s="501"/>
      <c r="U1046" s="502"/>
    </row>
    <row r="1047" spans="20:21" s="450" customFormat="1">
      <c r="T1047" s="501"/>
      <c r="U1047" s="502"/>
    </row>
    <row r="1048" spans="20:21" s="450" customFormat="1">
      <c r="T1048" s="501"/>
      <c r="U1048" s="502"/>
    </row>
    <row r="1049" spans="20:21" s="450" customFormat="1">
      <c r="T1049" s="501"/>
      <c r="U1049" s="502"/>
    </row>
    <row r="1050" spans="20:21" s="450" customFormat="1">
      <c r="T1050" s="501"/>
      <c r="U1050" s="502"/>
    </row>
    <row r="1051" spans="20:21" s="450" customFormat="1">
      <c r="T1051" s="501"/>
      <c r="U1051" s="502"/>
    </row>
    <row r="1052" spans="20:21" s="450" customFormat="1">
      <c r="T1052" s="501"/>
      <c r="U1052" s="502"/>
    </row>
    <row r="1053" spans="20:21" s="450" customFormat="1">
      <c r="T1053" s="501"/>
      <c r="U1053" s="502"/>
    </row>
    <row r="1054" spans="20:21" s="450" customFormat="1">
      <c r="T1054" s="501"/>
      <c r="U1054" s="502"/>
    </row>
    <row r="1055" spans="20:21" s="450" customFormat="1">
      <c r="T1055" s="501"/>
      <c r="U1055" s="502"/>
    </row>
    <row r="1056" spans="20:21" s="450" customFormat="1">
      <c r="T1056" s="501"/>
      <c r="U1056" s="502"/>
    </row>
    <row r="1057" spans="20:21" s="450" customFormat="1">
      <c r="T1057" s="501"/>
      <c r="U1057" s="502"/>
    </row>
    <row r="1058" spans="20:21" s="450" customFormat="1">
      <c r="T1058" s="501"/>
      <c r="U1058" s="502"/>
    </row>
    <row r="1059" spans="20:21" s="450" customFormat="1">
      <c r="T1059" s="501"/>
      <c r="U1059" s="502"/>
    </row>
    <row r="1060" spans="20:21" s="450" customFormat="1">
      <c r="T1060" s="501"/>
      <c r="U1060" s="502"/>
    </row>
    <row r="1061" spans="20:21" s="450" customFormat="1">
      <c r="T1061" s="501"/>
      <c r="U1061" s="502"/>
    </row>
    <row r="1062" spans="20:21" s="450" customFormat="1">
      <c r="T1062" s="501"/>
      <c r="U1062" s="502"/>
    </row>
    <row r="1063" spans="20:21" s="450" customFormat="1">
      <c r="T1063" s="501"/>
      <c r="U1063" s="502"/>
    </row>
    <row r="1064" spans="20:21" s="450" customFormat="1">
      <c r="T1064" s="501"/>
      <c r="U1064" s="502"/>
    </row>
    <row r="1065" spans="20:21" s="450" customFormat="1">
      <c r="T1065" s="501"/>
      <c r="U1065" s="502"/>
    </row>
    <row r="1066" spans="20:21" s="450" customFormat="1">
      <c r="T1066" s="501"/>
      <c r="U1066" s="502"/>
    </row>
    <row r="1067" spans="20:21" s="450" customFormat="1">
      <c r="T1067" s="501"/>
      <c r="U1067" s="502"/>
    </row>
    <row r="1068" spans="20:21" s="450" customFormat="1">
      <c r="T1068" s="501"/>
      <c r="U1068" s="502"/>
    </row>
    <row r="1069" spans="20:21" s="450" customFormat="1">
      <c r="T1069" s="501"/>
      <c r="U1069" s="502"/>
    </row>
    <row r="1070" spans="20:21" s="450" customFormat="1">
      <c r="T1070" s="501"/>
      <c r="U1070" s="502"/>
    </row>
    <row r="1071" spans="20:21" s="450" customFormat="1">
      <c r="T1071" s="501"/>
      <c r="U1071" s="502"/>
    </row>
    <row r="1072" spans="20:21" s="450" customFormat="1">
      <c r="T1072" s="501"/>
      <c r="U1072" s="502"/>
    </row>
    <row r="1073" spans="20:21" s="450" customFormat="1">
      <c r="T1073" s="501"/>
      <c r="U1073" s="502"/>
    </row>
    <row r="1074" spans="20:21" s="450" customFormat="1">
      <c r="T1074" s="501"/>
      <c r="U1074" s="502"/>
    </row>
    <row r="1075" spans="20:21" s="450" customFormat="1">
      <c r="T1075" s="501"/>
      <c r="U1075" s="502"/>
    </row>
    <row r="1076" spans="20:21" s="450" customFormat="1">
      <c r="T1076" s="501"/>
      <c r="U1076" s="502"/>
    </row>
    <row r="1077" spans="20:21" s="450" customFormat="1">
      <c r="T1077" s="501"/>
      <c r="U1077" s="502"/>
    </row>
    <row r="1078" spans="20:21" s="450" customFormat="1">
      <c r="T1078" s="501"/>
      <c r="U1078" s="502"/>
    </row>
    <row r="1079" spans="20:21" s="450" customFormat="1">
      <c r="T1079" s="501"/>
      <c r="U1079" s="502"/>
    </row>
    <row r="1080" spans="20:21" s="450" customFormat="1">
      <c r="T1080" s="501"/>
      <c r="U1080" s="502"/>
    </row>
    <row r="1081" spans="20:21" s="450" customFormat="1">
      <c r="T1081" s="501"/>
      <c r="U1081" s="502"/>
    </row>
    <row r="1082" spans="20:21" s="450" customFormat="1">
      <c r="T1082" s="501"/>
      <c r="U1082" s="502"/>
    </row>
    <row r="1083" spans="20:21" s="450" customFormat="1">
      <c r="T1083" s="501"/>
      <c r="U1083" s="502"/>
    </row>
    <row r="1084" spans="20:21" s="450" customFormat="1">
      <c r="T1084" s="501"/>
      <c r="U1084" s="502"/>
    </row>
    <row r="1085" spans="20:21" s="450" customFormat="1">
      <c r="T1085" s="501"/>
      <c r="U1085" s="502"/>
    </row>
    <row r="1086" spans="20:21" s="450" customFormat="1">
      <c r="T1086" s="501"/>
      <c r="U1086" s="502"/>
    </row>
    <row r="1087" spans="20:21" s="450" customFormat="1">
      <c r="T1087" s="501"/>
      <c r="U1087" s="502"/>
    </row>
    <row r="1088" spans="20:21" s="450" customFormat="1">
      <c r="T1088" s="501"/>
      <c r="U1088" s="502"/>
    </row>
    <row r="1089" spans="20:21" s="450" customFormat="1">
      <c r="T1089" s="501"/>
      <c r="U1089" s="502"/>
    </row>
    <row r="1090" spans="20:21" s="450" customFormat="1">
      <c r="T1090" s="501"/>
      <c r="U1090" s="502"/>
    </row>
    <row r="1091" spans="20:21" s="450" customFormat="1">
      <c r="T1091" s="501"/>
      <c r="U1091" s="502"/>
    </row>
    <row r="1092" spans="20:21" s="450" customFormat="1">
      <c r="T1092" s="501"/>
      <c r="U1092" s="502"/>
    </row>
    <row r="1093" spans="20:21" s="450" customFormat="1">
      <c r="T1093" s="501"/>
      <c r="U1093" s="502"/>
    </row>
    <row r="1094" spans="20:21" s="450" customFormat="1">
      <c r="T1094" s="501"/>
      <c r="U1094" s="502"/>
    </row>
    <row r="1095" spans="20:21" s="450" customFormat="1">
      <c r="T1095" s="501"/>
      <c r="U1095" s="502"/>
    </row>
    <row r="1096" spans="20:21" s="450" customFormat="1">
      <c r="T1096" s="501"/>
      <c r="U1096" s="502"/>
    </row>
    <row r="1097" spans="20:21" s="450" customFormat="1">
      <c r="T1097" s="501"/>
      <c r="U1097" s="502"/>
    </row>
    <row r="1098" spans="20:21" s="450" customFormat="1">
      <c r="T1098" s="501"/>
      <c r="U1098" s="502"/>
    </row>
    <row r="1099" spans="20:21" s="450" customFormat="1">
      <c r="T1099" s="501"/>
      <c r="U1099" s="502"/>
    </row>
    <row r="1100" spans="20:21" s="450" customFormat="1">
      <c r="T1100" s="501"/>
      <c r="U1100" s="502"/>
    </row>
    <row r="1101" spans="20:21" s="450" customFormat="1">
      <c r="T1101" s="501"/>
      <c r="U1101" s="502"/>
    </row>
    <row r="1102" spans="20:21" s="450" customFormat="1">
      <c r="T1102" s="501"/>
      <c r="U1102" s="502"/>
    </row>
    <row r="1103" spans="20:21" s="450" customFormat="1">
      <c r="T1103" s="501"/>
      <c r="U1103" s="502"/>
    </row>
    <row r="1104" spans="20:21" s="450" customFormat="1">
      <c r="T1104" s="501"/>
      <c r="U1104" s="502"/>
    </row>
    <row r="1105" spans="20:21" s="450" customFormat="1">
      <c r="T1105" s="501"/>
      <c r="U1105" s="502"/>
    </row>
    <row r="1106" spans="20:21" s="450" customFormat="1">
      <c r="T1106" s="501"/>
      <c r="U1106" s="502"/>
    </row>
    <row r="1107" spans="20:21" s="450" customFormat="1">
      <c r="T1107" s="501"/>
      <c r="U1107" s="502"/>
    </row>
    <row r="1108" spans="20:21" s="450" customFormat="1">
      <c r="T1108" s="501"/>
      <c r="U1108" s="502"/>
    </row>
    <row r="1109" spans="20:21" s="450" customFormat="1">
      <c r="T1109" s="501"/>
      <c r="U1109" s="502"/>
    </row>
    <row r="1110" spans="20:21" s="450" customFormat="1">
      <c r="T1110" s="501"/>
      <c r="U1110" s="502"/>
    </row>
    <row r="1111" spans="20:21" s="450" customFormat="1">
      <c r="T1111" s="501"/>
      <c r="U1111" s="502"/>
    </row>
    <row r="1112" spans="20:21" s="450" customFormat="1">
      <c r="T1112" s="501"/>
      <c r="U1112" s="502"/>
    </row>
    <row r="1113" spans="20:21" s="450" customFormat="1">
      <c r="T1113" s="501"/>
      <c r="U1113" s="502"/>
    </row>
    <row r="1114" spans="20:21" s="450" customFormat="1">
      <c r="T1114" s="501"/>
      <c r="U1114" s="502"/>
    </row>
    <row r="1115" spans="20:21" s="450" customFormat="1">
      <c r="T1115" s="501"/>
      <c r="U1115" s="502"/>
    </row>
    <row r="1116" spans="20:21" s="450" customFormat="1">
      <c r="T1116" s="501"/>
      <c r="U1116" s="502"/>
    </row>
    <row r="1117" spans="20:21" s="450" customFormat="1">
      <c r="T1117" s="501"/>
      <c r="U1117" s="502"/>
    </row>
    <row r="1118" spans="20:21" s="450" customFormat="1">
      <c r="T1118" s="501"/>
      <c r="U1118" s="502"/>
    </row>
    <row r="1119" spans="20:21" s="450" customFormat="1">
      <c r="T1119" s="501"/>
      <c r="U1119" s="502"/>
    </row>
    <row r="1120" spans="20:21" s="450" customFormat="1">
      <c r="T1120" s="501"/>
      <c r="U1120" s="502"/>
    </row>
    <row r="1121" spans="20:21" s="450" customFormat="1">
      <c r="T1121" s="501"/>
      <c r="U1121" s="502"/>
    </row>
    <row r="1122" spans="20:21" s="450" customFormat="1">
      <c r="T1122" s="501"/>
      <c r="U1122" s="502"/>
    </row>
    <row r="1123" spans="20:21" s="450" customFormat="1">
      <c r="T1123" s="501"/>
      <c r="U1123" s="502"/>
    </row>
    <row r="1124" spans="20:21" s="450" customFormat="1">
      <c r="T1124" s="501"/>
      <c r="U1124" s="502"/>
    </row>
    <row r="1125" spans="20:21" s="450" customFormat="1">
      <c r="T1125" s="501"/>
      <c r="U1125" s="502"/>
    </row>
    <row r="1126" spans="20:21" s="450" customFormat="1">
      <c r="T1126" s="501"/>
      <c r="U1126" s="502"/>
    </row>
    <row r="1127" spans="20:21" s="450" customFormat="1">
      <c r="T1127" s="501"/>
      <c r="U1127" s="502"/>
    </row>
    <row r="1128" spans="20:21" s="450" customFormat="1">
      <c r="T1128" s="501"/>
      <c r="U1128" s="502"/>
    </row>
    <row r="1129" spans="20:21" s="450" customFormat="1">
      <c r="T1129" s="501"/>
      <c r="U1129" s="502"/>
    </row>
    <row r="1130" spans="20:21" s="450" customFormat="1">
      <c r="T1130" s="501"/>
      <c r="U1130" s="502"/>
    </row>
    <row r="1131" spans="20:21" s="450" customFormat="1">
      <c r="T1131" s="501"/>
      <c r="U1131" s="502"/>
    </row>
    <row r="1132" spans="20:21" s="450" customFormat="1">
      <c r="T1132" s="501"/>
      <c r="U1132" s="502"/>
    </row>
    <row r="1133" spans="20:21" s="450" customFormat="1">
      <c r="T1133" s="501"/>
      <c r="U1133" s="502"/>
    </row>
    <row r="1134" spans="20:21" s="450" customFormat="1">
      <c r="T1134" s="501"/>
      <c r="U1134" s="502"/>
    </row>
    <row r="1135" spans="20:21" s="450" customFormat="1">
      <c r="T1135" s="501"/>
      <c r="U1135" s="502"/>
    </row>
    <row r="1136" spans="20:21" s="450" customFormat="1">
      <c r="T1136" s="501"/>
      <c r="U1136" s="502"/>
    </row>
    <row r="1137" spans="20:21" s="450" customFormat="1">
      <c r="T1137" s="501"/>
      <c r="U1137" s="502"/>
    </row>
    <row r="1138" spans="20:21" s="450" customFormat="1">
      <c r="T1138" s="501"/>
      <c r="U1138" s="502"/>
    </row>
    <row r="1139" spans="20:21" s="450" customFormat="1">
      <c r="T1139" s="501"/>
      <c r="U1139" s="502"/>
    </row>
    <row r="1140" spans="20:21" s="450" customFormat="1">
      <c r="T1140" s="501"/>
      <c r="U1140" s="502"/>
    </row>
    <row r="1141" spans="20:21" s="450" customFormat="1">
      <c r="T1141" s="501"/>
      <c r="U1141" s="502"/>
    </row>
    <row r="1142" spans="20:21" s="450" customFormat="1">
      <c r="T1142" s="501"/>
      <c r="U1142" s="502"/>
    </row>
    <row r="1143" spans="20:21" s="450" customFormat="1">
      <c r="T1143" s="501"/>
      <c r="U1143" s="502"/>
    </row>
    <row r="1144" spans="20:21" s="450" customFormat="1">
      <c r="T1144" s="501"/>
      <c r="U1144" s="502"/>
    </row>
    <row r="1145" spans="20:21" s="450" customFormat="1">
      <c r="T1145" s="501"/>
      <c r="U1145" s="502"/>
    </row>
    <row r="1146" spans="20:21" s="450" customFormat="1">
      <c r="T1146" s="501"/>
      <c r="U1146" s="502"/>
    </row>
    <row r="1147" spans="20:21" s="450" customFormat="1">
      <c r="T1147" s="501"/>
      <c r="U1147" s="502"/>
    </row>
    <row r="1148" spans="20:21" s="450" customFormat="1">
      <c r="T1148" s="501"/>
      <c r="U1148" s="502"/>
    </row>
    <row r="1149" spans="20:21" s="450" customFormat="1">
      <c r="T1149" s="501"/>
      <c r="U1149" s="502"/>
    </row>
    <row r="1150" spans="20:21" s="450" customFormat="1">
      <c r="T1150" s="501"/>
      <c r="U1150" s="502"/>
    </row>
    <row r="1151" spans="20:21" s="450" customFormat="1">
      <c r="T1151" s="501"/>
      <c r="U1151" s="502"/>
    </row>
    <row r="1152" spans="20:21" s="450" customFormat="1">
      <c r="T1152" s="501"/>
      <c r="U1152" s="502"/>
    </row>
    <row r="1153" spans="20:21" s="450" customFormat="1">
      <c r="T1153" s="501"/>
      <c r="U1153" s="502"/>
    </row>
    <row r="1154" spans="20:21" s="450" customFormat="1">
      <c r="T1154" s="501"/>
      <c r="U1154" s="502"/>
    </row>
    <row r="1155" spans="20:21" s="450" customFormat="1">
      <c r="T1155" s="501"/>
      <c r="U1155" s="502"/>
    </row>
    <row r="1156" spans="20:21" s="450" customFormat="1">
      <c r="T1156" s="501"/>
      <c r="U1156" s="502"/>
    </row>
    <row r="1157" spans="20:21" s="450" customFormat="1">
      <c r="T1157" s="501"/>
      <c r="U1157" s="502"/>
    </row>
    <row r="1158" spans="20:21" s="450" customFormat="1">
      <c r="T1158" s="501"/>
      <c r="U1158" s="502"/>
    </row>
    <row r="1159" spans="20:21" s="450" customFormat="1">
      <c r="T1159" s="501"/>
      <c r="U1159" s="502"/>
    </row>
    <row r="1160" spans="20:21" s="450" customFormat="1">
      <c r="T1160" s="501"/>
      <c r="U1160" s="502"/>
    </row>
    <row r="1161" spans="20:21" s="450" customFormat="1">
      <c r="T1161" s="501"/>
      <c r="U1161" s="502"/>
    </row>
    <row r="1162" spans="20:21" s="450" customFormat="1">
      <c r="T1162" s="501"/>
      <c r="U1162" s="502"/>
    </row>
    <row r="1163" spans="20:21" s="450" customFormat="1">
      <c r="T1163" s="501"/>
      <c r="U1163" s="502"/>
    </row>
    <row r="1164" spans="20:21" s="450" customFormat="1">
      <c r="T1164" s="501"/>
      <c r="U1164" s="502"/>
    </row>
    <row r="1165" spans="20:21" s="450" customFormat="1">
      <c r="T1165" s="501"/>
      <c r="U1165" s="502"/>
    </row>
    <row r="1166" spans="20:21" s="450" customFormat="1">
      <c r="T1166" s="501"/>
      <c r="U1166" s="502"/>
    </row>
    <row r="1167" spans="20:21" s="450" customFormat="1">
      <c r="T1167" s="501"/>
      <c r="U1167" s="502"/>
    </row>
    <row r="1168" spans="20:21" s="450" customFormat="1">
      <c r="T1168" s="501"/>
      <c r="U1168" s="502"/>
    </row>
    <row r="1169" spans="20:21" s="450" customFormat="1">
      <c r="T1169" s="501"/>
      <c r="U1169" s="502"/>
    </row>
    <row r="1170" spans="20:21" s="450" customFormat="1">
      <c r="T1170" s="501"/>
      <c r="U1170" s="502"/>
    </row>
    <row r="1171" spans="20:21" s="450" customFormat="1">
      <c r="T1171" s="501"/>
      <c r="U1171" s="502"/>
    </row>
    <row r="1172" spans="20:21" s="450" customFormat="1">
      <c r="T1172" s="501"/>
      <c r="U1172" s="502"/>
    </row>
    <row r="1173" spans="20:21" s="450" customFormat="1">
      <c r="T1173" s="501"/>
      <c r="U1173" s="502"/>
    </row>
    <row r="1174" spans="20:21" s="450" customFormat="1">
      <c r="T1174" s="501"/>
      <c r="U1174" s="502"/>
    </row>
    <row r="1175" spans="20:21" s="450" customFormat="1">
      <c r="T1175" s="501"/>
      <c r="U1175" s="502"/>
    </row>
    <row r="1176" spans="20:21" s="450" customFormat="1">
      <c r="T1176" s="501"/>
      <c r="U1176" s="502"/>
    </row>
    <row r="1177" spans="20:21" s="450" customFormat="1">
      <c r="T1177" s="501"/>
      <c r="U1177" s="502"/>
    </row>
    <row r="1178" spans="20:21" s="450" customFormat="1">
      <c r="T1178" s="501"/>
      <c r="U1178" s="502"/>
    </row>
    <row r="1179" spans="20:21" s="450" customFormat="1">
      <c r="T1179" s="501"/>
      <c r="U1179" s="502"/>
    </row>
    <row r="1180" spans="20:21" s="450" customFormat="1">
      <c r="T1180" s="501"/>
      <c r="U1180" s="502"/>
    </row>
    <row r="1181" spans="20:21" s="450" customFormat="1">
      <c r="T1181" s="501"/>
      <c r="U1181" s="502"/>
    </row>
    <row r="1182" spans="20:21" s="450" customFormat="1">
      <c r="T1182" s="501"/>
      <c r="U1182" s="502"/>
    </row>
    <row r="1183" spans="20:21" s="450" customFormat="1">
      <c r="T1183" s="501"/>
      <c r="U1183" s="502"/>
    </row>
    <row r="1184" spans="20:21" s="450" customFormat="1">
      <c r="T1184" s="501"/>
      <c r="U1184" s="502"/>
    </row>
    <row r="1185" spans="20:21" s="450" customFormat="1">
      <c r="T1185" s="501"/>
      <c r="U1185" s="502"/>
    </row>
    <row r="1186" spans="20:21" s="450" customFormat="1">
      <c r="T1186" s="501"/>
      <c r="U1186" s="502"/>
    </row>
    <row r="1187" spans="20:21" s="450" customFormat="1">
      <c r="T1187" s="501"/>
      <c r="U1187" s="502"/>
    </row>
    <row r="1188" spans="20:21" s="450" customFormat="1">
      <c r="T1188" s="501"/>
      <c r="U1188" s="502"/>
    </row>
    <row r="1189" spans="20:21" s="450" customFormat="1">
      <c r="T1189" s="501"/>
      <c r="U1189" s="502"/>
    </row>
    <row r="1190" spans="20:21" s="450" customFormat="1">
      <c r="T1190" s="501"/>
      <c r="U1190" s="502"/>
    </row>
    <row r="1191" spans="20:21" s="450" customFormat="1">
      <c r="T1191" s="501"/>
      <c r="U1191" s="502"/>
    </row>
    <row r="1192" spans="20:21" s="450" customFormat="1">
      <c r="T1192" s="501"/>
      <c r="U1192" s="502"/>
    </row>
    <row r="1193" spans="20:21" s="450" customFormat="1">
      <c r="T1193" s="501"/>
      <c r="U1193" s="502"/>
    </row>
    <row r="1194" spans="20:21" s="450" customFormat="1">
      <c r="T1194" s="501"/>
      <c r="U1194" s="502"/>
    </row>
    <row r="1195" spans="20:21" s="450" customFormat="1">
      <c r="T1195" s="501"/>
      <c r="U1195" s="502"/>
    </row>
    <row r="1196" spans="20:21" s="450" customFormat="1">
      <c r="T1196" s="501"/>
      <c r="U1196" s="502"/>
    </row>
    <row r="1197" spans="20:21" s="450" customFormat="1">
      <c r="T1197" s="501"/>
      <c r="U1197" s="502"/>
    </row>
    <row r="1198" spans="20:21" s="450" customFormat="1">
      <c r="T1198" s="501"/>
      <c r="U1198" s="502"/>
    </row>
    <row r="1199" spans="20:21" s="450" customFormat="1">
      <c r="T1199" s="501"/>
      <c r="U1199" s="502"/>
    </row>
    <row r="1200" spans="20:21" s="450" customFormat="1">
      <c r="T1200" s="501"/>
      <c r="U1200" s="502"/>
    </row>
    <row r="1201" spans="20:21" s="450" customFormat="1">
      <c r="T1201" s="501"/>
      <c r="U1201" s="502"/>
    </row>
    <row r="1202" spans="20:21" s="450" customFormat="1">
      <c r="T1202" s="501"/>
      <c r="U1202" s="502"/>
    </row>
    <row r="1203" spans="20:21" s="450" customFormat="1">
      <c r="T1203" s="501"/>
      <c r="U1203" s="502"/>
    </row>
    <row r="1204" spans="20:21" s="450" customFormat="1">
      <c r="T1204" s="501"/>
      <c r="U1204" s="502"/>
    </row>
    <row r="1205" spans="20:21" s="450" customFormat="1">
      <c r="T1205" s="501"/>
      <c r="U1205" s="502"/>
    </row>
    <row r="1206" spans="20:21" s="450" customFormat="1">
      <c r="T1206" s="501"/>
      <c r="U1206" s="502"/>
    </row>
    <row r="1207" spans="20:21" s="450" customFormat="1">
      <c r="T1207" s="501"/>
      <c r="U1207" s="502"/>
    </row>
    <row r="1208" spans="20:21" s="450" customFormat="1">
      <c r="T1208" s="501"/>
      <c r="U1208" s="502"/>
    </row>
    <row r="1209" spans="20:21" s="450" customFormat="1">
      <c r="T1209" s="501"/>
      <c r="U1209" s="502"/>
    </row>
    <row r="1210" spans="20:21" s="450" customFormat="1">
      <c r="T1210" s="501"/>
      <c r="U1210" s="502"/>
    </row>
    <row r="1211" spans="20:21" s="450" customFormat="1">
      <c r="T1211" s="501"/>
      <c r="U1211" s="502"/>
    </row>
    <row r="1212" spans="20:21" s="450" customFormat="1">
      <c r="T1212" s="501"/>
      <c r="U1212" s="502"/>
    </row>
    <row r="1213" spans="20:21" s="450" customFormat="1">
      <c r="T1213" s="501"/>
      <c r="U1213" s="502"/>
    </row>
    <row r="1214" spans="20:21" s="450" customFormat="1">
      <c r="T1214" s="501"/>
      <c r="U1214" s="502"/>
    </row>
    <row r="1215" spans="20:21" s="450" customFormat="1">
      <c r="T1215" s="501"/>
      <c r="U1215" s="502"/>
    </row>
    <row r="1216" spans="20:21" s="450" customFormat="1">
      <c r="T1216" s="501"/>
      <c r="U1216" s="502"/>
    </row>
    <row r="1217" spans="20:21" s="450" customFormat="1">
      <c r="T1217" s="501"/>
      <c r="U1217" s="502"/>
    </row>
    <row r="1218" spans="20:21" s="450" customFormat="1">
      <c r="T1218" s="501"/>
      <c r="U1218" s="502"/>
    </row>
    <row r="1219" spans="20:21" s="450" customFormat="1">
      <c r="T1219" s="501"/>
      <c r="U1219" s="502"/>
    </row>
    <row r="1220" spans="20:21" s="450" customFormat="1">
      <c r="T1220" s="501"/>
      <c r="U1220" s="502"/>
    </row>
    <row r="1221" spans="20:21" s="450" customFormat="1">
      <c r="T1221" s="501"/>
      <c r="U1221" s="502"/>
    </row>
    <row r="1222" spans="20:21" s="450" customFormat="1">
      <c r="T1222" s="501"/>
      <c r="U1222" s="502"/>
    </row>
    <row r="1223" spans="20:21" s="450" customFormat="1">
      <c r="T1223" s="501"/>
      <c r="U1223" s="502"/>
    </row>
    <row r="1224" spans="20:21" s="450" customFormat="1">
      <c r="T1224" s="501"/>
      <c r="U1224" s="502"/>
    </row>
    <row r="1225" spans="20:21" s="450" customFormat="1">
      <c r="T1225" s="501"/>
      <c r="U1225" s="502"/>
    </row>
    <row r="1226" spans="20:21" s="450" customFormat="1">
      <c r="T1226" s="501"/>
      <c r="U1226" s="502"/>
    </row>
    <row r="1227" spans="20:21" s="450" customFormat="1">
      <c r="T1227" s="501"/>
      <c r="U1227" s="502"/>
    </row>
    <row r="1228" spans="20:21" s="450" customFormat="1">
      <c r="T1228" s="501"/>
      <c r="U1228" s="502"/>
    </row>
    <row r="1229" spans="20:21" s="450" customFormat="1">
      <c r="T1229" s="501"/>
      <c r="U1229" s="502"/>
    </row>
    <row r="1230" spans="20:21" s="450" customFormat="1">
      <c r="T1230" s="501"/>
      <c r="U1230" s="502"/>
    </row>
    <row r="1231" spans="20:21" s="450" customFormat="1">
      <c r="T1231" s="501"/>
      <c r="U1231" s="502"/>
    </row>
    <row r="1232" spans="20:21" s="450" customFormat="1">
      <c r="T1232" s="501"/>
      <c r="U1232" s="502"/>
    </row>
    <row r="1233" spans="20:21" s="450" customFormat="1">
      <c r="T1233" s="501"/>
      <c r="U1233" s="502"/>
    </row>
    <row r="1234" spans="20:21" s="450" customFormat="1">
      <c r="T1234" s="501"/>
      <c r="U1234" s="502"/>
    </row>
    <row r="1235" spans="20:21" s="450" customFormat="1">
      <c r="T1235" s="501"/>
      <c r="U1235" s="502"/>
    </row>
    <row r="1236" spans="20:21" s="450" customFormat="1">
      <c r="T1236" s="501"/>
      <c r="U1236" s="502"/>
    </row>
    <row r="1237" spans="20:21" s="450" customFormat="1">
      <c r="T1237" s="501"/>
      <c r="U1237" s="502"/>
    </row>
    <row r="1238" spans="20:21" s="450" customFormat="1">
      <c r="T1238" s="501"/>
      <c r="U1238" s="502"/>
    </row>
    <row r="1239" spans="20:21" s="450" customFormat="1">
      <c r="T1239" s="501"/>
      <c r="U1239" s="502"/>
    </row>
    <row r="1240" spans="20:21" s="450" customFormat="1">
      <c r="T1240" s="501"/>
      <c r="U1240" s="502"/>
    </row>
    <row r="1241" spans="20:21" s="450" customFormat="1">
      <c r="T1241" s="501"/>
      <c r="U1241" s="502"/>
    </row>
    <row r="1242" spans="20:21" s="450" customFormat="1">
      <c r="T1242" s="501"/>
      <c r="U1242" s="502"/>
    </row>
    <row r="1243" spans="20:21" s="450" customFormat="1">
      <c r="T1243" s="501"/>
      <c r="U1243" s="502"/>
    </row>
    <row r="1244" spans="20:21" s="450" customFormat="1">
      <c r="T1244" s="501"/>
      <c r="U1244" s="502"/>
    </row>
    <row r="1245" spans="20:21" s="450" customFormat="1">
      <c r="T1245" s="501"/>
      <c r="U1245" s="502"/>
    </row>
    <row r="1246" spans="20:21" s="450" customFormat="1">
      <c r="T1246" s="501"/>
      <c r="U1246" s="502"/>
    </row>
    <row r="1247" spans="20:21" s="450" customFormat="1">
      <c r="T1247" s="501"/>
      <c r="U1247" s="502"/>
    </row>
    <row r="1248" spans="20:21" s="450" customFormat="1">
      <c r="T1248" s="501"/>
      <c r="U1248" s="502"/>
    </row>
    <row r="1249" spans="20:21" s="450" customFormat="1">
      <c r="T1249" s="501"/>
      <c r="U1249" s="502"/>
    </row>
    <row r="1250" spans="20:21" s="450" customFormat="1">
      <c r="T1250" s="501"/>
      <c r="U1250" s="502"/>
    </row>
    <row r="1251" spans="20:21" s="450" customFormat="1">
      <c r="T1251" s="501"/>
      <c r="U1251" s="502"/>
    </row>
    <row r="1252" spans="20:21" s="450" customFormat="1">
      <c r="T1252" s="501"/>
      <c r="U1252" s="502"/>
    </row>
    <row r="1253" spans="20:21" s="450" customFormat="1">
      <c r="T1253" s="501"/>
      <c r="U1253" s="502"/>
    </row>
    <row r="1254" spans="20:21" s="450" customFormat="1">
      <c r="T1254" s="501"/>
      <c r="U1254" s="502"/>
    </row>
    <row r="1255" spans="20:21" s="450" customFormat="1">
      <c r="T1255" s="501"/>
      <c r="U1255" s="502"/>
    </row>
    <row r="1256" spans="20:21" s="450" customFormat="1">
      <c r="T1256" s="501"/>
      <c r="U1256" s="502"/>
    </row>
    <row r="1257" spans="20:21" s="450" customFormat="1">
      <c r="T1257" s="501"/>
      <c r="U1257" s="502"/>
    </row>
    <row r="1258" spans="20:21" s="450" customFormat="1">
      <c r="T1258" s="501"/>
      <c r="U1258" s="502"/>
    </row>
    <row r="1259" spans="20:21" s="450" customFormat="1">
      <c r="T1259" s="501"/>
      <c r="U1259" s="502"/>
    </row>
    <row r="1260" spans="20:21" s="450" customFormat="1">
      <c r="T1260" s="501"/>
      <c r="U1260" s="502"/>
    </row>
    <row r="1261" spans="20:21" s="450" customFormat="1">
      <c r="T1261" s="501"/>
      <c r="U1261" s="502"/>
    </row>
    <row r="1262" spans="20:21" s="450" customFormat="1">
      <c r="T1262" s="501"/>
      <c r="U1262" s="502"/>
    </row>
    <row r="1263" spans="20:21" s="450" customFormat="1">
      <c r="T1263" s="501"/>
      <c r="U1263" s="502"/>
    </row>
    <row r="1264" spans="20:21" s="450" customFormat="1">
      <c r="T1264" s="501"/>
      <c r="U1264" s="502"/>
    </row>
    <row r="1265" spans="20:21" s="450" customFormat="1">
      <c r="T1265" s="501"/>
      <c r="U1265" s="502"/>
    </row>
    <row r="1266" spans="20:21" s="450" customFormat="1">
      <c r="T1266" s="501"/>
      <c r="U1266" s="502"/>
    </row>
    <row r="1267" spans="20:21" s="450" customFormat="1">
      <c r="T1267" s="501"/>
      <c r="U1267" s="502"/>
    </row>
    <row r="1268" spans="20:21" s="450" customFormat="1">
      <c r="T1268" s="501"/>
      <c r="U1268" s="502"/>
    </row>
    <row r="1269" spans="20:21" s="450" customFormat="1">
      <c r="T1269" s="501"/>
      <c r="U1269" s="502"/>
    </row>
    <row r="1270" spans="20:21" s="450" customFormat="1">
      <c r="T1270" s="501"/>
      <c r="U1270" s="502"/>
    </row>
    <row r="1271" spans="20:21" s="450" customFormat="1">
      <c r="T1271" s="501"/>
      <c r="U1271" s="502"/>
    </row>
    <row r="1272" spans="20:21" s="450" customFormat="1">
      <c r="T1272" s="501"/>
      <c r="U1272" s="502"/>
    </row>
    <row r="1273" spans="20:21" s="450" customFormat="1">
      <c r="T1273" s="501"/>
      <c r="U1273" s="502"/>
    </row>
    <row r="1274" spans="20:21" s="450" customFormat="1">
      <c r="T1274" s="501"/>
      <c r="U1274" s="502"/>
    </row>
    <row r="1275" spans="20:21" s="450" customFormat="1">
      <c r="T1275" s="501"/>
      <c r="U1275" s="502"/>
    </row>
    <row r="1276" spans="20:21" s="450" customFormat="1">
      <c r="T1276" s="501"/>
      <c r="U1276" s="502"/>
    </row>
    <row r="1277" spans="20:21" s="450" customFormat="1">
      <c r="T1277" s="501"/>
      <c r="U1277" s="502"/>
    </row>
    <row r="1278" spans="20:21" s="450" customFormat="1">
      <c r="T1278" s="501"/>
      <c r="U1278" s="502"/>
    </row>
    <row r="1279" spans="20:21" s="450" customFormat="1">
      <c r="T1279" s="501"/>
      <c r="U1279" s="502"/>
    </row>
    <row r="1280" spans="20:21" s="450" customFormat="1">
      <c r="T1280" s="501"/>
      <c r="U1280" s="502"/>
    </row>
    <row r="1281" spans="20:21" s="450" customFormat="1">
      <c r="T1281" s="501"/>
      <c r="U1281" s="502"/>
    </row>
    <row r="1282" spans="20:21" s="450" customFormat="1">
      <c r="T1282" s="501"/>
      <c r="U1282" s="502"/>
    </row>
    <row r="1283" spans="20:21" s="450" customFormat="1">
      <c r="T1283" s="501"/>
      <c r="U1283" s="502"/>
    </row>
    <row r="1284" spans="20:21" s="450" customFormat="1">
      <c r="T1284" s="501"/>
      <c r="U1284" s="502"/>
    </row>
    <row r="1285" spans="20:21" s="450" customFormat="1">
      <c r="T1285" s="501"/>
      <c r="U1285" s="502"/>
    </row>
    <row r="1286" spans="20:21" s="450" customFormat="1">
      <c r="T1286" s="501"/>
      <c r="U1286" s="502"/>
    </row>
    <row r="1287" spans="20:21" s="450" customFormat="1">
      <c r="T1287" s="501"/>
      <c r="U1287" s="502"/>
    </row>
    <row r="1288" spans="20:21" s="450" customFormat="1">
      <c r="T1288" s="501"/>
      <c r="U1288" s="502"/>
    </row>
    <row r="1289" spans="20:21" s="450" customFormat="1">
      <c r="T1289" s="501"/>
      <c r="U1289" s="502"/>
    </row>
    <row r="1290" spans="20:21" s="450" customFormat="1">
      <c r="T1290" s="501"/>
      <c r="U1290" s="502"/>
    </row>
    <row r="1291" spans="20:21" s="450" customFormat="1">
      <c r="T1291" s="501"/>
      <c r="U1291" s="502"/>
    </row>
    <row r="1292" spans="20:21" s="450" customFormat="1">
      <c r="T1292" s="501"/>
      <c r="U1292" s="502"/>
    </row>
    <row r="1293" spans="20:21" s="450" customFormat="1">
      <c r="T1293" s="501"/>
      <c r="U1293" s="502"/>
    </row>
    <row r="1294" spans="20:21" s="450" customFormat="1">
      <c r="T1294" s="501"/>
      <c r="U1294" s="502"/>
    </row>
    <row r="1295" spans="20:21" s="450" customFormat="1">
      <c r="T1295" s="501"/>
      <c r="U1295" s="502"/>
    </row>
    <row r="1296" spans="20:21" s="450" customFormat="1">
      <c r="T1296" s="501"/>
      <c r="U1296" s="502"/>
    </row>
    <row r="1297" spans="20:21" s="450" customFormat="1">
      <c r="T1297" s="501"/>
      <c r="U1297" s="502"/>
    </row>
    <row r="1298" spans="20:21" s="450" customFormat="1">
      <c r="T1298" s="501"/>
      <c r="U1298" s="502"/>
    </row>
    <row r="1299" spans="20:21" s="450" customFormat="1">
      <c r="T1299" s="501"/>
      <c r="U1299" s="502"/>
    </row>
    <row r="1300" spans="20:21" s="450" customFormat="1">
      <c r="T1300" s="501"/>
      <c r="U1300" s="502"/>
    </row>
    <row r="1301" spans="20:21" s="450" customFormat="1">
      <c r="T1301" s="501"/>
      <c r="U1301" s="502"/>
    </row>
    <row r="1302" spans="20:21" s="450" customFormat="1">
      <c r="T1302" s="501"/>
      <c r="U1302" s="502"/>
    </row>
    <row r="1303" spans="20:21" s="450" customFormat="1">
      <c r="T1303" s="501"/>
      <c r="U1303" s="502"/>
    </row>
    <row r="1304" spans="20:21" s="450" customFormat="1">
      <c r="T1304" s="501"/>
      <c r="U1304" s="502"/>
    </row>
    <row r="1305" spans="20:21" s="450" customFormat="1">
      <c r="T1305" s="501"/>
      <c r="U1305" s="502"/>
    </row>
    <row r="1306" spans="20:21" s="450" customFormat="1">
      <c r="T1306" s="501"/>
      <c r="U1306" s="502"/>
    </row>
    <row r="1307" spans="20:21" s="450" customFormat="1">
      <c r="T1307" s="501"/>
      <c r="U1307" s="502"/>
    </row>
    <row r="1308" spans="20:21" s="450" customFormat="1">
      <c r="T1308" s="501"/>
      <c r="U1308" s="502"/>
    </row>
    <row r="1309" spans="20:21" s="450" customFormat="1">
      <c r="T1309" s="501"/>
      <c r="U1309" s="502"/>
    </row>
    <row r="1310" spans="20:21" s="450" customFormat="1">
      <c r="T1310" s="501"/>
      <c r="U1310" s="502"/>
    </row>
    <row r="1311" spans="20:21" s="450" customFormat="1">
      <c r="T1311" s="501"/>
      <c r="U1311" s="502"/>
    </row>
    <row r="1312" spans="20:21" s="450" customFormat="1">
      <c r="T1312" s="501"/>
      <c r="U1312" s="502"/>
    </row>
    <row r="1313" spans="20:21" s="450" customFormat="1">
      <c r="T1313" s="501"/>
      <c r="U1313" s="502"/>
    </row>
    <row r="1314" spans="20:21" s="450" customFormat="1">
      <c r="T1314" s="501"/>
      <c r="U1314" s="502"/>
    </row>
    <row r="1315" spans="20:21" s="450" customFormat="1">
      <c r="T1315" s="501"/>
      <c r="U1315" s="502"/>
    </row>
    <row r="1316" spans="20:21" s="450" customFormat="1">
      <c r="T1316" s="501"/>
      <c r="U1316" s="502"/>
    </row>
    <row r="1317" spans="20:21" s="450" customFormat="1">
      <c r="T1317" s="501"/>
      <c r="U1317" s="502"/>
    </row>
    <row r="1318" spans="20:21" s="450" customFormat="1">
      <c r="T1318" s="501"/>
      <c r="U1318" s="502"/>
    </row>
    <row r="1319" spans="20:21" s="450" customFormat="1">
      <c r="T1319" s="501"/>
      <c r="U1319" s="502"/>
    </row>
    <row r="1320" spans="20:21" s="450" customFormat="1">
      <c r="T1320" s="501"/>
      <c r="U1320" s="502"/>
    </row>
    <row r="1321" spans="20:21" s="450" customFormat="1">
      <c r="T1321" s="501"/>
      <c r="U1321" s="502"/>
    </row>
    <row r="1322" spans="20:21" s="450" customFormat="1">
      <c r="T1322" s="501"/>
      <c r="U1322" s="502"/>
    </row>
    <row r="1323" spans="20:21" s="450" customFormat="1">
      <c r="T1323" s="501"/>
      <c r="U1323" s="502"/>
    </row>
    <row r="1324" spans="20:21" s="450" customFormat="1">
      <c r="T1324" s="501"/>
      <c r="U1324" s="502"/>
    </row>
    <row r="1325" spans="20:21" s="450" customFormat="1">
      <c r="T1325" s="501"/>
      <c r="U1325" s="502"/>
    </row>
    <row r="1326" spans="20:21" s="450" customFormat="1">
      <c r="T1326" s="501"/>
      <c r="U1326" s="502"/>
    </row>
    <row r="1327" spans="20:21" s="450" customFormat="1">
      <c r="T1327" s="501"/>
      <c r="U1327" s="502"/>
    </row>
    <row r="1328" spans="20:21" s="450" customFormat="1">
      <c r="T1328" s="501"/>
      <c r="U1328" s="502"/>
    </row>
    <row r="1329" spans="20:21" s="450" customFormat="1">
      <c r="T1329" s="501"/>
      <c r="U1329" s="502"/>
    </row>
    <row r="1330" spans="20:21" s="450" customFormat="1">
      <c r="T1330" s="501"/>
      <c r="U1330" s="502"/>
    </row>
    <row r="1331" spans="20:21" s="450" customFormat="1">
      <c r="T1331" s="501"/>
      <c r="U1331" s="502"/>
    </row>
    <row r="1332" spans="20:21" s="450" customFormat="1">
      <c r="T1332" s="501"/>
      <c r="U1332" s="502"/>
    </row>
    <row r="1333" spans="20:21" s="450" customFormat="1">
      <c r="T1333" s="501"/>
      <c r="U1333" s="502"/>
    </row>
    <row r="1334" spans="20:21" s="450" customFormat="1">
      <c r="T1334" s="501"/>
      <c r="U1334" s="502"/>
    </row>
    <row r="1335" spans="20:21" s="450" customFormat="1">
      <c r="T1335" s="501"/>
      <c r="U1335" s="502"/>
    </row>
    <row r="1336" spans="20:21" s="450" customFormat="1">
      <c r="T1336" s="501"/>
      <c r="U1336" s="502"/>
    </row>
    <row r="1337" spans="20:21" s="450" customFormat="1">
      <c r="T1337" s="501"/>
      <c r="U1337" s="502"/>
    </row>
    <row r="1338" spans="20:21" s="450" customFormat="1">
      <c r="T1338" s="501"/>
      <c r="U1338" s="502"/>
    </row>
    <row r="1339" spans="20:21" s="450" customFormat="1">
      <c r="T1339" s="501"/>
      <c r="U1339" s="502"/>
    </row>
    <row r="1340" spans="20:21" s="450" customFormat="1">
      <c r="T1340" s="501"/>
      <c r="U1340" s="502"/>
    </row>
    <row r="1341" spans="20:21" s="450" customFormat="1">
      <c r="T1341" s="501"/>
      <c r="U1341" s="502"/>
    </row>
    <row r="1342" spans="20:21" s="450" customFormat="1">
      <c r="T1342" s="501"/>
      <c r="U1342" s="502"/>
    </row>
    <row r="1343" spans="20:21" s="450" customFormat="1">
      <c r="T1343" s="501"/>
      <c r="U1343" s="502"/>
    </row>
    <row r="1344" spans="20:21" s="450" customFormat="1">
      <c r="T1344" s="501"/>
      <c r="U1344" s="502"/>
    </row>
    <row r="1345" spans="20:21" s="450" customFormat="1">
      <c r="T1345" s="501"/>
      <c r="U1345" s="502"/>
    </row>
    <row r="1346" spans="20:21" s="450" customFormat="1">
      <c r="T1346" s="501"/>
      <c r="U1346" s="502"/>
    </row>
    <row r="1347" spans="20:21" s="450" customFormat="1">
      <c r="T1347" s="501"/>
      <c r="U1347" s="502"/>
    </row>
    <row r="1348" spans="20:21" s="450" customFormat="1">
      <c r="T1348" s="501"/>
      <c r="U1348" s="502"/>
    </row>
    <row r="1349" spans="20:21" s="450" customFormat="1">
      <c r="T1349" s="501"/>
      <c r="U1349" s="502"/>
    </row>
    <row r="1350" spans="20:21" s="450" customFormat="1">
      <c r="T1350" s="501"/>
      <c r="U1350" s="502"/>
    </row>
    <row r="1351" spans="20:21" s="450" customFormat="1">
      <c r="T1351" s="501"/>
      <c r="U1351" s="502"/>
    </row>
    <row r="1352" spans="20:21" s="450" customFormat="1">
      <c r="T1352" s="501"/>
      <c r="U1352" s="502"/>
    </row>
    <row r="1353" spans="20:21" s="450" customFormat="1">
      <c r="T1353" s="501"/>
      <c r="U1353" s="502"/>
    </row>
    <row r="1354" spans="20:21" s="450" customFormat="1">
      <c r="T1354" s="501"/>
      <c r="U1354" s="502"/>
    </row>
    <row r="1355" spans="20:21" s="450" customFormat="1">
      <c r="T1355" s="501"/>
      <c r="U1355" s="502"/>
    </row>
    <row r="1356" spans="20:21" s="450" customFormat="1">
      <c r="T1356" s="501"/>
      <c r="U1356" s="502"/>
    </row>
    <row r="1357" spans="20:21" s="450" customFormat="1">
      <c r="T1357" s="501"/>
      <c r="U1357" s="502"/>
    </row>
    <row r="1358" spans="20:21" s="450" customFormat="1">
      <c r="T1358" s="501"/>
      <c r="U1358" s="502"/>
    </row>
    <row r="1359" spans="20:21" s="450" customFormat="1">
      <c r="T1359" s="501"/>
      <c r="U1359" s="502"/>
    </row>
    <row r="1360" spans="20:21" s="450" customFormat="1">
      <c r="T1360" s="501"/>
      <c r="U1360" s="502"/>
    </row>
    <row r="1361" spans="20:21" s="450" customFormat="1">
      <c r="T1361" s="501"/>
      <c r="U1361" s="502"/>
    </row>
    <row r="1362" spans="20:21" s="450" customFormat="1">
      <c r="T1362" s="501"/>
      <c r="U1362" s="502"/>
    </row>
    <row r="1363" spans="20:21" s="450" customFormat="1">
      <c r="T1363" s="501"/>
      <c r="U1363" s="502"/>
    </row>
    <row r="1364" spans="20:21" s="450" customFormat="1">
      <c r="T1364" s="501"/>
      <c r="U1364" s="502"/>
    </row>
    <row r="1365" spans="20:21" s="450" customFormat="1">
      <c r="T1365" s="501"/>
      <c r="U1365" s="502"/>
    </row>
    <row r="1366" spans="20:21" s="450" customFormat="1">
      <c r="T1366" s="501"/>
      <c r="U1366" s="502"/>
    </row>
    <row r="1367" spans="20:21" s="450" customFormat="1">
      <c r="T1367" s="501"/>
      <c r="U1367" s="502"/>
    </row>
    <row r="1368" spans="20:21" s="450" customFormat="1">
      <c r="T1368" s="501"/>
      <c r="U1368" s="502"/>
    </row>
    <row r="1369" spans="20:21" s="450" customFormat="1">
      <c r="T1369" s="501"/>
      <c r="U1369" s="502"/>
    </row>
    <row r="1370" spans="20:21" s="450" customFormat="1">
      <c r="T1370" s="501"/>
      <c r="U1370" s="502"/>
    </row>
    <row r="1371" spans="20:21" s="450" customFormat="1">
      <c r="T1371" s="501"/>
      <c r="U1371" s="502"/>
    </row>
    <row r="1372" spans="20:21" s="450" customFormat="1">
      <c r="T1372" s="501"/>
      <c r="U1372" s="502"/>
    </row>
    <row r="1373" spans="20:21" s="450" customFormat="1">
      <c r="T1373" s="501"/>
      <c r="U1373" s="502"/>
    </row>
    <row r="1374" spans="20:21" s="450" customFormat="1">
      <c r="T1374" s="501"/>
      <c r="U1374" s="502"/>
    </row>
    <row r="1375" spans="20:21" s="450" customFormat="1">
      <c r="T1375" s="501"/>
      <c r="U1375" s="502"/>
    </row>
    <row r="1376" spans="20:21" s="450" customFormat="1">
      <c r="T1376" s="501"/>
      <c r="U1376" s="502"/>
    </row>
    <row r="1377" spans="20:21" s="450" customFormat="1">
      <c r="T1377" s="501"/>
      <c r="U1377" s="502"/>
    </row>
    <row r="1378" spans="20:21" s="450" customFormat="1">
      <c r="T1378" s="501"/>
      <c r="U1378" s="502"/>
    </row>
    <row r="1379" spans="20:21" s="450" customFormat="1">
      <c r="T1379" s="501"/>
      <c r="U1379" s="502"/>
    </row>
    <row r="1380" spans="20:21" s="450" customFormat="1">
      <c r="T1380" s="501"/>
      <c r="U1380" s="502"/>
    </row>
    <row r="1381" spans="20:21" s="450" customFormat="1">
      <c r="T1381" s="501"/>
      <c r="U1381" s="502"/>
    </row>
    <row r="1382" spans="20:21" s="450" customFormat="1">
      <c r="T1382" s="501"/>
      <c r="U1382" s="502"/>
    </row>
    <row r="1383" spans="20:21" s="450" customFormat="1">
      <c r="T1383" s="501"/>
      <c r="U1383" s="502"/>
    </row>
    <row r="1384" spans="20:21" s="450" customFormat="1">
      <c r="T1384" s="501"/>
      <c r="U1384" s="502"/>
    </row>
    <row r="1385" spans="20:21" s="450" customFormat="1">
      <c r="T1385" s="501"/>
      <c r="U1385" s="502"/>
    </row>
    <row r="1386" spans="20:21" s="450" customFormat="1">
      <c r="T1386" s="501"/>
      <c r="U1386" s="502"/>
    </row>
    <row r="1387" spans="20:21" s="450" customFormat="1">
      <c r="T1387" s="501"/>
      <c r="U1387" s="502"/>
    </row>
    <row r="1388" spans="20:21" s="450" customFormat="1">
      <c r="T1388" s="501"/>
      <c r="U1388" s="502"/>
    </row>
    <row r="1389" spans="20:21" s="450" customFormat="1">
      <c r="T1389" s="501"/>
      <c r="U1389" s="502"/>
    </row>
    <row r="1390" spans="20:21" s="450" customFormat="1">
      <c r="T1390" s="501"/>
      <c r="U1390" s="502"/>
    </row>
    <row r="1391" spans="20:21" s="450" customFormat="1">
      <c r="T1391" s="501"/>
      <c r="U1391" s="502"/>
    </row>
    <row r="1392" spans="20:21" s="450" customFormat="1">
      <c r="T1392" s="501"/>
      <c r="U1392" s="502"/>
    </row>
    <row r="1393" spans="20:21" s="450" customFormat="1">
      <c r="T1393" s="501"/>
      <c r="U1393" s="502"/>
    </row>
    <row r="1394" spans="20:21" s="450" customFormat="1">
      <c r="T1394" s="501"/>
      <c r="U1394" s="502"/>
    </row>
    <row r="1395" spans="20:21" s="450" customFormat="1">
      <c r="T1395" s="501"/>
      <c r="U1395" s="502"/>
    </row>
    <row r="1396" spans="20:21" s="450" customFormat="1">
      <c r="T1396" s="501"/>
      <c r="U1396" s="502"/>
    </row>
    <row r="1397" spans="20:21" s="450" customFormat="1">
      <c r="T1397" s="501"/>
      <c r="U1397" s="502"/>
    </row>
    <row r="1398" spans="20:21" s="450" customFormat="1">
      <c r="T1398" s="501"/>
      <c r="U1398" s="502"/>
    </row>
    <row r="1399" spans="20:21" s="450" customFormat="1">
      <c r="T1399" s="501"/>
      <c r="U1399" s="502"/>
    </row>
    <row r="1400" spans="20:21" s="450" customFormat="1">
      <c r="T1400" s="501"/>
      <c r="U1400" s="502"/>
    </row>
    <row r="1401" spans="20:21" s="450" customFormat="1">
      <c r="T1401" s="501"/>
      <c r="U1401" s="502"/>
    </row>
    <row r="1402" spans="20:21" s="450" customFormat="1">
      <c r="T1402" s="501"/>
      <c r="U1402" s="502"/>
    </row>
    <row r="1403" spans="20:21" s="450" customFormat="1">
      <c r="T1403" s="501"/>
      <c r="U1403" s="502"/>
    </row>
    <row r="1404" spans="20:21" s="450" customFormat="1">
      <c r="T1404" s="501"/>
      <c r="U1404" s="502"/>
    </row>
    <row r="1405" spans="20:21" s="450" customFormat="1">
      <c r="T1405" s="501"/>
      <c r="U1405" s="502"/>
    </row>
    <row r="1406" spans="20:21" s="450" customFormat="1">
      <c r="T1406" s="501"/>
      <c r="U1406" s="502"/>
    </row>
    <row r="1407" spans="20:21" s="450" customFormat="1">
      <c r="T1407" s="501"/>
      <c r="U1407" s="502"/>
    </row>
    <row r="1408" spans="20:21" s="450" customFormat="1">
      <c r="T1408" s="501"/>
      <c r="U1408" s="502"/>
    </row>
    <row r="1409" spans="20:21" s="450" customFormat="1">
      <c r="T1409" s="501"/>
      <c r="U1409" s="502"/>
    </row>
    <row r="1410" spans="20:21" s="450" customFormat="1">
      <c r="T1410" s="501"/>
      <c r="U1410" s="502"/>
    </row>
    <row r="1411" spans="20:21" s="450" customFormat="1">
      <c r="T1411" s="501"/>
      <c r="U1411" s="502"/>
    </row>
    <row r="1412" spans="20:21" s="450" customFormat="1">
      <c r="T1412" s="501"/>
      <c r="U1412" s="502"/>
    </row>
    <row r="1413" spans="20:21" s="450" customFormat="1">
      <c r="T1413" s="501"/>
      <c r="U1413" s="502"/>
    </row>
    <row r="1414" spans="20:21" s="450" customFormat="1">
      <c r="T1414" s="501"/>
      <c r="U1414" s="502"/>
    </row>
    <row r="1415" spans="20:21" s="450" customFormat="1">
      <c r="T1415" s="501"/>
      <c r="U1415" s="502"/>
    </row>
    <row r="1416" spans="20:21" s="450" customFormat="1">
      <c r="T1416" s="501"/>
      <c r="U1416" s="502"/>
    </row>
    <row r="1417" spans="20:21" s="450" customFormat="1">
      <c r="T1417" s="501"/>
      <c r="U1417" s="502"/>
    </row>
    <row r="1418" spans="20:21" s="450" customFormat="1">
      <c r="T1418" s="501"/>
      <c r="U1418" s="502"/>
    </row>
    <row r="1419" spans="20:21" s="450" customFormat="1">
      <c r="T1419" s="501"/>
      <c r="U1419" s="502"/>
    </row>
    <row r="1420" spans="20:21" s="450" customFormat="1">
      <c r="T1420" s="501"/>
      <c r="U1420" s="502"/>
    </row>
    <row r="1421" spans="20:21" s="450" customFormat="1">
      <c r="T1421" s="501"/>
      <c r="U1421" s="502"/>
    </row>
    <row r="1422" spans="20:21" s="450" customFormat="1">
      <c r="T1422" s="501"/>
      <c r="U1422" s="502"/>
    </row>
    <row r="1423" spans="20:21" s="450" customFormat="1">
      <c r="T1423" s="501"/>
      <c r="U1423" s="502"/>
    </row>
    <row r="1424" spans="20:21" s="450" customFormat="1">
      <c r="T1424" s="501"/>
      <c r="U1424" s="502"/>
    </row>
    <row r="1425" spans="20:21" s="450" customFormat="1">
      <c r="T1425" s="501"/>
      <c r="U1425" s="502"/>
    </row>
    <row r="1426" spans="20:21" s="450" customFormat="1">
      <c r="T1426" s="501"/>
      <c r="U1426" s="502"/>
    </row>
    <row r="1427" spans="20:21" s="450" customFormat="1">
      <c r="T1427" s="501"/>
      <c r="U1427" s="502"/>
    </row>
    <row r="1428" spans="20:21" s="450" customFormat="1">
      <c r="T1428" s="501"/>
      <c r="U1428" s="502"/>
    </row>
    <row r="1429" spans="20:21" s="450" customFormat="1">
      <c r="T1429" s="501"/>
      <c r="U1429" s="502"/>
    </row>
    <row r="1430" spans="20:21" s="450" customFormat="1">
      <c r="T1430" s="501"/>
      <c r="U1430" s="502"/>
    </row>
    <row r="1431" spans="20:21" s="450" customFormat="1">
      <c r="T1431" s="501"/>
      <c r="U1431" s="502"/>
    </row>
    <row r="1432" spans="20:21" s="450" customFormat="1">
      <c r="T1432" s="501"/>
      <c r="U1432" s="502"/>
    </row>
    <row r="1433" spans="20:21" s="450" customFormat="1">
      <c r="T1433" s="501"/>
      <c r="U1433" s="502"/>
    </row>
    <row r="1434" spans="20:21" s="450" customFormat="1">
      <c r="T1434" s="501"/>
      <c r="U1434" s="502"/>
    </row>
    <row r="1435" spans="20:21" s="450" customFormat="1">
      <c r="T1435" s="501"/>
      <c r="U1435" s="502"/>
    </row>
    <row r="1436" spans="20:21" s="450" customFormat="1">
      <c r="T1436" s="501"/>
      <c r="U1436" s="502"/>
    </row>
    <row r="1437" spans="20:21" s="450" customFormat="1">
      <c r="T1437" s="501"/>
      <c r="U1437" s="502"/>
    </row>
    <row r="1438" spans="20:21" s="450" customFormat="1">
      <c r="T1438" s="501"/>
      <c r="U1438" s="502"/>
    </row>
    <row r="1439" spans="20:21" s="450" customFormat="1">
      <c r="T1439" s="501"/>
      <c r="U1439" s="502"/>
    </row>
    <row r="1440" spans="20:21" s="450" customFormat="1">
      <c r="T1440" s="501"/>
      <c r="U1440" s="502"/>
    </row>
    <row r="1441" spans="20:21" s="450" customFormat="1">
      <c r="T1441" s="501"/>
      <c r="U1441" s="502"/>
    </row>
    <row r="1442" spans="20:21" s="450" customFormat="1">
      <c r="T1442" s="501"/>
      <c r="U1442" s="502"/>
    </row>
    <row r="1443" spans="20:21" s="450" customFormat="1">
      <c r="T1443" s="501"/>
      <c r="U1443" s="502"/>
    </row>
    <row r="1444" spans="20:21" s="450" customFormat="1">
      <c r="T1444" s="501"/>
      <c r="U1444" s="502"/>
    </row>
    <row r="1445" spans="20:21" s="450" customFormat="1">
      <c r="T1445" s="501"/>
      <c r="U1445" s="502"/>
    </row>
    <row r="1446" spans="20:21" s="450" customFormat="1">
      <c r="T1446" s="501"/>
      <c r="U1446" s="502"/>
    </row>
    <row r="1447" spans="20:21" s="450" customFormat="1">
      <c r="T1447" s="501"/>
      <c r="U1447" s="502"/>
    </row>
    <row r="1448" spans="20:21" s="450" customFormat="1">
      <c r="T1448" s="501"/>
      <c r="U1448" s="502"/>
    </row>
    <row r="1449" spans="20:21" s="450" customFormat="1">
      <c r="T1449" s="501"/>
      <c r="U1449" s="502"/>
    </row>
    <row r="1450" spans="20:21" s="450" customFormat="1">
      <c r="T1450" s="501"/>
      <c r="U1450" s="502"/>
    </row>
    <row r="1451" spans="20:21" s="450" customFormat="1">
      <c r="T1451" s="501"/>
      <c r="U1451" s="502"/>
    </row>
    <row r="1452" spans="20:21" s="450" customFormat="1">
      <c r="T1452" s="501"/>
      <c r="U1452" s="502"/>
    </row>
    <row r="1453" spans="20:21" s="450" customFormat="1">
      <c r="T1453" s="501"/>
      <c r="U1453" s="502"/>
    </row>
    <row r="1454" spans="20:21" s="450" customFormat="1">
      <c r="T1454" s="501"/>
      <c r="U1454" s="502"/>
    </row>
    <row r="1455" spans="20:21" s="450" customFormat="1">
      <c r="T1455" s="501"/>
      <c r="U1455" s="502"/>
    </row>
    <row r="1456" spans="20:21" s="450" customFormat="1">
      <c r="T1456" s="501"/>
      <c r="U1456" s="502"/>
    </row>
    <row r="1457" spans="20:21" s="450" customFormat="1">
      <c r="T1457" s="501"/>
      <c r="U1457" s="502"/>
    </row>
    <row r="1458" spans="20:21" s="450" customFormat="1">
      <c r="T1458" s="501"/>
      <c r="U1458" s="502"/>
    </row>
    <row r="1459" spans="20:21" s="450" customFormat="1">
      <c r="T1459" s="501"/>
      <c r="U1459" s="502"/>
    </row>
    <row r="1460" spans="20:21" s="450" customFormat="1">
      <c r="T1460" s="501"/>
      <c r="U1460" s="502"/>
    </row>
    <row r="1461" spans="20:21" s="450" customFormat="1">
      <c r="T1461" s="501"/>
      <c r="U1461" s="502"/>
    </row>
    <row r="1462" spans="20:21" s="450" customFormat="1">
      <c r="T1462" s="501"/>
      <c r="U1462" s="502"/>
    </row>
    <row r="1463" spans="20:21" s="450" customFormat="1">
      <c r="T1463" s="501"/>
      <c r="U1463" s="502"/>
    </row>
    <row r="1464" spans="20:21" s="450" customFormat="1">
      <c r="T1464" s="501"/>
      <c r="U1464" s="502"/>
    </row>
    <row r="1465" spans="20:21" s="450" customFormat="1">
      <c r="T1465" s="501"/>
      <c r="U1465" s="502"/>
    </row>
    <row r="1466" spans="20:21" s="450" customFormat="1">
      <c r="T1466" s="501"/>
      <c r="U1466" s="502"/>
    </row>
    <row r="1467" spans="20:21" s="450" customFormat="1">
      <c r="T1467" s="501"/>
      <c r="U1467" s="502"/>
    </row>
    <row r="1468" spans="20:21" s="450" customFormat="1">
      <c r="T1468" s="501"/>
      <c r="U1468" s="502"/>
    </row>
    <row r="1469" spans="20:21" s="450" customFormat="1">
      <c r="T1469" s="501"/>
      <c r="U1469" s="502"/>
    </row>
    <row r="1470" spans="20:21" s="450" customFormat="1">
      <c r="T1470" s="501"/>
      <c r="U1470" s="502"/>
    </row>
    <row r="1471" spans="20:21" s="450" customFormat="1">
      <c r="T1471" s="501"/>
      <c r="U1471" s="502"/>
    </row>
    <row r="1472" spans="20:21" s="450" customFormat="1">
      <c r="T1472" s="501"/>
      <c r="U1472" s="502"/>
    </row>
    <row r="1473" spans="20:21" s="450" customFormat="1">
      <c r="T1473" s="501"/>
      <c r="U1473" s="502"/>
    </row>
    <row r="1474" spans="20:21" s="450" customFormat="1">
      <c r="T1474" s="501"/>
      <c r="U1474" s="502"/>
    </row>
    <row r="1475" spans="20:21" s="450" customFormat="1">
      <c r="T1475" s="501"/>
      <c r="U1475" s="502"/>
    </row>
    <row r="1476" spans="20:21" s="450" customFormat="1">
      <c r="T1476" s="501"/>
      <c r="U1476" s="502"/>
    </row>
    <row r="1477" spans="20:21" s="450" customFormat="1">
      <c r="T1477" s="501"/>
      <c r="U1477" s="502"/>
    </row>
    <row r="1478" spans="20:21" s="450" customFormat="1">
      <c r="T1478" s="501"/>
      <c r="U1478" s="502"/>
    </row>
    <row r="1479" spans="20:21" s="450" customFormat="1">
      <c r="T1479" s="501"/>
      <c r="U1479" s="502"/>
    </row>
    <row r="1480" spans="20:21" s="450" customFormat="1">
      <c r="T1480" s="501"/>
      <c r="U1480" s="502"/>
    </row>
    <row r="1481" spans="20:21" s="450" customFormat="1">
      <c r="T1481" s="501"/>
      <c r="U1481" s="502"/>
    </row>
    <row r="1482" spans="20:21" s="450" customFormat="1">
      <c r="T1482" s="501"/>
      <c r="U1482" s="502"/>
    </row>
    <row r="1483" spans="20:21" s="450" customFormat="1">
      <c r="T1483" s="501"/>
      <c r="U1483" s="502"/>
    </row>
    <row r="1484" spans="20:21" s="450" customFormat="1">
      <c r="T1484" s="501"/>
      <c r="U1484" s="502"/>
    </row>
    <row r="1485" spans="20:21" s="450" customFormat="1">
      <c r="T1485" s="501"/>
      <c r="U1485" s="502"/>
    </row>
    <row r="1486" spans="20:21" s="450" customFormat="1">
      <c r="T1486" s="501"/>
      <c r="U1486" s="502"/>
    </row>
    <row r="1487" spans="20:21" s="450" customFormat="1">
      <c r="T1487" s="501"/>
      <c r="U1487" s="502"/>
    </row>
    <row r="1488" spans="20:21" s="450" customFormat="1">
      <c r="T1488" s="501"/>
      <c r="U1488" s="502"/>
    </row>
    <row r="1489" spans="20:21" s="450" customFormat="1">
      <c r="T1489" s="501"/>
      <c r="U1489" s="502"/>
    </row>
    <row r="1490" spans="20:21" s="450" customFormat="1">
      <c r="T1490" s="501"/>
      <c r="U1490" s="502"/>
    </row>
    <row r="1491" spans="20:21" s="450" customFormat="1">
      <c r="T1491" s="501"/>
      <c r="U1491" s="502"/>
    </row>
    <row r="1492" spans="20:21" s="450" customFormat="1">
      <c r="T1492" s="501"/>
      <c r="U1492" s="502"/>
    </row>
    <row r="1493" spans="20:21" s="450" customFormat="1">
      <c r="T1493" s="501"/>
      <c r="U1493" s="502"/>
    </row>
    <row r="1494" spans="20:21" s="450" customFormat="1">
      <c r="T1494" s="501"/>
      <c r="U1494" s="502"/>
    </row>
    <row r="1495" spans="20:21" s="450" customFormat="1">
      <c r="T1495" s="501"/>
      <c r="U1495" s="502"/>
    </row>
    <row r="1496" spans="20:21" s="450" customFormat="1">
      <c r="T1496" s="501"/>
      <c r="U1496" s="502"/>
    </row>
    <row r="1497" spans="20:21" s="450" customFormat="1">
      <c r="T1497" s="501"/>
      <c r="U1497" s="502"/>
    </row>
    <row r="1498" spans="20:21" s="450" customFormat="1">
      <c r="T1498" s="501"/>
      <c r="U1498" s="502"/>
    </row>
    <row r="1499" spans="20:21" s="450" customFormat="1">
      <c r="T1499" s="501"/>
      <c r="U1499" s="502"/>
    </row>
    <row r="1500" spans="20:21" s="450" customFormat="1">
      <c r="T1500" s="501"/>
      <c r="U1500" s="502"/>
    </row>
    <row r="1501" spans="20:21" s="450" customFormat="1">
      <c r="T1501" s="501"/>
      <c r="U1501" s="502"/>
    </row>
    <row r="1502" spans="20:21" s="450" customFormat="1">
      <c r="T1502" s="501"/>
      <c r="U1502" s="502"/>
    </row>
    <row r="1503" spans="20:21" s="450" customFormat="1">
      <c r="T1503" s="501"/>
      <c r="U1503" s="502"/>
    </row>
    <row r="1504" spans="20:21" s="450" customFormat="1">
      <c r="T1504" s="501"/>
      <c r="U1504" s="502"/>
    </row>
    <row r="1505" spans="20:21" s="450" customFormat="1">
      <c r="T1505" s="501"/>
      <c r="U1505" s="502"/>
    </row>
    <row r="1506" spans="20:21" s="450" customFormat="1">
      <c r="T1506" s="501"/>
      <c r="U1506" s="502"/>
    </row>
    <row r="1507" spans="20:21" s="450" customFormat="1">
      <c r="T1507" s="501"/>
      <c r="U1507" s="502"/>
    </row>
    <row r="1508" spans="20:21" s="450" customFormat="1">
      <c r="T1508" s="501"/>
      <c r="U1508" s="502"/>
    </row>
    <row r="1509" spans="20:21" s="450" customFormat="1">
      <c r="T1509" s="501"/>
      <c r="U1509" s="502"/>
    </row>
    <row r="1510" spans="20:21" s="450" customFormat="1">
      <c r="T1510" s="501"/>
      <c r="U1510" s="502"/>
    </row>
    <row r="1511" spans="20:21" s="450" customFormat="1">
      <c r="T1511" s="501"/>
      <c r="U1511" s="502"/>
    </row>
    <row r="1512" spans="20:21" s="450" customFormat="1">
      <c r="T1512" s="501"/>
      <c r="U1512" s="502"/>
    </row>
    <row r="1513" spans="20:21" s="450" customFormat="1">
      <c r="T1513" s="501"/>
      <c r="U1513" s="502"/>
    </row>
    <row r="1514" spans="20:21" s="450" customFormat="1">
      <c r="T1514" s="501"/>
      <c r="U1514" s="502"/>
    </row>
    <row r="1515" spans="20:21" s="450" customFormat="1">
      <c r="T1515" s="501"/>
      <c r="U1515" s="502"/>
    </row>
    <row r="1516" spans="20:21" s="450" customFormat="1">
      <c r="T1516" s="501"/>
      <c r="U1516" s="502"/>
    </row>
    <row r="1517" spans="20:21" s="450" customFormat="1">
      <c r="T1517" s="501"/>
      <c r="U1517" s="502"/>
    </row>
    <row r="1518" spans="20:21" s="450" customFormat="1">
      <c r="T1518" s="501"/>
      <c r="U1518" s="502"/>
    </row>
    <row r="1519" spans="20:21" s="450" customFormat="1">
      <c r="T1519" s="501"/>
      <c r="U1519" s="502"/>
    </row>
    <row r="1520" spans="20:21" s="450" customFormat="1">
      <c r="T1520" s="501"/>
      <c r="U1520" s="502"/>
    </row>
    <row r="1521" spans="20:21" s="450" customFormat="1">
      <c r="T1521" s="501"/>
      <c r="U1521" s="502"/>
    </row>
    <row r="1522" spans="20:21" s="450" customFormat="1">
      <c r="T1522" s="501"/>
      <c r="U1522" s="502"/>
    </row>
    <row r="1523" spans="20:21" s="450" customFormat="1">
      <c r="T1523" s="501"/>
      <c r="U1523" s="502"/>
    </row>
    <row r="1524" spans="20:21" s="450" customFormat="1">
      <c r="T1524" s="501"/>
      <c r="U1524" s="502"/>
    </row>
    <row r="1525" spans="20:21" s="450" customFormat="1">
      <c r="T1525" s="501"/>
      <c r="U1525" s="502"/>
    </row>
    <row r="1526" spans="20:21" s="450" customFormat="1">
      <c r="T1526" s="501"/>
      <c r="U1526" s="502"/>
    </row>
    <row r="1527" spans="20:21" s="450" customFormat="1">
      <c r="T1527" s="501"/>
      <c r="U1527" s="502"/>
    </row>
    <row r="1528" spans="20:21" s="450" customFormat="1">
      <c r="T1528" s="501"/>
      <c r="U1528" s="502"/>
    </row>
    <row r="1529" spans="20:21" s="450" customFormat="1">
      <c r="T1529" s="501"/>
      <c r="U1529" s="502"/>
    </row>
    <row r="1530" spans="20:21" s="450" customFormat="1">
      <c r="T1530" s="501"/>
      <c r="U1530" s="502"/>
    </row>
    <row r="1531" spans="20:21" s="450" customFormat="1">
      <c r="T1531" s="501"/>
      <c r="U1531" s="502"/>
    </row>
    <row r="1532" spans="20:21" s="450" customFormat="1">
      <c r="T1532" s="501"/>
      <c r="U1532" s="502"/>
    </row>
    <row r="1533" spans="20:21" s="450" customFormat="1">
      <c r="T1533" s="501"/>
      <c r="U1533" s="502"/>
    </row>
    <row r="1534" spans="20:21" s="450" customFormat="1">
      <c r="T1534" s="501"/>
      <c r="U1534" s="502"/>
    </row>
    <row r="1535" spans="20:21" s="450" customFormat="1">
      <c r="T1535" s="501"/>
      <c r="U1535" s="502"/>
    </row>
    <row r="1536" spans="20:21" s="450" customFormat="1">
      <c r="T1536" s="501"/>
      <c r="U1536" s="502"/>
    </row>
    <row r="1537" spans="20:21" s="450" customFormat="1">
      <c r="T1537" s="501"/>
      <c r="U1537" s="502"/>
    </row>
    <row r="1538" spans="20:21" s="450" customFormat="1">
      <c r="T1538" s="501"/>
      <c r="U1538" s="502"/>
    </row>
    <row r="1539" spans="20:21" s="450" customFormat="1">
      <c r="T1539" s="501"/>
      <c r="U1539" s="502"/>
    </row>
    <row r="1540" spans="20:21" s="450" customFormat="1">
      <c r="T1540" s="501"/>
      <c r="U1540" s="502"/>
    </row>
    <row r="1541" spans="20:21" s="450" customFormat="1">
      <c r="T1541" s="501"/>
      <c r="U1541" s="502"/>
    </row>
    <row r="1542" spans="20:21" s="450" customFormat="1">
      <c r="T1542" s="501"/>
      <c r="U1542" s="502"/>
    </row>
    <row r="1543" spans="20:21" s="450" customFormat="1">
      <c r="T1543" s="501"/>
      <c r="U1543" s="502"/>
    </row>
    <row r="1544" spans="20:21" s="450" customFormat="1">
      <c r="T1544" s="501"/>
      <c r="U1544" s="502"/>
    </row>
    <row r="1545" spans="20:21" s="450" customFormat="1">
      <c r="T1545" s="501"/>
      <c r="U1545" s="502"/>
    </row>
    <row r="1546" spans="20:21" s="450" customFormat="1">
      <c r="T1546" s="501"/>
      <c r="U1546" s="502"/>
    </row>
    <row r="1547" spans="20:21" s="450" customFormat="1">
      <c r="T1547" s="501"/>
      <c r="U1547" s="502"/>
    </row>
    <row r="1548" spans="20:21" s="450" customFormat="1">
      <c r="T1548" s="501"/>
      <c r="U1548" s="502"/>
    </row>
    <row r="1549" spans="20:21" s="450" customFormat="1">
      <c r="T1549" s="501"/>
      <c r="U1549" s="502"/>
    </row>
    <row r="1550" spans="20:21" s="450" customFormat="1">
      <c r="T1550" s="501"/>
      <c r="U1550" s="502"/>
    </row>
    <row r="1551" spans="20:21" s="450" customFormat="1">
      <c r="T1551" s="501"/>
      <c r="U1551" s="502"/>
    </row>
    <row r="1552" spans="20:21" s="450" customFormat="1">
      <c r="T1552" s="501"/>
      <c r="U1552" s="502"/>
    </row>
    <row r="1553" spans="20:21" s="450" customFormat="1">
      <c r="T1553" s="501"/>
      <c r="U1553" s="502"/>
    </row>
    <row r="1554" spans="20:21" s="450" customFormat="1">
      <c r="T1554" s="501"/>
      <c r="U1554" s="502"/>
    </row>
    <row r="1555" spans="20:21" s="450" customFormat="1">
      <c r="T1555" s="501"/>
      <c r="U1555" s="502"/>
    </row>
    <row r="1556" spans="20:21" s="450" customFormat="1">
      <c r="T1556" s="501"/>
      <c r="U1556" s="502"/>
    </row>
    <row r="1557" spans="20:21" s="450" customFormat="1">
      <c r="T1557" s="501"/>
      <c r="U1557" s="502"/>
    </row>
    <row r="1558" spans="20:21" s="450" customFormat="1">
      <c r="T1558" s="501"/>
      <c r="U1558" s="502"/>
    </row>
    <row r="1559" spans="20:21" s="450" customFormat="1">
      <c r="T1559" s="501"/>
      <c r="U1559" s="502"/>
    </row>
    <row r="1560" spans="20:21" s="450" customFormat="1">
      <c r="T1560" s="501"/>
      <c r="U1560" s="502"/>
    </row>
    <row r="1561" spans="20:21" s="450" customFormat="1">
      <c r="T1561" s="501"/>
      <c r="U1561" s="502"/>
    </row>
    <row r="1562" spans="20:21" s="450" customFormat="1">
      <c r="T1562" s="501"/>
      <c r="U1562" s="502"/>
    </row>
    <row r="1563" spans="20:21" s="450" customFormat="1">
      <c r="T1563" s="501"/>
      <c r="U1563" s="502"/>
    </row>
    <row r="1564" spans="20:21" s="450" customFormat="1">
      <c r="T1564" s="501"/>
      <c r="U1564" s="502"/>
    </row>
    <row r="1565" spans="20:21" s="450" customFormat="1">
      <c r="T1565" s="501"/>
      <c r="U1565" s="502"/>
    </row>
    <row r="1566" spans="20:21" s="450" customFormat="1">
      <c r="T1566" s="501"/>
      <c r="U1566" s="502"/>
    </row>
    <row r="1567" spans="20:21" s="450" customFormat="1">
      <c r="T1567" s="501"/>
      <c r="U1567" s="502"/>
    </row>
    <row r="1568" spans="20:21" s="450" customFormat="1">
      <c r="T1568" s="501"/>
      <c r="U1568" s="502"/>
    </row>
    <row r="1569" spans="20:21" s="450" customFormat="1">
      <c r="T1569" s="501"/>
      <c r="U1569" s="502"/>
    </row>
    <row r="1570" spans="20:21" s="450" customFormat="1">
      <c r="T1570" s="501"/>
      <c r="U1570" s="502"/>
    </row>
    <row r="1571" spans="20:21" s="450" customFormat="1">
      <c r="T1571" s="501"/>
      <c r="U1571" s="502"/>
    </row>
    <row r="1572" spans="20:21" s="450" customFormat="1">
      <c r="T1572" s="501"/>
      <c r="U1572" s="502"/>
    </row>
    <row r="1573" spans="20:21" s="450" customFormat="1">
      <c r="T1573" s="501"/>
      <c r="U1573" s="502"/>
    </row>
    <row r="1574" spans="20:21" s="450" customFormat="1">
      <c r="T1574" s="501"/>
      <c r="U1574" s="502"/>
    </row>
    <row r="1575" spans="20:21" s="450" customFormat="1">
      <c r="T1575" s="501"/>
      <c r="U1575" s="502"/>
    </row>
    <row r="1576" spans="20:21" s="450" customFormat="1">
      <c r="T1576" s="501"/>
      <c r="U1576" s="502"/>
    </row>
    <row r="1577" spans="20:21" s="450" customFormat="1">
      <c r="T1577" s="501"/>
      <c r="U1577" s="502"/>
    </row>
    <row r="1578" spans="20:21" s="450" customFormat="1">
      <c r="T1578" s="501"/>
      <c r="U1578" s="502"/>
    </row>
    <row r="1579" spans="20:21" s="450" customFormat="1">
      <c r="T1579" s="501"/>
      <c r="U1579" s="502"/>
    </row>
    <row r="1580" spans="20:21" s="450" customFormat="1">
      <c r="T1580" s="501"/>
      <c r="U1580" s="502"/>
    </row>
    <row r="1581" spans="20:21" s="450" customFormat="1">
      <c r="T1581" s="501"/>
      <c r="U1581" s="502"/>
    </row>
    <row r="1582" spans="20:21" s="450" customFormat="1">
      <c r="T1582" s="501"/>
      <c r="U1582" s="502"/>
    </row>
    <row r="1583" spans="20:21" s="450" customFormat="1">
      <c r="T1583" s="501"/>
      <c r="U1583" s="502"/>
    </row>
    <row r="1584" spans="20:21" s="450" customFormat="1">
      <c r="T1584" s="501"/>
      <c r="U1584" s="502"/>
    </row>
    <row r="1585" spans="20:21" s="450" customFormat="1">
      <c r="T1585" s="501"/>
      <c r="U1585" s="502"/>
    </row>
    <row r="1586" spans="20:21" s="450" customFormat="1">
      <c r="T1586" s="501"/>
      <c r="U1586" s="502"/>
    </row>
    <row r="1587" spans="20:21" s="450" customFormat="1">
      <c r="T1587" s="501"/>
      <c r="U1587" s="502"/>
    </row>
    <row r="1588" spans="20:21" s="450" customFormat="1">
      <c r="T1588" s="501"/>
      <c r="U1588" s="502"/>
    </row>
    <row r="1589" spans="20:21" s="450" customFormat="1">
      <c r="T1589" s="501"/>
      <c r="U1589" s="502"/>
    </row>
    <row r="1590" spans="20:21" s="450" customFormat="1">
      <c r="T1590" s="501"/>
      <c r="U1590" s="502"/>
    </row>
    <row r="1591" spans="20:21" s="450" customFormat="1">
      <c r="T1591" s="501"/>
      <c r="U1591" s="502"/>
    </row>
    <row r="1592" spans="20:21" s="450" customFormat="1">
      <c r="T1592" s="501"/>
      <c r="U1592" s="502"/>
    </row>
    <row r="1593" spans="20:21" s="450" customFormat="1">
      <c r="T1593" s="501"/>
      <c r="U1593" s="502"/>
    </row>
    <row r="1594" spans="20:21" s="450" customFormat="1">
      <c r="T1594" s="501"/>
      <c r="U1594" s="502"/>
    </row>
    <row r="1595" spans="20:21" s="450" customFormat="1">
      <c r="T1595" s="501"/>
      <c r="U1595" s="502"/>
    </row>
    <row r="1596" spans="20:21" s="450" customFormat="1">
      <c r="T1596" s="501"/>
      <c r="U1596" s="502"/>
    </row>
    <row r="1597" spans="20:21" s="450" customFormat="1">
      <c r="T1597" s="501"/>
      <c r="U1597" s="502"/>
    </row>
    <row r="1598" spans="20:21" s="450" customFormat="1">
      <c r="T1598" s="501"/>
      <c r="U1598" s="502"/>
    </row>
    <row r="1599" spans="20:21" s="450" customFormat="1">
      <c r="T1599" s="501"/>
      <c r="U1599" s="502"/>
    </row>
    <row r="1600" spans="20:21" s="450" customFormat="1">
      <c r="T1600" s="501"/>
      <c r="U1600" s="502"/>
    </row>
    <row r="1601" spans="20:21" s="450" customFormat="1">
      <c r="T1601" s="501"/>
      <c r="U1601" s="502"/>
    </row>
    <row r="1602" spans="20:21" s="450" customFormat="1">
      <c r="T1602" s="501"/>
      <c r="U1602" s="502"/>
    </row>
    <row r="1603" spans="20:21" s="450" customFormat="1">
      <c r="T1603" s="501"/>
      <c r="U1603" s="502"/>
    </row>
    <row r="1604" spans="20:21" s="450" customFormat="1">
      <c r="T1604" s="501"/>
      <c r="U1604" s="502"/>
    </row>
    <row r="1605" spans="20:21" s="450" customFormat="1">
      <c r="T1605" s="501"/>
      <c r="U1605" s="502"/>
    </row>
    <row r="1606" spans="20:21" s="450" customFormat="1">
      <c r="T1606" s="501"/>
      <c r="U1606" s="502"/>
    </row>
    <row r="1607" spans="20:21" s="450" customFormat="1">
      <c r="T1607" s="501"/>
      <c r="U1607" s="502"/>
    </row>
    <row r="1608" spans="20:21" s="450" customFormat="1">
      <c r="T1608" s="501"/>
      <c r="U1608" s="502"/>
    </row>
    <row r="1609" spans="20:21" s="450" customFormat="1">
      <c r="T1609" s="501"/>
      <c r="U1609" s="502"/>
    </row>
    <row r="1610" spans="20:21" s="450" customFormat="1">
      <c r="T1610" s="501"/>
      <c r="U1610" s="502"/>
    </row>
    <row r="1611" spans="20:21" s="450" customFormat="1">
      <c r="T1611" s="501"/>
      <c r="U1611" s="502"/>
    </row>
    <row r="1612" spans="20:21" s="450" customFormat="1">
      <c r="T1612" s="501"/>
      <c r="U1612" s="502"/>
    </row>
    <row r="1613" spans="20:21" s="450" customFormat="1">
      <c r="T1613" s="501"/>
      <c r="U1613" s="502"/>
    </row>
    <row r="1614" spans="20:21" s="450" customFormat="1">
      <c r="T1614" s="501"/>
      <c r="U1614" s="502"/>
    </row>
    <row r="1615" spans="20:21" s="450" customFormat="1">
      <c r="T1615" s="501"/>
      <c r="U1615" s="502"/>
    </row>
    <row r="1616" spans="20:21" s="450" customFormat="1">
      <c r="T1616" s="501"/>
      <c r="U1616" s="502"/>
    </row>
    <row r="1617" spans="20:21" s="450" customFormat="1">
      <c r="T1617" s="501"/>
      <c r="U1617" s="502"/>
    </row>
    <row r="1618" spans="20:21" s="450" customFormat="1">
      <c r="T1618" s="501"/>
      <c r="U1618" s="502"/>
    </row>
    <row r="1619" spans="20:21" s="450" customFormat="1">
      <c r="T1619" s="501"/>
      <c r="U1619" s="502"/>
    </row>
    <row r="1620" spans="20:21" s="450" customFormat="1">
      <c r="T1620" s="501"/>
      <c r="U1620" s="502"/>
    </row>
    <row r="1621" spans="20:21" s="450" customFormat="1">
      <c r="T1621" s="501"/>
      <c r="U1621" s="502"/>
    </row>
    <row r="1622" spans="20:21" s="450" customFormat="1">
      <c r="T1622" s="501"/>
      <c r="U1622" s="502"/>
    </row>
    <row r="1623" spans="20:21" s="450" customFormat="1">
      <c r="T1623" s="501"/>
      <c r="U1623" s="502"/>
    </row>
    <row r="1624" spans="20:21" s="450" customFormat="1">
      <c r="T1624" s="501"/>
      <c r="U1624" s="502"/>
    </row>
    <row r="1625" spans="20:21" s="450" customFormat="1">
      <c r="T1625" s="501"/>
      <c r="U1625" s="502"/>
    </row>
    <row r="1626" spans="20:21" s="450" customFormat="1">
      <c r="T1626" s="501"/>
      <c r="U1626" s="502"/>
    </row>
    <row r="1627" spans="20:21" s="450" customFormat="1">
      <c r="T1627" s="501"/>
      <c r="U1627" s="502"/>
    </row>
    <row r="1628" spans="20:21" s="450" customFormat="1">
      <c r="T1628" s="501"/>
      <c r="U1628" s="502"/>
    </row>
    <row r="1629" spans="20:21" s="450" customFormat="1">
      <c r="T1629" s="501"/>
      <c r="U1629" s="502"/>
    </row>
    <row r="1630" spans="20:21" s="450" customFormat="1">
      <c r="T1630" s="501"/>
      <c r="U1630" s="502"/>
    </row>
    <row r="1631" spans="20:21" s="450" customFormat="1">
      <c r="T1631" s="501"/>
      <c r="U1631" s="502"/>
    </row>
    <row r="1632" spans="20:21" s="450" customFormat="1">
      <c r="T1632" s="501"/>
      <c r="U1632" s="502"/>
    </row>
    <row r="1633" spans="20:21" s="450" customFormat="1">
      <c r="T1633" s="501"/>
      <c r="U1633" s="502"/>
    </row>
    <row r="1634" spans="20:21" s="450" customFormat="1">
      <c r="T1634" s="501"/>
      <c r="U1634" s="502"/>
    </row>
    <row r="1635" spans="20:21" s="450" customFormat="1">
      <c r="T1635" s="501"/>
      <c r="U1635" s="502"/>
    </row>
    <row r="1636" spans="20:21" s="450" customFormat="1">
      <c r="T1636" s="501"/>
      <c r="U1636" s="502"/>
    </row>
    <row r="1637" spans="20:21" s="450" customFormat="1">
      <c r="T1637" s="501"/>
      <c r="U1637" s="502"/>
    </row>
    <row r="1638" spans="20:21" s="450" customFormat="1">
      <c r="T1638" s="501"/>
      <c r="U1638" s="502"/>
    </row>
    <row r="1639" spans="20:21" s="450" customFormat="1">
      <c r="T1639" s="501"/>
      <c r="U1639" s="502"/>
    </row>
    <row r="1640" spans="20:21" s="450" customFormat="1">
      <c r="T1640" s="501"/>
      <c r="U1640" s="502"/>
    </row>
    <row r="1641" spans="20:21" s="450" customFormat="1">
      <c r="T1641" s="501"/>
      <c r="U1641" s="502"/>
    </row>
    <row r="1642" spans="20:21" s="450" customFormat="1">
      <c r="T1642" s="501"/>
      <c r="U1642" s="502"/>
    </row>
    <row r="1643" spans="20:21" s="450" customFormat="1">
      <c r="T1643" s="501"/>
      <c r="U1643" s="502"/>
    </row>
    <row r="1644" spans="20:21" s="450" customFormat="1">
      <c r="T1644" s="501"/>
      <c r="U1644" s="502"/>
    </row>
    <row r="1645" spans="20:21" s="450" customFormat="1">
      <c r="T1645" s="501"/>
      <c r="U1645" s="502"/>
    </row>
    <row r="1646" spans="20:21" s="450" customFormat="1">
      <c r="T1646" s="501"/>
      <c r="U1646" s="502"/>
    </row>
    <row r="1647" spans="20:21" s="450" customFormat="1">
      <c r="T1647" s="501"/>
      <c r="U1647" s="502"/>
    </row>
    <row r="1648" spans="20:21" s="450" customFormat="1">
      <c r="T1648" s="501"/>
      <c r="U1648" s="502"/>
    </row>
    <row r="1649" spans="20:21" s="450" customFormat="1">
      <c r="T1649" s="501"/>
      <c r="U1649" s="502"/>
    </row>
    <row r="1650" spans="20:21" s="450" customFormat="1">
      <c r="T1650" s="501"/>
      <c r="U1650" s="502"/>
    </row>
    <row r="1651" spans="20:21" s="450" customFormat="1">
      <c r="T1651" s="501"/>
      <c r="U1651" s="502"/>
    </row>
    <row r="1652" spans="20:21" s="450" customFormat="1">
      <c r="T1652" s="501"/>
      <c r="U1652" s="502"/>
    </row>
    <row r="1653" spans="20:21" s="450" customFormat="1">
      <c r="T1653" s="501"/>
      <c r="U1653" s="502"/>
    </row>
    <row r="1654" spans="20:21" s="450" customFormat="1">
      <c r="T1654" s="501"/>
      <c r="U1654" s="502"/>
    </row>
    <row r="1655" spans="20:21" s="450" customFormat="1">
      <c r="T1655" s="501"/>
      <c r="U1655" s="502"/>
    </row>
    <row r="1656" spans="20:21" s="450" customFormat="1">
      <c r="T1656" s="501"/>
      <c r="U1656" s="502"/>
    </row>
    <row r="1657" spans="20:21" s="450" customFormat="1">
      <c r="T1657" s="501"/>
      <c r="U1657" s="502"/>
    </row>
    <row r="1658" spans="20:21" s="450" customFormat="1">
      <c r="T1658" s="501"/>
      <c r="U1658" s="502"/>
    </row>
    <row r="1659" spans="20:21" s="450" customFormat="1">
      <c r="T1659" s="501"/>
      <c r="U1659" s="502"/>
    </row>
    <row r="1660" spans="20:21" s="450" customFormat="1">
      <c r="T1660" s="501"/>
      <c r="U1660" s="502"/>
    </row>
    <row r="1661" spans="20:21" s="450" customFormat="1">
      <c r="T1661" s="501"/>
      <c r="U1661" s="502"/>
    </row>
    <row r="1662" spans="20:21" s="450" customFormat="1">
      <c r="T1662" s="501"/>
      <c r="U1662" s="502"/>
    </row>
    <row r="1663" spans="20:21" s="450" customFormat="1">
      <c r="T1663" s="501"/>
      <c r="U1663" s="502"/>
    </row>
    <row r="1664" spans="20:21" s="450" customFormat="1">
      <c r="T1664" s="501"/>
      <c r="U1664" s="502"/>
    </row>
    <row r="1665" spans="20:21" s="450" customFormat="1">
      <c r="T1665" s="501"/>
      <c r="U1665" s="502"/>
    </row>
    <row r="1666" spans="20:21" s="450" customFormat="1">
      <c r="T1666" s="501"/>
      <c r="U1666" s="502"/>
    </row>
    <row r="1667" spans="20:21" s="450" customFormat="1">
      <c r="T1667" s="501"/>
      <c r="U1667" s="502"/>
    </row>
    <row r="1668" spans="20:21" s="450" customFormat="1">
      <c r="T1668" s="501"/>
      <c r="U1668" s="502"/>
    </row>
    <row r="1669" spans="20:21" s="450" customFormat="1">
      <c r="T1669" s="501"/>
      <c r="U1669" s="502"/>
    </row>
    <row r="1670" spans="20:21" s="450" customFormat="1">
      <c r="T1670" s="501"/>
      <c r="U1670" s="502"/>
    </row>
    <row r="1671" spans="20:21" s="450" customFormat="1">
      <c r="T1671" s="501"/>
      <c r="U1671" s="502"/>
    </row>
    <row r="1672" spans="20:21" s="450" customFormat="1">
      <c r="T1672" s="501"/>
      <c r="U1672" s="502"/>
    </row>
    <row r="1673" spans="20:21" s="450" customFormat="1">
      <c r="T1673" s="501"/>
      <c r="U1673" s="502"/>
    </row>
    <row r="1674" spans="20:21" s="450" customFormat="1">
      <c r="T1674" s="501"/>
      <c r="U1674" s="502"/>
    </row>
    <row r="1675" spans="20:21" s="450" customFormat="1">
      <c r="T1675" s="501"/>
      <c r="U1675" s="502"/>
    </row>
    <row r="1676" spans="20:21" s="450" customFormat="1">
      <c r="T1676" s="501"/>
      <c r="U1676" s="502"/>
    </row>
    <row r="1677" spans="20:21" s="450" customFormat="1">
      <c r="T1677" s="501"/>
      <c r="U1677" s="502"/>
    </row>
    <row r="1678" spans="20:21" s="450" customFormat="1">
      <c r="T1678" s="501"/>
      <c r="U1678" s="502"/>
    </row>
    <row r="1679" spans="20:21" s="450" customFormat="1">
      <c r="T1679" s="501"/>
      <c r="U1679" s="502"/>
    </row>
    <row r="1680" spans="20:21" s="450" customFormat="1">
      <c r="T1680" s="501"/>
      <c r="U1680" s="502"/>
    </row>
    <row r="1681" spans="20:21" s="450" customFormat="1">
      <c r="T1681" s="501"/>
      <c r="U1681" s="502"/>
    </row>
    <row r="1682" spans="20:21" s="450" customFormat="1">
      <c r="T1682" s="501"/>
      <c r="U1682" s="502"/>
    </row>
    <row r="1683" spans="20:21" s="450" customFormat="1">
      <c r="T1683" s="501"/>
      <c r="U1683" s="502"/>
    </row>
    <row r="1684" spans="20:21" s="450" customFormat="1">
      <c r="T1684" s="501"/>
      <c r="U1684" s="502"/>
    </row>
    <row r="1685" spans="20:21" s="450" customFormat="1">
      <c r="T1685" s="501"/>
      <c r="U1685" s="502"/>
    </row>
    <row r="1686" spans="20:21" s="450" customFormat="1">
      <c r="T1686" s="501"/>
      <c r="U1686" s="502"/>
    </row>
    <row r="1687" spans="20:21" s="450" customFormat="1">
      <c r="T1687" s="501"/>
      <c r="U1687" s="502"/>
    </row>
    <row r="1688" spans="20:21" s="450" customFormat="1">
      <c r="T1688" s="501"/>
      <c r="U1688" s="502"/>
    </row>
    <row r="1689" spans="20:21" s="450" customFormat="1">
      <c r="T1689" s="501"/>
      <c r="U1689" s="502"/>
    </row>
    <row r="1690" spans="20:21" s="450" customFormat="1">
      <c r="T1690" s="501"/>
      <c r="U1690" s="502"/>
    </row>
    <row r="1691" spans="20:21" s="450" customFormat="1">
      <c r="T1691" s="501"/>
      <c r="U1691" s="502"/>
    </row>
    <row r="1692" spans="20:21" s="450" customFormat="1">
      <c r="T1692" s="501"/>
      <c r="U1692" s="502"/>
    </row>
    <row r="1693" spans="20:21" s="450" customFormat="1">
      <c r="T1693" s="501"/>
      <c r="U1693" s="502"/>
    </row>
    <row r="1694" spans="20:21" s="450" customFormat="1">
      <c r="T1694" s="501"/>
      <c r="U1694" s="502"/>
    </row>
    <row r="1695" spans="20:21" s="450" customFormat="1">
      <c r="T1695" s="501"/>
      <c r="U1695" s="502"/>
    </row>
    <row r="1696" spans="20:21" s="450" customFormat="1">
      <c r="T1696" s="501"/>
      <c r="U1696" s="502"/>
    </row>
    <row r="1697" spans="20:21" s="450" customFormat="1">
      <c r="T1697" s="501"/>
      <c r="U1697" s="502"/>
    </row>
    <row r="1698" spans="20:21" s="450" customFormat="1">
      <c r="T1698" s="501"/>
      <c r="U1698" s="502"/>
    </row>
    <row r="1699" spans="20:21" s="450" customFormat="1">
      <c r="T1699" s="501"/>
      <c r="U1699" s="502"/>
    </row>
    <row r="1700" spans="20:21" s="450" customFormat="1">
      <c r="T1700" s="501"/>
      <c r="U1700" s="502"/>
    </row>
    <row r="1701" spans="20:21" s="450" customFormat="1">
      <c r="T1701" s="501"/>
      <c r="U1701" s="502"/>
    </row>
    <row r="1702" spans="20:21" s="450" customFormat="1">
      <c r="T1702" s="501"/>
      <c r="U1702" s="502"/>
    </row>
    <row r="1703" spans="20:21" s="450" customFormat="1">
      <c r="T1703" s="501"/>
      <c r="U1703" s="502"/>
    </row>
    <row r="1704" spans="20:21" s="450" customFormat="1">
      <c r="T1704" s="501"/>
      <c r="U1704" s="502"/>
    </row>
    <row r="1705" spans="20:21" s="450" customFormat="1">
      <c r="T1705" s="501"/>
      <c r="U1705" s="502"/>
    </row>
    <row r="1706" spans="20:21" s="450" customFormat="1">
      <c r="T1706" s="501"/>
      <c r="U1706" s="502"/>
    </row>
    <row r="1707" spans="20:21" s="450" customFormat="1">
      <c r="T1707" s="501"/>
      <c r="U1707" s="502"/>
    </row>
    <row r="1708" spans="20:21" s="450" customFormat="1">
      <c r="T1708" s="501"/>
      <c r="U1708" s="502"/>
    </row>
    <row r="1709" spans="20:21" s="450" customFormat="1">
      <c r="T1709" s="501"/>
      <c r="U1709" s="502"/>
    </row>
    <row r="1710" spans="20:21" s="450" customFormat="1">
      <c r="T1710" s="501"/>
      <c r="U1710" s="502"/>
    </row>
    <row r="1711" spans="20:21" s="450" customFormat="1">
      <c r="T1711" s="501"/>
      <c r="U1711" s="502"/>
    </row>
    <row r="1712" spans="20:21" s="450" customFormat="1">
      <c r="T1712" s="501"/>
      <c r="U1712" s="502"/>
    </row>
    <row r="1713" spans="20:21" s="450" customFormat="1">
      <c r="T1713" s="501"/>
      <c r="U1713" s="502"/>
    </row>
    <row r="1714" spans="20:21" s="450" customFormat="1">
      <c r="T1714" s="501"/>
      <c r="U1714" s="502"/>
    </row>
    <row r="1715" spans="20:21" s="450" customFormat="1">
      <c r="T1715" s="501"/>
      <c r="U1715" s="502"/>
    </row>
    <row r="1716" spans="20:21" s="450" customFormat="1">
      <c r="T1716" s="501"/>
      <c r="U1716" s="502"/>
    </row>
    <row r="1717" spans="20:21" s="450" customFormat="1">
      <c r="T1717" s="501"/>
      <c r="U1717" s="502"/>
    </row>
    <row r="1718" spans="20:21" s="450" customFormat="1">
      <c r="T1718" s="501"/>
      <c r="U1718" s="502"/>
    </row>
    <row r="1719" spans="20:21" s="450" customFormat="1">
      <c r="T1719" s="501"/>
      <c r="U1719" s="502"/>
    </row>
    <row r="1720" spans="20:21" s="450" customFormat="1">
      <c r="T1720" s="501"/>
      <c r="U1720" s="502"/>
    </row>
    <row r="1721" spans="20:21" s="450" customFormat="1">
      <c r="T1721" s="501"/>
      <c r="U1721" s="502"/>
    </row>
    <row r="1722" spans="20:21" s="450" customFormat="1">
      <c r="T1722" s="501"/>
      <c r="U1722" s="502"/>
    </row>
    <row r="1723" spans="20:21" s="450" customFormat="1">
      <c r="T1723" s="501"/>
      <c r="U1723" s="502"/>
    </row>
    <row r="1724" spans="20:21" s="450" customFormat="1">
      <c r="T1724" s="501"/>
      <c r="U1724" s="502"/>
    </row>
    <row r="1725" spans="20:21" s="450" customFormat="1">
      <c r="T1725" s="501"/>
      <c r="U1725" s="502"/>
    </row>
    <row r="1726" spans="20:21" s="450" customFormat="1">
      <c r="T1726" s="501"/>
      <c r="U1726" s="502"/>
    </row>
    <row r="1727" spans="20:21" s="450" customFormat="1">
      <c r="T1727" s="501"/>
      <c r="U1727" s="502"/>
    </row>
    <row r="1728" spans="20:21" s="450" customFormat="1">
      <c r="T1728" s="501"/>
      <c r="U1728" s="502"/>
    </row>
    <row r="1729" spans="20:21" s="450" customFormat="1">
      <c r="T1729" s="501"/>
      <c r="U1729" s="502"/>
    </row>
    <row r="1730" spans="20:21" s="450" customFormat="1">
      <c r="T1730" s="501"/>
      <c r="U1730" s="502"/>
    </row>
    <row r="1731" spans="20:21" s="450" customFormat="1">
      <c r="T1731" s="501"/>
      <c r="U1731" s="502"/>
    </row>
    <row r="1732" spans="20:21" s="450" customFormat="1">
      <c r="T1732" s="501"/>
      <c r="U1732" s="502"/>
    </row>
    <row r="1733" spans="20:21" s="450" customFormat="1">
      <c r="T1733" s="501"/>
      <c r="U1733" s="502"/>
    </row>
    <row r="1734" spans="20:21" s="450" customFormat="1">
      <c r="T1734" s="501"/>
      <c r="U1734" s="502"/>
    </row>
    <row r="1735" spans="20:21" s="450" customFormat="1">
      <c r="T1735" s="501"/>
      <c r="U1735" s="502"/>
    </row>
    <row r="1736" spans="20:21" s="450" customFormat="1">
      <c r="T1736" s="501"/>
      <c r="U1736" s="502"/>
    </row>
    <row r="1737" spans="20:21" s="450" customFormat="1">
      <c r="T1737" s="501"/>
      <c r="U1737" s="502"/>
    </row>
    <row r="1738" spans="20:21" s="450" customFormat="1">
      <c r="T1738" s="501"/>
      <c r="U1738" s="502"/>
    </row>
    <row r="1739" spans="20:21" s="450" customFormat="1">
      <c r="T1739" s="501"/>
      <c r="U1739" s="502"/>
    </row>
    <row r="1740" spans="20:21" s="450" customFormat="1">
      <c r="T1740" s="501"/>
      <c r="U1740" s="502"/>
    </row>
    <row r="1741" spans="20:21" s="450" customFormat="1">
      <c r="T1741" s="501"/>
      <c r="U1741" s="502"/>
    </row>
    <row r="1742" spans="20:21" s="450" customFormat="1">
      <c r="T1742" s="501"/>
      <c r="U1742" s="502"/>
    </row>
    <row r="1743" spans="20:21" s="450" customFormat="1">
      <c r="T1743" s="501"/>
      <c r="U1743" s="502"/>
    </row>
    <row r="1744" spans="20:21" s="450" customFormat="1">
      <c r="T1744" s="501"/>
      <c r="U1744" s="502"/>
    </row>
    <row r="1745" spans="20:21" s="450" customFormat="1">
      <c r="T1745" s="501"/>
      <c r="U1745" s="502"/>
    </row>
    <row r="1746" spans="20:21" s="450" customFormat="1">
      <c r="T1746" s="501"/>
      <c r="U1746" s="502"/>
    </row>
    <row r="1747" spans="20:21" s="450" customFormat="1">
      <c r="T1747" s="501"/>
      <c r="U1747" s="502"/>
    </row>
    <row r="1748" spans="20:21" s="450" customFormat="1">
      <c r="T1748" s="501"/>
      <c r="U1748" s="502"/>
    </row>
    <row r="1749" spans="20:21" s="450" customFormat="1">
      <c r="T1749" s="501"/>
      <c r="U1749" s="502"/>
    </row>
    <row r="1750" spans="20:21" s="450" customFormat="1">
      <c r="T1750" s="501"/>
      <c r="U1750" s="502"/>
    </row>
    <row r="1751" spans="20:21" s="450" customFormat="1">
      <c r="T1751" s="501"/>
      <c r="U1751" s="502"/>
    </row>
    <row r="1752" spans="20:21" s="450" customFormat="1">
      <c r="T1752" s="501"/>
      <c r="U1752" s="502"/>
    </row>
    <row r="1753" spans="20:21" s="450" customFormat="1">
      <c r="T1753" s="501"/>
      <c r="U1753" s="502"/>
    </row>
    <row r="1754" spans="20:21" s="450" customFormat="1">
      <c r="T1754" s="501"/>
      <c r="U1754" s="502"/>
    </row>
    <row r="1755" spans="20:21" s="450" customFormat="1">
      <c r="T1755" s="501"/>
      <c r="U1755" s="502"/>
    </row>
    <row r="1756" spans="20:21" s="450" customFormat="1">
      <c r="T1756" s="501"/>
      <c r="U1756" s="502"/>
    </row>
    <row r="1757" spans="20:21" s="450" customFormat="1">
      <c r="T1757" s="501"/>
      <c r="U1757" s="502"/>
    </row>
    <row r="1758" spans="20:21" s="450" customFormat="1">
      <c r="T1758" s="501"/>
      <c r="U1758" s="502"/>
    </row>
    <row r="1759" spans="20:21" s="450" customFormat="1">
      <c r="T1759" s="501"/>
      <c r="U1759" s="502"/>
    </row>
    <row r="1760" spans="20:21" s="450" customFormat="1">
      <c r="T1760" s="501"/>
      <c r="U1760" s="502"/>
    </row>
    <row r="1761" spans="20:21" s="450" customFormat="1">
      <c r="T1761" s="501"/>
      <c r="U1761" s="502"/>
    </row>
    <row r="1762" spans="20:21" s="450" customFormat="1">
      <c r="T1762" s="501"/>
      <c r="U1762" s="502"/>
    </row>
    <row r="1763" spans="20:21" s="450" customFormat="1">
      <c r="T1763" s="501"/>
      <c r="U1763" s="502"/>
    </row>
    <row r="1764" spans="20:21" s="450" customFormat="1">
      <c r="T1764" s="501"/>
      <c r="U1764" s="502"/>
    </row>
    <row r="1765" spans="20:21" s="450" customFormat="1">
      <c r="T1765" s="501"/>
      <c r="U1765" s="502"/>
    </row>
    <row r="1766" spans="20:21" s="450" customFormat="1">
      <c r="T1766" s="501"/>
      <c r="U1766" s="502"/>
    </row>
    <row r="1767" spans="20:21" s="450" customFormat="1">
      <c r="T1767" s="501"/>
      <c r="U1767" s="502"/>
    </row>
    <row r="1768" spans="20:21" s="450" customFormat="1">
      <c r="T1768" s="501"/>
      <c r="U1768" s="502"/>
    </row>
    <row r="1769" spans="20:21" s="450" customFormat="1">
      <c r="T1769" s="501"/>
      <c r="U1769" s="502"/>
    </row>
    <row r="1770" spans="20:21" s="450" customFormat="1">
      <c r="T1770" s="501"/>
      <c r="U1770" s="502"/>
    </row>
    <row r="1771" spans="20:21" s="450" customFormat="1">
      <c r="T1771" s="501"/>
      <c r="U1771" s="502"/>
    </row>
    <row r="1772" spans="20:21" s="450" customFormat="1">
      <c r="T1772" s="501"/>
      <c r="U1772" s="502"/>
    </row>
    <row r="1773" spans="20:21" s="450" customFormat="1">
      <c r="T1773" s="501"/>
      <c r="U1773" s="502"/>
    </row>
    <row r="1774" spans="20:21" s="450" customFormat="1">
      <c r="T1774" s="501"/>
      <c r="U1774" s="502"/>
    </row>
    <row r="1775" spans="20:21" s="450" customFormat="1">
      <c r="T1775" s="501"/>
      <c r="U1775" s="502"/>
    </row>
    <row r="1776" spans="20:21" s="450" customFormat="1">
      <c r="T1776" s="501"/>
      <c r="U1776" s="502"/>
    </row>
    <row r="1777" spans="20:21" s="450" customFormat="1">
      <c r="T1777" s="501"/>
      <c r="U1777" s="502"/>
    </row>
    <row r="1778" spans="20:21" s="450" customFormat="1">
      <c r="T1778" s="501"/>
      <c r="U1778" s="502"/>
    </row>
    <row r="1779" spans="20:21" s="450" customFormat="1">
      <c r="T1779" s="501"/>
      <c r="U1779" s="502"/>
    </row>
    <row r="1780" spans="20:21" s="450" customFormat="1">
      <c r="T1780" s="501"/>
      <c r="U1780" s="502"/>
    </row>
    <row r="1781" spans="20:21" s="450" customFormat="1">
      <c r="T1781" s="501"/>
      <c r="U1781" s="502"/>
    </row>
    <row r="1782" spans="20:21" s="450" customFormat="1">
      <c r="T1782" s="501"/>
      <c r="U1782" s="502"/>
    </row>
    <row r="1783" spans="20:21" s="450" customFormat="1">
      <c r="T1783" s="501"/>
      <c r="U1783" s="502"/>
    </row>
    <row r="1784" spans="20:21" s="450" customFormat="1">
      <c r="T1784" s="501"/>
      <c r="U1784" s="502"/>
    </row>
    <row r="1785" spans="20:21" s="450" customFormat="1">
      <c r="T1785" s="501"/>
      <c r="U1785" s="502"/>
    </row>
    <row r="1786" spans="20:21" s="450" customFormat="1">
      <c r="T1786" s="501"/>
      <c r="U1786" s="502"/>
    </row>
    <row r="1787" spans="20:21" s="450" customFormat="1">
      <c r="T1787" s="501"/>
      <c r="U1787" s="502"/>
    </row>
    <row r="1788" spans="20:21" s="450" customFormat="1">
      <c r="T1788" s="501"/>
      <c r="U1788" s="502"/>
    </row>
    <row r="1789" spans="20:21" s="450" customFormat="1">
      <c r="T1789" s="501"/>
      <c r="U1789" s="502"/>
    </row>
    <row r="1790" spans="20:21" s="450" customFormat="1">
      <c r="T1790" s="501"/>
      <c r="U1790" s="502"/>
    </row>
    <row r="1791" spans="20:21" s="450" customFormat="1">
      <c r="T1791" s="501"/>
      <c r="U1791" s="502"/>
    </row>
    <row r="1792" spans="20:21" s="450" customFormat="1">
      <c r="T1792" s="501"/>
      <c r="U1792" s="502"/>
    </row>
    <row r="1793" spans="20:21" s="450" customFormat="1">
      <c r="T1793" s="501"/>
      <c r="U1793" s="502"/>
    </row>
    <row r="1794" spans="20:21" s="450" customFormat="1">
      <c r="T1794" s="501"/>
      <c r="U1794" s="502"/>
    </row>
    <row r="1795" spans="20:21" s="450" customFormat="1">
      <c r="T1795" s="501"/>
      <c r="U1795" s="502"/>
    </row>
    <row r="1796" spans="20:21" s="450" customFormat="1">
      <c r="T1796" s="501"/>
      <c r="U1796" s="502"/>
    </row>
    <row r="1797" spans="20:21" s="450" customFormat="1">
      <c r="T1797" s="501"/>
      <c r="U1797" s="502"/>
    </row>
    <row r="1798" spans="20:21" s="450" customFormat="1">
      <c r="T1798" s="501"/>
      <c r="U1798" s="502"/>
    </row>
    <row r="1799" spans="20:21" s="450" customFormat="1">
      <c r="T1799" s="501"/>
      <c r="U1799" s="502"/>
    </row>
    <row r="1800" spans="20:21" s="450" customFormat="1">
      <c r="T1800" s="501"/>
      <c r="U1800" s="502"/>
    </row>
    <row r="1801" spans="20:21" s="450" customFormat="1">
      <c r="T1801" s="501"/>
      <c r="U1801" s="502"/>
    </row>
    <row r="1802" spans="20:21" s="450" customFormat="1">
      <c r="T1802" s="501"/>
      <c r="U1802" s="502"/>
    </row>
    <row r="1803" spans="20:21" s="450" customFormat="1">
      <c r="T1803" s="501"/>
      <c r="U1803" s="502"/>
    </row>
    <row r="1804" spans="20:21" s="450" customFormat="1">
      <c r="T1804" s="501"/>
      <c r="U1804" s="502"/>
    </row>
    <row r="1805" spans="20:21" s="450" customFormat="1">
      <c r="T1805" s="501"/>
      <c r="U1805" s="502"/>
    </row>
    <row r="1806" spans="20:21" s="450" customFormat="1">
      <c r="T1806" s="501"/>
      <c r="U1806" s="502"/>
    </row>
    <row r="1807" spans="20:21" s="450" customFormat="1">
      <c r="T1807" s="501"/>
      <c r="U1807" s="502"/>
    </row>
    <row r="1808" spans="20:21" s="450" customFormat="1">
      <c r="T1808" s="501"/>
      <c r="U1808" s="502"/>
    </row>
    <row r="1809" spans="20:21" s="450" customFormat="1">
      <c r="T1809" s="501"/>
      <c r="U1809" s="502"/>
    </row>
    <row r="1810" spans="20:21" s="450" customFormat="1">
      <c r="T1810" s="501"/>
      <c r="U1810" s="502"/>
    </row>
    <row r="1811" spans="20:21" s="450" customFormat="1">
      <c r="T1811" s="501"/>
      <c r="U1811" s="502"/>
    </row>
    <row r="1812" spans="20:21" s="450" customFormat="1">
      <c r="T1812" s="501"/>
      <c r="U1812" s="502"/>
    </row>
    <row r="1813" spans="20:21" s="450" customFormat="1">
      <c r="T1813" s="501"/>
      <c r="U1813" s="502"/>
    </row>
    <row r="1814" spans="20:21" s="450" customFormat="1">
      <c r="T1814" s="501"/>
      <c r="U1814" s="502"/>
    </row>
    <row r="1815" spans="20:21" s="450" customFormat="1">
      <c r="T1815" s="501"/>
      <c r="U1815" s="502"/>
    </row>
    <row r="1816" spans="20:21" s="450" customFormat="1">
      <c r="T1816" s="501"/>
      <c r="U1816" s="502"/>
    </row>
    <row r="1817" spans="20:21" s="450" customFormat="1">
      <c r="T1817" s="501"/>
      <c r="U1817" s="502"/>
    </row>
    <row r="1818" spans="20:21" s="450" customFormat="1">
      <c r="T1818" s="501"/>
      <c r="U1818" s="502"/>
    </row>
    <row r="1819" spans="20:21" s="450" customFormat="1">
      <c r="T1819" s="501"/>
      <c r="U1819" s="502"/>
    </row>
    <row r="1820" spans="20:21" s="450" customFormat="1">
      <c r="T1820" s="501"/>
      <c r="U1820" s="502"/>
    </row>
    <row r="1821" spans="20:21" s="450" customFormat="1">
      <c r="T1821" s="501"/>
      <c r="U1821" s="502"/>
    </row>
    <row r="1822" spans="20:21" s="450" customFormat="1">
      <c r="T1822" s="501"/>
      <c r="U1822" s="502"/>
    </row>
    <row r="1823" spans="20:21" s="450" customFormat="1">
      <c r="T1823" s="501"/>
      <c r="U1823" s="502"/>
    </row>
    <row r="1824" spans="20:21" s="450" customFormat="1">
      <c r="T1824" s="501"/>
      <c r="U1824" s="502"/>
    </row>
    <row r="1825" spans="20:21" s="450" customFormat="1">
      <c r="T1825" s="501"/>
      <c r="U1825" s="502"/>
    </row>
    <row r="1826" spans="20:21" s="450" customFormat="1">
      <c r="T1826" s="501"/>
      <c r="U1826" s="502"/>
    </row>
    <row r="1827" spans="20:21" s="450" customFormat="1">
      <c r="T1827" s="501"/>
      <c r="U1827" s="502"/>
    </row>
    <row r="1828" spans="20:21" s="450" customFormat="1">
      <c r="T1828" s="501"/>
      <c r="U1828" s="502"/>
    </row>
    <row r="1829" spans="20:21" s="450" customFormat="1">
      <c r="T1829" s="501"/>
      <c r="U1829" s="502"/>
    </row>
    <row r="1830" spans="20:21" s="450" customFormat="1">
      <c r="T1830" s="501"/>
      <c r="U1830" s="502"/>
    </row>
    <row r="1831" spans="20:21" s="450" customFormat="1">
      <c r="T1831" s="501"/>
      <c r="U1831" s="502"/>
    </row>
    <row r="1832" spans="20:21" s="450" customFormat="1">
      <c r="T1832" s="501"/>
      <c r="U1832" s="502"/>
    </row>
    <row r="1833" spans="20:21" s="450" customFormat="1">
      <c r="T1833" s="501"/>
      <c r="U1833" s="502"/>
    </row>
    <row r="1834" spans="20:21" s="450" customFormat="1">
      <c r="T1834" s="501"/>
      <c r="U1834" s="502"/>
    </row>
    <row r="1835" spans="20:21" s="450" customFormat="1">
      <c r="T1835" s="501"/>
      <c r="U1835" s="502"/>
    </row>
    <row r="1836" spans="20:21" s="450" customFormat="1">
      <c r="T1836" s="501"/>
      <c r="U1836" s="502"/>
    </row>
    <row r="1837" spans="20:21" s="450" customFormat="1">
      <c r="T1837" s="501"/>
      <c r="U1837" s="502"/>
    </row>
    <row r="1838" spans="20:21" s="450" customFormat="1">
      <c r="T1838" s="501"/>
      <c r="U1838" s="502"/>
    </row>
    <row r="1839" spans="20:21" s="450" customFormat="1">
      <c r="T1839" s="501"/>
      <c r="U1839" s="502"/>
    </row>
    <row r="1840" spans="20:21" s="450" customFormat="1">
      <c r="T1840" s="501"/>
      <c r="U1840" s="502"/>
    </row>
    <row r="1841" spans="20:21" s="450" customFormat="1">
      <c r="T1841" s="501"/>
      <c r="U1841" s="502"/>
    </row>
    <row r="1842" spans="20:21" s="450" customFormat="1">
      <c r="T1842" s="501"/>
      <c r="U1842" s="502"/>
    </row>
    <row r="1843" spans="20:21" s="450" customFormat="1">
      <c r="T1843" s="501"/>
      <c r="U1843" s="502"/>
    </row>
    <row r="1844" spans="20:21" s="450" customFormat="1">
      <c r="T1844" s="501"/>
      <c r="U1844" s="502"/>
    </row>
    <row r="1845" spans="20:21" s="450" customFormat="1">
      <c r="T1845" s="501"/>
      <c r="U1845" s="502"/>
    </row>
    <row r="1846" spans="20:21" s="450" customFormat="1">
      <c r="T1846" s="501"/>
      <c r="U1846" s="502"/>
    </row>
    <row r="1847" spans="20:21" s="450" customFormat="1">
      <c r="T1847" s="501"/>
      <c r="U1847" s="502"/>
    </row>
    <row r="1848" spans="20:21" s="450" customFormat="1">
      <c r="T1848" s="501"/>
      <c r="U1848" s="502"/>
    </row>
    <row r="1849" spans="20:21" s="450" customFormat="1">
      <c r="T1849" s="501"/>
      <c r="U1849" s="502"/>
    </row>
    <row r="1850" spans="20:21" s="450" customFormat="1">
      <c r="T1850" s="501"/>
      <c r="U1850" s="502"/>
    </row>
    <row r="1851" spans="20:21" s="450" customFormat="1">
      <c r="T1851" s="501"/>
      <c r="U1851" s="502"/>
    </row>
    <row r="1852" spans="20:21" s="450" customFormat="1">
      <c r="T1852" s="501"/>
      <c r="U1852" s="502"/>
    </row>
    <row r="1853" spans="20:21" s="450" customFormat="1">
      <c r="T1853" s="501"/>
      <c r="U1853" s="502"/>
    </row>
    <row r="1854" spans="20:21" s="450" customFormat="1">
      <c r="T1854" s="501"/>
      <c r="U1854" s="502"/>
    </row>
    <row r="1855" spans="20:21" s="450" customFormat="1">
      <c r="T1855" s="501"/>
      <c r="U1855" s="502"/>
    </row>
    <row r="1856" spans="20:21" s="450" customFormat="1">
      <c r="T1856" s="501"/>
      <c r="U1856" s="502"/>
    </row>
    <row r="1857" spans="20:21" s="450" customFormat="1">
      <c r="T1857" s="501"/>
      <c r="U1857" s="502"/>
    </row>
    <row r="1858" spans="20:21" s="450" customFormat="1">
      <c r="T1858" s="501"/>
      <c r="U1858" s="502"/>
    </row>
    <row r="1859" spans="20:21" s="450" customFormat="1">
      <c r="T1859" s="501"/>
      <c r="U1859" s="502"/>
    </row>
    <row r="1860" spans="20:21" s="450" customFormat="1">
      <c r="T1860" s="501"/>
      <c r="U1860" s="502"/>
    </row>
    <row r="1861" spans="20:21" s="450" customFormat="1">
      <c r="T1861" s="501"/>
      <c r="U1861" s="502"/>
    </row>
    <row r="1862" spans="20:21" s="450" customFormat="1">
      <c r="T1862" s="501"/>
      <c r="U1862" s="502"/>
    </row>
    <row r="1863" spans="20:21" s="450" customFormat="1">
      <c r="T1863" s="501"/>
      <c r="U1863" s="502"/>
    </row>
    <row r="1864" spans="20:21" s="450" customFormat="1">
      <c r="T1864" s="501"/>
      <c r="U1864" s="502"/>
    </row>
    <row r="1865" spans="20:21" s="450" customFormat="1">
      <c r="T1865" s="501"/>
      <c r="U1865" s="502"/>
    </row>
    <row r="1866" spans="20:21" s="450" customFormat="1">
      <c r="T1866" s="501"/>
      <c r="U1866" s="502"/>
    </row>
    <row r="1867" spans="20:21" s="450" customFormat="1">
      <c r="T1867" s="501"/>
      <c r="U1867" s="502"/>
    </row>
    <row r="1868" spans="20:21" s="450" customFormat="1">
      <c r="T1868" s="501"/>
      <c r="U1868" s="502"/>
    </row>
    <row r="1869" spans="20:21" s="450" customFormat="1">
      <c r="T1869" s="501"/>
      <c r="U1869" s="502"/>
    </row>
    <row r="1870" spans="20:21" s="450" customFormat="1">
      <c r="T1870" s="501"/>
      <c r="U1870" s="502"/>
    </row>
    <row r="1871" spans="20:21" s="450" customFormat="1">
      <c r="T1871" s="501"/>
      <c r="U1871" s="502"/>
    </row>
    <row r="1872" spans="20:21" s="450" customFormat="1">
      <c r="T1872" s="501"/>
      <c r="U1872" s="502"/>
    </row>
    <row r="1873" spans="20:21" s="450" customFormat="1">
      <c r="T1873" s="501"/>
      <c r="U1873" s="502"/>
    </row>
    <row r="1874" spans="20:21" s="450" customFormat="1">
      <c r="T1874" s="501"/>
      <c r="U1874" s="502"/>
    </row>
    <row r="1875" spans="20:21" s="450" customFormat="1">
      <c r="T1875" s="501"/>
      <c r="U1875" s="502"/>
    </row>
    <row r="1876" spans="20:21" s="450" customFormat="1">
      <c r="T1876" s="501"/>
      <c r="U1876" s="502"/>
    </row>
    <row r="1877" spans="20:21" s="450" customFormat="1">
      <c r="T1877" s="501"/>
      <c r="U1877" s="502"/>
    </row>
    <row r="1878" spans="20:21" s="450" customFormat="1">
      <c r="T1878" s="501"/>
      <c r="U1878" s="502"/>
    </row>
    <row r="1879" spans="20:21" s="450" customFormat="1">
      <c r="T1879" s="501"/>
      <c r="U1879" s="502"/>
    </row>
    <row r="1880" spans="20:21" s="450" customFormat="1">
      <c r="T1880" s="501"/>
      <c r="U1880" s="502"/>
    </row>
    <row r="1881" spans="20:21" s="450" customFormat="1">
      <c r="T1881" s="501"/>
      <c r="U1881" s="502"/>
    </row>
    <row r="1882" spans="20:21" s="450" customFormat="1">
      <c r="T1882" s="501"/>
      <c r="U1882" s="502"/>
    </row>
    <row r="1883" spans="20:21" s="450" customFormat="1">
      <c r="T1883" s="501"/>
      <c r="U1883" s="502"/>
    </row>
    <row r="1884" spans="20:21" s="450" customFormat="1">
      <c r="T1884" s="501"/>
      <c r="U1884" s="502"/>
    </row>
    <row r="1885" spans="20:21" s="450" customFormat="1">
      <c r="T1885" s="501"/>
      <c r="U1885" s="502"/>
    </row>
    <row r="1886" spans="20:21" s="450" customFormat="1">
      <c r="T1886" s="501"/>
      <c r="U1886" s="502"/>
    </row>
    <row r="1887" spans="20:21" s="450" customFormat="1">
      <c r="T1887" s="501"/>
      <c r="U1887" s="502"/>
    </row>
    <row r="1888" spans="20:21" s="450" customFormat="1">
      <c r="T1888" s="501"/>
      <c r="U1888" s="502"/>
    </row>
    <row r="1889" spans="20:21" s="450" customFormat="1">
      <c r="T1889" s="501"/>
      <c r="U1889" s="502"/>
    </row>
    <row r="1890" spans="20:21" s="450" customFormat="1">
      <c r="T1890" s="501"/>
      <c r="U1890" s="502"/>
    </row>
    <row r="1891" spans="20:21" s="450" customFormat="1">
      <c r="T1891" s="501"/>
      <c r="U1891" s="502"/>
    </row>
    <row r="1892" spans="20:21" s="450" customFormat="1">
      <c r="T1892" s="501"/>
      <c r="U1892" s="502"/>
    </row>
    <row r="1893" spans="20:21" s="450" customFormat="1">
      <c r="T1893" s="501"/>
      <c r="U1893" s="502"/>
    </row>
    <row r="1894" spans="20:21" s="450" customFormat="1">
      <c r="T1894" s="501"/>
      <c r="U1894" s="502"/>
    </row>
    <row r="1895" spans="20:21" s="450" customFormat="1">
      <c r="T1895" s="501"/>
      <c r="U1895" s="502"/>
    </row>
    <row r="1896" spans="20:21" s="450" customFormat="1">
      <c r="T1896" s="501"/>
      <c r="U1896" s="502"/>
    </row>
    <row r="1897" spans="20:21" s="450" customFormat="1">
      <c r="T1897" s="501"/>
      <c r="U1897" s="502"/>
    </row>
    <row r="1898" spans="20:21" s="450" customFormat="1">
      <c r="T1898" s="501"/>
      <c r="U1898" s="502"/>
    </row>
    <row r="1899" spans="20:21" s="450" customFormat="1">
      <c r="T1899" s="501"/>
      <c r="U1899" s="502"/>
    </row>
    <row r="1900" spans="20:21" s="450" customFormat="1">
      <c r="T1900" s="501"/>
      <c r="U1900" s="502"/>
    </row>
    <row r="1901" spans="20:21" s="450" customFormat="1">
      <c r="T1901" s="501"/>
      <c r="U1901" s="502"/>
    </row>
    <row r="1902" spans="20:21" s="450" customFormat="1">
      <c r="T1902" s="501"/>
      <c r="U1902" s="502"/>
    </row>
    <row r="1903" spans="20:21" s="450" customFormat="1">
      <c r="T1903" s="501"/>
      <c r="U1903" s="502"/>
    </row>
    <row r="1904" spans="20:21" s="450" customFormat="1">
      <c r="T1904" s="501"/>
      <c r="U1904" s="502"/>
    </row>
    <row r="1905" spans="20:21" s="450" customFormat="1">
      <c r="T1905" s="501"/>
      <c r="U1905" s="502"/>
    </row>
    <row r="1906" spans="20:21" s="450" customFormat="1">
      <c r="T1906" s="501"/>
      <c r="U1906" s="502"/>
    </row>
    <row r="1907" spans="20:21" s="450" customFormat="1">
      <c r="T1907" s="501"/>
      <c r="U1907" s="502"/>
    </row>
    <row r="1908" spans="20:21" s="450" customFormat="1">
      <c r="T1908" s="501"/>
      <c r="U1908" s="502"/>
    </row>
    <row r="1909" spans="20:21" s="450" customFormat="1">
      <c r="T1909" s="501"/>
      <c r="U1909" s="502"/>
    </row>
    <row r="1910" spans="20:21" s="450" customFormat="1">
      <c r="T1910" s="501"/>
      <c r="U1910" s="502"/>
    </row>
    <row r="1911" spans="20:21" s="450" customFormat="1">
      <c r="T1911" s="501"/>
      <c r="U1911" s="502"/>
    </row>
    <row r="1912" spans="20:21" s="450" customFormat="1">
      <c r="T1912" s="501"/>
      <c r="U1912" s="502"/>
    </row>
    <row r="1913" spans="20:21" s="450" customFormat="1">
      <c r="T1913" s="501"/>
      <c r="U1913" s="502"/>
    </row>
  </sheetData>
  <autoFilter ref="A1:IU120"/>
  <conditionalFormatting sqref="I115 G112:H112 AP98:AR100 AP94:AR94 AP90:AR91 AP86:AR86 AP26:AR36 AB110 AB112 G113:I114 AP5:AR24 AC110:AE112 AC115:AE115 AP105:AR117 AP38:AR84 AP119:AR121 G5:I109 G116:I121 K121:S121 AN5:AN121 AI5:AJ121 AB116:AE121 AB6:AE109 AB113:AE114 O4:R4 Q3:R3 K116:R120 S3:U111 X20:X29 V3:W29 V33:AA111 Q2:AA2 Z5:AE5 Z3:AA4 X3:Y19 V30:X32 Z6:AA32 Y20:Y32 K5:R114 Q115:R115 T112:AA121">
    <cfRule type="cellIs" dxfId="27" priority="24" stopIfTrue="1" operator="equal">
      <formula>"data"</formula>
    </cfRule>
  </conditionalFormatting>
  <conditionalFormatting sqref="G110:H110">
    <cfRule type="cellIs" dxfId="26" priority="23" stopIfTrue="1" operator="equal">
      <formula>"data"</formula>
    </cfRule>
  </conditionalFormatting>
  <conditionalFormatting sqref="I110">
    <cfRule type="cellIs" dxfId="25" priority="22" stopIfTrue="1" operator="equal">
      <formula>"data"</formula>
    </cfRule>
  </conditionalFormatting>
  <conditionalFormatting sqref="AB111 G111:H111">
    <cfRule type="cellIs" dxfId="24" priority="21" stopIfTrue="1" operator="equal">
      <formula>"data"</formula>
    </cfRule>
  </conditionalFormatting>
  <conditionalFormatting sqref="I111:I112">
    <cfRule type="cellIs" dxfId="23" priority="20" stopIfTrue="1" operator="equal">
      <formula>"data"</formula>
    </cfRule>
  </conditionalFormatting>
  <conditionalFormatting sqref="M115:P115 K115 G115 AB115">
    <cfRule type="cellIs" dxfId="22" priority="19" stopIfTrue="1" operator="equal">
      <formula>"data"</formula>
    </cfRule>
  </conditionalFormatting>
  <conditionalFormatting sqref="L115">
    <cfRule type="cellIs" dxfId="21" priority="18" stopIfTrue="1" operator="equal">
      <formula>"data"</formula>
    </cfRule>
  </conditionalFormatting>
  <conditionalFormatting sqref="AP118">
    <cfRule type="cellIs" dxfId="20" priority="17" stopIfTrue="1" operator="equal">
      <formula>"data"</formula>
    </cfRule>
  </conditionalFormatting>
  <conditionalFormatting sqref="AQ118">
    <cfRule type="cellIs" dxfId="19" priority="16" stopIfTrue="1" operator="equal">
      <formula>"data"</formula>
    </cfRule>
  </conditionalFormatting>
  <conditionalFormatting sqref="AR118">
    <cfRule type="cellIs" dxfId="18" priority="15" stopIfTrue="1" operator="equal">
      <formula>"data"</formula>
    </cfRule>
  </conditionalFormatting>
  <conditionalFormatting sqref="G4:I4 K4:N4">
    <cfRule type="cellIs" dxfId="17" priority="14" stopIfTrue="1" operator="equal">
      <formula>"data"</formula>
    </cfRule>
  </conditionalFormatting>
  <conditionalFormatting sqref="AB4:AE4">
    <cfRule type="cellIs" dxfId="16" priority="13" stopIfTrue="1" operator="equal">
      <formula>"data"</formula>
    </cfRule>
  </conditionalFormatting>
  <conditionalFormatting sqref="AI4:AJ4">
    <cfRule type="cellIs" dxfId="15" priority="12" stopIfTrue="1" operator="equal">
      <formula>"data"</formula>
    </cfRule>
  </conditionalFormatting>
  <conditionalFormatting sqref="AP4:AR4 AN4">
    <cfRule type="cellIs" dxfId="14" priority="11" stopIfTrue="1" operator="equal">
      <formula>"data"</formula>
    </cfRule>
  </conditionalFormatting>
  <conditionalFormatting sqref="O2:P3">
    <cfRule type="cellIs" dxfId="13" priority="10" stopIfTrue="1" operator="equal">
      <formula>"data"</formula>
    </cfRule>
  </conditionalFormatting>
  <conditionalFormatting sqref="G2:I2 G3:H3">
    <cfRule type="cellIs" dxfId="12" priority="9" stopIfTrue="1" operator="equal">
      <formula>"data"</formula>
    </cfRule>
  </conditionalFormatting>
  <conditionalFormatting sqref="AC2:AE3">
    <cfRule type="cellIs" dxfId="11" priority="8" stopIfTrue="1" operator="equal">
      <formula>"data"</formula>
    </cfRule>
  </conditionalFormatting>
  <conditionalFormatting sqref="AI2:AJ3">
    <cfRule type="cellIs" dxfId="10" priority="7" stopIfTrue="1" operator="equal">
      <formula>"data"</formula>
    </cfRule>
  </conditionalFormatting>
  <conditionalFormatting sqref="AP2:AR3 AN2:AN3">
    <cfRule type="cellIs" dxfId="9" priority="6" stopIfTrue="1" operator="equal">
      <formula>"data"</formula>
    </cfRule>
  </conditionalFormatting>
  <conditionalFormatting sqref="K2:N2">
    <cfRule type="cellIs" dxfId="8" priority="5" stopIfTrue="1" operator="equal">
      <formula>"data"</formula>
    </cfRule>
  </conditionalFormatting>
  <conditionalFormatting sqref="AB2:AB3">
    <cfRule type="cellIs" dxfId="7" priority="4" stopIfTrue="1" operator="equal">
      <formula>"data"</formula>
    </cfRule>
  </conditionalFormatting>
  <conditionalFormatting sqref="I3">
    <cfRule type="cellIs" dxfId="6" priority="3" stopIfTrue="1" operator="equal">
      <formula>"data"</formula>
    </cfRule>
  </conditionalFormatting>
  <conditionalFormatting sqref="K3:N3">
    <cfRule type="cellIs" dxfId="5" priority="2" stopIfTrue="1" operator="equal">
      <formula>"data"</formula>
    </cfRule>
  </conditionalFormatting>
  <conditionalFormatting sqref="S112:S120">
    <cfRule type="cellIs" dxfId="4" priority="1" stopIfTrue="1" operator="equal">
      <formula>"data"</formula>
    </cfRule>
  </conditionalFormatting>
  <dataValidations disablePrompts="1" count="4">
    <dataValidation type="date" allowBlank="1" showInputMessage="1" showErrorMessage="1" errorTitle="Wrong date" error="Must be between Jan 12 and Mar 13 inclusive" promptTitle="Today's date" prompt="Use &lt;ctrl&gt;; for today" sqref="B110:B112 B115">
      <formula1>40909</formula1>
      <formula2>41729</formula2>
    </dataValidation>
    <dataValidation type="date" allowBlank="1" showInputMessage="1" showErrorMessage="1" errorTitle="Wrong date" error="Must be between Jan 12 and Mar 13 inclusive" promptTitle="Today's date" prompt="Use &lt;ctrl&gt;; for today" sqref="B113:B114 B116:B117 B119:B120 B1 B4:B109">
      <formula1>40909</formula1>
      <formula2>41364</formula2>
    </dataValidation>
    <dataValidation type="list" showInputMessage="1" showErrorMessage="1" errorTitle="Person not known" error="Must be a member of SFT or guest" promptTitle="Initials" prompt="Initials of person entering data" sqref="C1">
      <formula1>"CB,CG,SM,MC,Guest,cb,cg,sm,mc,guest,GUEST"</formula1>
    </dataValidation>
    <dataValidation type="list" allowBlank="1" showInputMessage="1" showErrorMessage="1" errorTitle="Incorrect run" error="Choose from drop down box" promptTitle="Stage of budget" prompt="Tracks adjustments" sqref="D1">
      <formula1>"Provisional, Part Year, Original, September,December, March"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Q110"/>
  <sheetViews>
    <sheetView workbookViewId="0">
      <pane xSplit="2" ySplit="3" topLeftCell="C4" activePane="bottomRight" state="frozen"/>
      <selection activeCell="P27" sqref="P27"/>
      <selection pane="topRight" activeCell="P27" sqref="P27"/>
      <selection pane="bottomLeft" activeCell="P27" sqref="P27"/>
      <selection pane="bottomRight" activeCell="P27" sqref="P27"/>
    </sheetView>
  </sheetViews>
  <sheetFormatPr defaultRowHeight="12.75"/>
  <cols>
    <col min="2" max="2" width="28.140625" customWidth="1"/>
    <col min="6" max="6" width="9.140625" style="417"/>
    <col min="7" max="7" width="12.28515625" bestFit="1" customWidth="1"/>
    <col min="8" max="8" width="10.28515625" bestFit="1" customWidth="1"/>
    <col min="9" max="9" width="11.28515625" bestFit="1" customWidth="1"/>
    <col min="10" max="10" width="4.7109375" bestFit="1" customWidth="1"/>
    <col min="11" max="15" width="10.28515625" bestFit="1" customWidth="1"/>
    <col min="16" max="17" width="8.7109375" bestFit="1" customWidth="1"/>
    <col min="18" max="19" width="10.28515625" bestFit="1" customWidth="1"/>
    <col min="20" max="20" width="8.7109375" bestFit="1" customWidth="1"/>
    <col min="21" max="21" width="10.28515625" bestFit="1" customWidth="1"/>
    <col min="22" max="23" width="8.7109375" bestFit="1" customWidth="1"/>
    <col min="24" max="24" width="11.28515625" bestFit="1" customWidth="1"/>
    <col min="25" max="25" width="8.7109375" bestFit="1" customWidth="1"/>
    <col min="26" max="26" width="11.28515625" bestFit="1" customWidth="1"/>
    <col min="27" max="28" width="10.28515625" bestFit="1" customWidth="1"/>
    <col min="29" max="29" width="8.7109375" bestFit="1" customWidth="1"/>
    <col min="30" max="33" width="10.28515625" bestFit="1" customWidth="1"/>
    <col min="34" max="34" width="8.7109375" bestFit="1" customWidth="1"/>
    <col min="35" max="35" width="10.28515625" bestFit="1" customWidth="1"/>
    <col min="36" max="36" width="8.7109375" bestFit="1" customWidth="1"/>
    <col min="37" max="37" width="10.28515625" bestFit="1" customWidth="1"/>
    <col min="38" max="38" width="8.7109375" bestFit="1" customWidth="1"/>
    <col min="39" max="43" width="10.28515625" bestFit="1" customWidth="1"/>
    <col min="44" max="44" width="8.7109375" bestFit="1" customWidth="1"/>
    <col min="45" max="46" width="10.28515625" bestFit="1" customWidth="1"/>
    <col min="47" max="47" width="8.7109375" bestFit="1" customWidth="1"/>
    <col min="48" max="51" width="10.28515625" bestFit="1" customWidth="1"/>
    <col min="52" max="52" width="4.7109375" bestFit="1" customWidth="1"/>
    <col min="53" max="54" width="10.28515625" bestFit="1" customWidth="1"/>
    <col min="55" max="57" width="8.7109375" bestFit="1" customWidth="1"/>
    <col min="58" max="58" width="10.28515625" bestFit="1" customWidth="1"/>
    <col min="59" max="59" width="5.42578125" bestFit="1" customWidth="1"/>
    <col min="60" max="60" width="10.28515625" bestFit="1" customWidth="1"/>
    <col min="61" max="61" width="8.7109375" bestFit="1" customWidth="1"/>
    <col min="62" max="63" width="10.28515625" bestFit="1" customWidth="1"/>
    <col min="64" max="64" width="11.28515625" bestFit="1" customWidth="1"/>
    <col min="65" max="66" width="7.7109375" bestFit="1" customWidth="1"/>
    <col min="67" max="67" width="8.7109375" bestFit="1" customWidth="1"/>
    <col min="68" max="68" width="15.42578125" bestFit="1" customWidth="1"/>
    <col min="69" max="69" width="3.140625" bestFit="1" customWidth="1"/>
  </cols>
  <sheetData>
    <row r="1" spans="1:69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60</v>
      </c>
      <c r="BH1">
        <v>61</v>
      </c>
      <c r="BI1">
        <v>62</v>
      </c>
      <c r="BJ1">
        <v>63</v>
      </c>
      <c r="BK1">
        <v>64</v>
      </c>
      <c r="BL1">
        <v>65</v>
      </c>
      <c r="BM1">
        <v>66</v>
      </c>
      <c r="BN1">
        <v>67</v>
      </c>
      <c r="BO1">
        <v>68</v>
      </c>
      <c r="BP1">
        <v>69</v>
      </c>
      <c r="BQ1">
        <v>70</v>
      </c>
    </row>
    <row r="2" spans="1:69">
      <c r="A2" s="621" t="s">
        <v>218</v>
      </c>
      <c r="B2" s="622"/>
      <c r="C2" s="621" t="s">
        <v>386</v>
      </c>
      <c r="D2" s="622"/>
      <c r="E2" s="622"/>
      <c r="F2" s="415"/>
      <c r="G2" s="623" t="s">
        <v>216</v>
      </c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5"/>
      <c r="X2" s="626" t="s">
        <v>217</v>
      </c>
      <c r="Y2" s="627"/>
      <c r="Z2" s="627"/>
      <c r="AA2" s="627"/>
      <c r="AB2" s="627"/>
      <c r="AC2" s="627"/>
      <c r="AD2" s="627"/>
      <c r="AE2" s="627"/>
      <c r="AF2" s="627"/>
      <c r="AG2" s="627"/>
      <c r="AH2" s="627"/>
      <c r="AI2" s="627"/>
      <c r="AJ2" s="627"/>
      <c r="AK2" s="627"/>
      <c r="AL2" s="627"/>
      <c r="AM2" s="627"/>
      <c r="AN2" s="627"/>
      <c r="AO2" s="627"/>
      <c r="AP2" s="627"/>
      <c r="AQ2" s="627"/>
      <c r="AR2" s="627"/>
      <c r="AS2" s="627"/>
      <c r="AT2" s="627"/>
      <c r="AU2" s="627"/>
      <c r="AV2" s="627"/>
      <c r="AW2" s="627"/>
      <c r="AX2" s="627"/>
      <c r="AY2" s="627"/>
      <c r="AZ2" s="627"/>
      <c r="BA2" s="627"/>
      <c r="BB2" s="627"/>
      <c r="BC2" s="628"/>
      <c r="BD2" s="629" t="s">
        <v>387</v>
      </c>
      <c r="BE2" s="630"/>
      <c r="BF2" s="630"/>
      <c r="BG2" s="630"/>
      <c r="BH2" s="630"/>
      <c r="BI2" s="630"/>
      <c r="BJ2" s="630"/>
      <c r="BK2" s="621" t="s">
        <v>388</v>
      </c>
      <c r="BL2" s="622"/>
      <c r="BM2" s="622"/>
      <c r="BN2" s="622"/>
      <c r="BO2" s="629"/>
      <c r="BP2" s="660" t="s">
        <v>674</v>
      </c>
    </row>
    <row r="3" spans="1:69" ht="25.5">
      <c r="A3" s="69" t="s">
        <v>219</v>
      </c>
      <c r="B3" s="69" t="s">
        <v>133</v>
      </c>
      <c r="C3" s="70" t="s">
        <v>389</v>
      </c>
      <c r="D3" s="70" t="s">
        <v>390</v>
      </c>
      <c r="E3" s="70" t="s">
        <v>391</v>
      </c>
      <c r="F3" s="418" t="s">
        <v>691</v>
      </c>
      <c r="G3" s="412" t="s">
        <v>220</v>
      </c>
      <c r="H3" s="70" t="s">
        <v>221</v>
      </c>
      <c r="I3" s="70" t="s">
        <v>222</v>
      </c>
      <c r="J3" s="70" t="s">
        <v>223</v>
      </c>
      <c r="K3" s="70" t="s">
        <v>224</v>
      </c>
      <c r="L3" s="70" t="s">
        <v>225</v>
      </c>
      <c r="M3" s="70" t="s">
        <v>226</v>
      </c>
      <c r="N3" s="70" t="s">
        <v>227</v>
      </c>
      <c r="O3" s="70" t="s">
        <v>228</v>
      </c>
      <c r="P3" s="70" t="s">
        <v>229</v>
      </c>
      <c r="Q3" s="70" t="s">
        <v>230</v>
      </c>
      <c r="R3" s="70" t="s">
        <v>231</v>
      </c>
      <c r="S3" s="70" t="s">
        <v>232</v>
      </c>
      <c r="T3" s="70" t="s">
        <v>233</v>
      </c>
      <c r="U3" s="70" t="s">
        <v>234</v>
      </c>
      <c r="V3" s="70" t="s">
        <v>235</v>
      </c>
      <c r="W3" s="69" t="s">
        <v>461</v>
      </c>
      <c r="X3" s="70" t="s">
        <v>236</v>
      </c>
      <c r="Y3" s="70" t="s">
        <v>237</v>
      </c>
      <c r="Z3" s="70" t="s">
        <v>238</v>
      </c>
      <c r="AA3" s="70" t="s">
        <v>239</v>
      </c>
      <c r="AB3" s="70" t="s">
        <v>240</v>
      </c>
      <c r="AC3" s="70" t="s">
        <v>241</v>
      </c>
      <c r="AD3" s="70" t="s">
        <v>242</v>
      </c>
      <c r="AE3" s="70" t="s">
        <v>243</v>
      </c>
      <c r="AF3" s="70" t="s">
        <v>244</v>
      </c>
      <c r="AG3" s="70" t="s">
        <v>245</v>
      </c>
      <c r="AH3" s="70" t="s">
        <v>246</v>
      </c>
      <c r="AI3" s="70" t="s">
        <v>247</v>
      </c>
      <c r="AJ3" s="70" t="s">
        <v>248</v>
      </c>
      <c r="AK3" s="70" t="s">
        <v>249</v>
      </c>
      <c r="AL3" s="70" t="s">
        <v>250</v>
      </c>
      <c r="AM3" s="70" t="s">
        <v>251</v>
      </c>
      <c r="AN3" s="70" t="s">
        <v>252</v>
      </c>
      <c r="AO3" s="70" t="s">
        <v>253</v>
      </c>
      <c r="AP3" s="70" t="s">
        <v>254</v>
      </c>
      <c r="AQ3" s="70" t="s">
        <v>255</v>
      </c>
      <c r="AR3" s="70" t="s">
        <v>256</v>
      </c>
      <c r="AS3" s="70" t="s">
        <v>257</v>
      </c>
      <c r="AT3" s="70" t="s">
        <v>258</v>
      </c>
      <c r="AU3" s="70" t="s">
        <v>259</v>
      </c>
      <c r="AV3" s="70" t="s">
        <v>260</v>
      </c>
      <c r="AW3" s="70" t="s">
        <v>261</v>
      </c>
      <c r="AX3" s="70" t="s">
        <v>262</v>
      </c>
      <c r="AY3" s="70" t="s">
        <v>263</v>
      </c>
      <c r="AZ3" s="70" t="s">
        <v>264</v>
      </c>
      <c r="BA3" s="70" t="s">
        <v>265</v>
      </c>
      <c r="BB3" s="70" t="s">
        <v>266</v>
      </c>
      <c r="BC3" s="70" t="s">
        <v>267</v>
      </c>
      <c r="BD3" s="70" t="s">
        <v>392</v>
      </c>
      <c r="BE3" s="70" t="s">
        <v>393</v>
      </c>
      <c r="BF3" s="70" t="s">
        <v>394</v>
      </c>
      <c r="BG3" s="70" t="s">
        <v>395</v>
      </c>
      <c r="BH3" s="70" t="s">
        <v>396</v>
      </c>
      <c r="BI3" s="70" t="s">
        <v>397</v>
      </c>
      <c r="BJ3" s="70" t="s">
        <v>398</v>
      </c>
      <c r="BK3" s="70" t="s">
        <v>399</v>
      </c>
      <c r="BL3" s="70" t="s">
        <v>400</v>
      </c>
      <c r="BM3" s="70" t="s">
        <v>401</v>
      </c>
      <c r="BN3" s="70" t="s">
        <v>402</v>
      </c>
      <c r="BO3" s="70" t="s">
        <v>403</v>
      </c>
      <c r="BP3" s="661"/>
    </row>
    <row r="4" spans="1:69">
      <c r="A4" s="131">
        <v>1000</v>
      </c>
      <c r="B4" s="131" t="s">
        <v>28</v>
      </c>
      <c r="C4" s="131">
        <v>174842</v>
      </c>
      <c r="D4" s="131"/>
      <c r="E4" s="410">
        <v>38923</v>
      </c>
      <c r="F4" s="416">
        <f>SUM(C4:E4)</f>
        <v>213765</v>
      </c>
      <c r="G4" s="413">
        <v>487244</v>
      </c>
      <c r="H4" s="72">
        <v>0</v>
      </c>
      <c r="I4" s="72">
        <v>3492</v>
      </c>
      <c r="J4" s="131">
        <v>0</v>
      </c>
      <c r="K4" s="72">
        <v>0</v>
      </c>
      <c r="L4" s="72">
        <v>4262.3999999999996</v>
      </c>
      <c r="M4" s="72">
        <v>7827.94</v>
      </c>
      <c r="N4" s="72">
        <v>157427.95000000001</v>
      </c>
      <c r="O4" s="72">
        <v>10647.47</v>
      </c>
      <c r="P4" s="72">
        <v>4844</v>
      </c>
      <c r="Q4" s="72">
        <v>0</v>
      </c>
      <c r="R4" s="72">
        <v>255.73</v>
      </c>
      <c r="S4" s="72">
        <v>3123.17</v>
      </c>
      <c r="T4" s="72">
        <v>0</v>
      </c>
      <c r="U4" s="72">
        <v>0</v>
      </c>
      <c r="V4" s="72">
        <v>0</v>
      </c>
      <c r="W4" s="72">
        <v>0</v>
      </c>
      <c r="X4" s="72">
        <v>189306.58</v>
      </c>
      <c r="Y4" s="72">
        <v>6296.96</v>
      </c>
      <c r="Z4" s="72">
        <v>231534.71</v>
      </c>
      <c r="AA4" s="72">
        <v>25702.19</v>
      </c>
      <c r="AB4" s="72">
        <v>26690.09</v>
      </c>
      <c r="AC4" s="72">
        <v>0</v>
      </c>
      <c r="AD4" s="72">
        <v>8934.36</v>
      </c>
      <c r="AE4" s="72">
        <v>4966.78</v>
      </c>
      <c r="AF4" s="72">
        <v>2858.56</v>
      </c>
      <c r="AG4" s="72">
        <v>5645.07</v>
      </c>
      <c r="AH4" s="72">
        <v>1607.51</v>
      </c>
      <c r="AI4" s="72">
        <v>14443.09</v>
      </c>
      <c r="AJ4" s="72">
        <v>1540</v>
      </c>
      <c r="AK4" s="72">
        <v>1748.06</v>
      </c>
      <c r="AL4" s="72">
        <v>738.94</v>
      </c>
      <c r="AM4" s="72">
        <v>7051.53</v>
      </c>
      <c r="AN4" s="72">
        <v>1876.95</v>
      </c>
      <c r="AO4" s="72">
        <v>5486.62</v>
      </c>
      <c r="AP4" s="72">
        <v>37342.15</v>
      </c>
      <c r="AQ4" s="72">
        <v>8403.4699999999993</v>
      </c>
      <c r="AR4" s="72">
        <v>0</v>
      </c>
      <c r="AS4" s="72">
        <v>5619.49</v>
      </c>
      <c r="AT4" s="72">
        <v>5042.6899999999996</v>
      </c>
      <c r="AU4" s="72">
        <v>2066.31</v>
      </c>
      <c r="AV4" s="72">
        <v>9563.66</v>
      </c>
      <c r="AW4" s="72">
        <v>2574</v>
      </c>
      <c r="AX4" s="72">
        <v>6226.5</v>
      </c>
      <c r="AY4" s="72">
        <v>14299.28</v>
      </c>
      <c r="AZ4" s="72">
        <v>0</v>
      </c>
      <c r="BA4" s="72">
        <v>8849</v>
      </c>
      <c r="BB4" s="72">
        <v>0</v>
      </c>
      <c r="BC4" s="72">
        <v>0</v>
      </c>
      <c r="BD4" s="72">
        <v>4680.63</v>
      </c>
      <c r="BE4" s="72">
        <v>0</v>
      </c>
      <c r="BF4" s="72">
        <v>8849</v>
      </c>
      <c r="BG4" s="72">
        <v>0</v>
      </c>
      <c r="BH4" s="72">
        <v>53544.1</v>
      </c>
      <c r="BI4" s="72">
        <v>0</v>
      </c>
      <c r="BJ4" s="72">
        <v>0</v>
      </c>
      <c r="BK4" s="131">
        <v>847</v>
      </c>
      <c r="BL4" s="131">
        <v>216705</v>
      </c>
      <c r="BM4" s="131">
        <v>0</v>
      </c>
      <c r="BN4" s="131">
        <v>-1091</v>
      </c>
      <c r="BO4" s="131">
        <v>0</v>
      </c>
      <c r="BP4" s="131"/>
      <c r="BQ4" s="72">
        <f t="shared" ref="BQ4:BQ35" si="0">(SUM(C4:E4,G4:W4,BD4:BF4)-SUM(X4:BC4,BG4:BJ4))-SUM(BK4:BO4)</f>
        <v>-0.35999999998603016</v>
      </c>
    </row>
    <row r="5" spans="1:69">
      <c r="A5" s="131">
        <v>1001</v>
      </c>
      <c r="B5" s="131" t="s">
        <v>29</v>
      </c>
      <c r="C5" s="131">
        <v>103448</v>
      </c>
      <c r="D5" s="131"/>
      <c r="E5" s="410">
        <v>11832</v>
      </c>
      <c r="F5" s="416">
        <f t="shared" ref="F5:F68" si="1">SUM(C5:E5)</f>
        <v>115280</v>
      </c>
      <c r="G5" s="413">
        <v>430354</v>
      </c>
      <c r="H5" s="72">
        <v>0</v>
      </c>
      <c r="I5" s="72">
        <v>8382</v>
      </c>
      <c r="J5" s="131">
        <v>0</v>
      </c>
      <c r="K5" s="72">
        <v>0</v>
      </c>
      <c r="L5" s="72">
        <v>0</v>
      </c>
      <c r="M5" s="72">
        <v>18581.98</v>
      </c>
      <c r="N5" s="72">
        <v>66727.44</v>
      </c>
      <c r="O5" s="72">
        <v>0</v>
      </c>
      <c r="P5" s="72">
        <v>0</v>
      </c>
      <c r="Q5" s="72">
        <v>2824.98</v>
      </c>
      <c r="R5" s="72">
        <v>0</v>
      </c>
      <c r="S5" s="72">
        <v>9738.74</v>
      </c>
      <c r="T5" s="72">
        <v>0</v>
      </c>
      <c r="U5" s="399">
        <v>230768.05</v>
      </c>
      <c r="V5" s="72">
        <v>38377.96</v>
      </c>
      <c r="W5" s="72">
        <v>0</v>
      </c>
      <c r="X5" s="72">
        <v>190154.05</v>
      </c>
      <c r="Y5" s="72">
        <v>230.85</v>
      </c>
      <c r="Z5" s="72">
        <v>169250.97</v>
      </c>
      <c r="AA5" s="72">
        <v>16457.71</v>
      </c>
      <c r="AB5" s="72">
        <v>19822.669999999998</v>
      </c>
      <c r="AC5" s="72">
        <v>0</v>
      </c>
      <c r="AD5" s="72">
        <v>13129.45</v>
      </c>
      <c r="AE5" s="72">
        <v>2386.58</v>
      </c>
      <c r="AF5" s="72">
        <v>2783.83</v>
      </c>
      <c r="AG5" s="72">
        <v>4270.26</v>
      </c>
      <c r="AH5" s="72">
        <v>577.04</v>
      </c>
      <c r="AI5" s="72">
        <v>5233.7</v>
      </c>
      <c r="AJ5" s="72">
        <v>320.64999999999998</v>
      </c>
      <c r="AK5" s="72">
        <v>4466.03</v>
      </c>
      <c r="AL5" s="72">
        <v>789.65</v>
      </c>
      <c r="AM5" s="72">
        <v>1527.39</v>
      </c>
      <c r="AN5" s="72">
        <v>12010.5</v>
      </c>
      <c r="AO5" s="72">
        <v>5021.1899999999996</v>
      </c>
      <c r="AP5" s="72">
        <v>16655.59</v>
      </c>
      <c r="AQ5" s="72">
        <v>4610.5600000000004</v>
      </c>
      <c r="AR5" s="72">
        <v>0</v>
      </c>
      <c r="AS5" s="72">
        <v>5684.77</v>
      </c>
      <c r="AT5" s="72">
        <v>518.07000000000005</v>
      </c>
      <c r="AU5" s="72">
        <v>1801.81</v>
      </c>
      <c r="AV5" s="72">
        <v>740.88</v>
      </c>
      <c r="AW5" s="72">
        <v>5921.5</v>
      </c>
      <c r="AX5" s="72">
        <v>1035</v>
      </c>
      <c r="AY5" s="72">
        <v>14834.06</v>
      </c>
      <c r="AZ5" s="72">
        <v>0</v>
      </c>
      <c r="BA5" s="72">
        <v>0</v>
      </c>
      <c r="BB5" s="72">
        <v>209622.01</v>
      </c>
      <c r="BC5" s="72">
        <v>36418.81</v>
      </c>
      <c r="BD5" s="72">
        <v>4545.6400000000003</v>
      </c>
      <c r="BE5" s="72">
        <v>0</v>
      </c>
      <c r="BF5" s="72">
        <v>0</v>
      </c>
      <c r="BG5" s="72">
        <v>0</v>
      </c>
      <c r="BH5" s="72">
        <v>0</v>
      </c>
      <c r="BI5" s="72">
        <v>0</v>
      </c>
      <c r="BJ5" s="72">
        <v>3488.93</v>
      </c>
      <c r="BK5" s="131">
        <v>0</v>
      </c>
      <c r="BL5" s="131">
        <v>139823</v>
      </c>
      <c r="BM5" s="131">
        <v>12889</v>
      </c>
      <c r="BN5" s="131">
        <v>0</v>
      </c>
      <c r="BO5" s="131">
        <v>23105</v>
      </c>
      <c r="BP5" s="131"/>
      <c r="BQ5" s="72">
        <f t="shared" si="0"/>
        <v>-0.72000000043772161</v>
      </c>
    </row>
    <row r="6" spans="1:69">
      <c r="A6" s="131">
        <v>1002</v>
      </c>
      <c r="B6" s="131" t="s">
        <v>30</v>
      </c>
      <c r="C6" s="131">
        <v>124527</v>
      </c>
      <c r="D6" s="131"/>
      <c r="E6" s="410">
        <v>4959</v>
      </c>
      <c r="F6" s="416">
        <f t="shared" si="1"/>
        <v>129486</v>
      </c>
      <c r="G6" s="413">
        <v>562327</v>
      </c>
      <c r="H6" s="72">
        <v>0</v>
      </c>
      <c r="I6" s="72">
        <v>12573</v>
      </c>
      <c r="J6" s="131">
        <v>0</v>
      </c>
      <c r="K6" s="72">
        <v>0</v>
      </c>
      <c r="L6" s="72">
        <v>1000</v>
      </c>
      <c r="M6" s="72">
        <v>470</v>
      </c>
      <c r="N6" s="72">
        <v>137621.04999999999</v>
      </c>
      <c r="O6" s="72">
        <v>9059.0300000000007</v>
      </c>
      <c r="P6" s="72">
        <v>855</v>
      </c>
      <c r="Q6" s="72">
        <v>7349.9</v>
      </c>
      <c r="R6" s="72">
        <v>0</v>
      </c>
      <c r="S6" s="72">
        <v>2662.01</v>
      </c>
      <c r="T6" s="72">
        <v>0</v>
      </c>
      <c r="U6" s="399">
        <v>0</v>
      </c>
      <c r="V6" s="72">
        <v>0</v>
      </c>
      <c r="W6" s="72">
        <v>0</v>
      </c>
      <c r="X6" s="72">
        <v>225409.57</v>
      </c>
      <c r="Y6" s="72">
        <v>2200.1799999999998</v>
      </c>
      <c r="Z6" s="72">
        <v>263148.05</v>
      </c>
      <c r="AA6" s="72">
        <v>25315.96</v>
      </c>
      <c r="AB6" s="72">
        <v>31298.79</v>
      </c>
      <c r="AC6" s="72">
        <v>0</v>
      </c>
      <c r="AD6" s="72">
        <v>19865.599999999999</v>
      </c>
      <c r="AE6" s="72">
        <v>5715.54</v>
      </c>
      <c r="AF6" s="72">
        <v>1379.34</v>
      </c>
      <c r="AG6" s="72">
        <v>1438.56</v>
      </c>
      <c r="AH6" s="72">
        <v>5460.54</v>
      </c>
      <c r="AI6" s="72">
        <v>26854.959999999999</v>
      </c>
      <c r="AJ6" s="72">
        <v>1890.86</v>
      </c>
      <c r="AK6" s="72">
        <v>2321.52</v>
      </c>
      <c r="AL6" s="72">
        <v>747.3</v>
      </c>
      <c r="AM6" s="72">
        <v>5079.95</v>
      </c>
      <c r="AN6" s="72">
        <v>5659.5</v>
      </c>
      <c r="AO6" s="72">
        <v>2604.4699999999998</v>
      </c>
      <c r="AP6" s="72">
        <v>11140.72</v>
      </c>
      <c r="AQ6" s="72">
        <v>9956.84</v>
      </c>
      <c r="AR6" s="72">
        <v>0</v>
      </c>
      <c r="AS6" s="72">
        <v>3879.65</v>
      </c>
      <c r="AT6" s="72">
        <v>594.88</v>
      </c>
      <c r="AU6" s="72">
        <v>2499.4</v>
      </c>
      <c r="AV6" s="72">
        <v>8891.3700000000008</v>
      </c>
      <c r="AW6" s="72">
        <v>0</v>
      </c>
      <c r="AX6" s="72">
        <v>8994.48</v>
      </c>
      <c r="AY6" s="72">
        <v>16206.08</v>
      </c>
      <c r="AZ6" s="72">
        <v>0</v>
      </c>
      <c r="BA6" s="72">
        <v>1400</v>
      </c>
      <c r="BB6" s="72">
        <v>0</v>
      </c>
      <c r="BC6" s="72">
        <v>0</v>
      </c>
      <c r="BD6" s="72">
        <v>4798.76</v>
      </c>
      <c r="BE6" s="72">
        <v>0</v>
      </c>
      <c r="BF6" s="72">
        <v>1400</v>
      </c>
      <c r="BG6" s="72">
        <v>0</v>
      </c>
      <c r="BH6" s="72">
        <v>11158</v>
      </c>
      <c r="BI6" s="72">
        <v>0</v>
      </c>
      <c r="BJ6" s="72">
        <v>0</v>
      </c>
      <c r="BK6" s="131">
        <v>8914</v>
      </c>
      <c r="BL6" s="131">
        <v>159576</v>
      </c>
      <c r="BM6" s="131">
        <v>0</v>
      </c>
      <c r="BN6" s="131">
        <v>0</v>
      </c>
      <c r="BO6" s="131">
        <v>0</v>
      </c>
      <c r="BP6" s="131"/>
      <c r="BQ6" s="72">
        <f t="shared" si="0"/>
        <v>-0.35999999986961484</v>
      </c>
    </row>
    <row r="7" spans="1:69">
      <c r="A7" s="131">
        <v>1003</v>
      </c>
      <c r="B7" s="131" t="s">
        <v>31</v>
      </c>
      <c r="C7" s="131">
        <v>85354</v>
      </c>
      <c r="D7" s="131"/>
      <c r="E7" s="410">
        <v>17831</v>
      </c>
      <c r="F7" s="416">
        <f t="shared" si="1"/>
        <v>103185</v>
      </c>
      <c r="G7" s="413">
        <v>598164</v>
      </c>
      <c r="H7" s="400">
        <f>2248.2-2248.2</f>
        <v>0</v>
      </c>
      <c r="I7" s="400">
        <f>2096+2248.2</f>
        <v>4344.2</v>
      </c>
      <c r="J7" s="131">
        <v>0</v>
      </c>
      <c r="K7" s="72">
        <v>0</v>
      </c>
      <c r="L7" s="72">
        <v>0</v>
      </c>
      <c r="M7" s="72">
        <v>10750.35</v>
      </c>
      <c r="N7" s="72">
        <v>145671.07999999999</v>
      </c>
      <c r="O7" s="72">
        <v>14883.55</v>
      </c>
      <c r="P7" s="72">
        <v>0</v>
      </c>
      <c r="Q7" s="72">
        <v>0</v>
      </c>
      <c r="R7" s="72">
        <v>0</v>
      </c>
      <c r="S7" s="72">
        <v>0</v>
      </c>
      <c r="T7" s="72">
        <v>0</v>
      </c>
      <c r="U7" s="399">
        <v>245929.02</v>
      </c>
      <c r="V7" s="72">
        <v>4788.41</v>
      </c>
      <c r="W7" s="72">
        <v>0</v>
      </c>
      <c r="X7" s="72">
        <v>266560.78000000003</v>
      </c>
      <c r="Y7" s="72">
        <v>7391.13</v>
      </c>
      <c r="Z7" s="72">
        <v>267460.57</v>
      </c>
      <c r="AA7" s="72">
        <v>17864.86</v>
      </c>
      <c r="AB7" s="72">
        <v>40635.53</v>
      </c>
      <c r="AC7" s="72">
        <v>0</v>
      </c>
      <c r="AD7" s="72">
        <v>24095.72</v>
      </c>
      <c r="AE7" s="72">
        <v>12723.64</v>
      </c>
      <c r="AF7" s="72">
        <v>2765</v>
      </c>
      <c r="AG7" s="72">
        <v>0</v>
      </c>
      <c r="AH7" s="72">
        <v>1707.56</v>
      </c>
      <c r="AI7" s="72">
        <v>5685.86</v>
      </c>
      <c r="AJ7" s="72">
        <v>923.88</v>
      </c>
      <c r="AK7" s="72">
        <v>1776</v>
      </c>
      <c r="AL7" s="72">
        <v>1589.83</v>
      </c>
      <c r="AM7" s="72">
        <v>4533.53</v>
      </c>
      <c r="AN7" s="72">
        <v>7500</v>
      </c>
      <c r="AO7" s="72">
        <v>2377.35</v>
      </c>
      <c r="AP7" s="72">
        <v>21702.61</v>
      </c>
      <c r="AQ7" s="72">
        <v>5491.19</v>
      </c>
      <c r="AR7" s="72">
        <v>0</v>
      </c>
      <c r="AS7" s="72">
        <v>7459.26</v>
      </c>
      <c r="AT7" s="72">
        <v>1396.95</v>
      </c>
      <c r="AU7" s="72">
        <v>5399.02</v>
      </c>
      <c r="AV7" s="72">
        <v>19430.099999999999</v>
      </c>
      <c r="AW7" s="72">
        <v>0</v>
      </c>
      <c r="AX7" s="72">
        <v>0</v>
      </c>
      <c r="AY7" s="72">
        <v>19651.259999999998</v>
      </c>
      <c r="AZ7" s="72">
        <v>0</v>
      </c>
      <c r="BA7" s="72">
        <v>0</v>
      </c>
      <c r="BB7" s="72">
        <v>183036.82</v>
      </c>
      <c r="BC7" s="72">
        <v>44115.46</v>
      </c>
      <c r="BD7" s="72">
        <v>4826.88</v>
      </c>
      <c r="BE7" s="72">
        <v>0</v>
      </c>
      <c r="BF7" s="72">
        <v>0</v>
      </c>
      <c r="BG7" s="72">
        <v>0</v>
      </c>
      <c r="BH7" s="72">
        <v>5135.1000000000004</v>
      </c>
      <c r="BI7" s="72">
        <v>1337.34</v>
      </c>
      <c r="BJ7" s="72">
        <v>6346.42</v>
      </c>
      <c r="BK7" s="131">
        <v>0</v>
      </c>
      <c r="BL7" s="131">
        <v>113046</v>
      </c>
      <c r="BM7" s="131">
        <v>9839</v>
      </c>
      <c r="BN7" s="131">
        <v>0</v>
      </c>
      <c r="BO7" s="131">
        <v>23565</v>
      </c>
      <c r="BP7" s="131"/>
      <c r="BQ7" s="72">
        <f t="shared" si="0"/>
        <v>-0.280000000144355</v>
      </c>
    </row>
    <row r="8" spans="1:69">
      <c r="A8" s="131">
        <v>3520</v>
      </c>
      <c r="B8" s="131" t="s">
        <v>268</v>
      </c>
      <c r="C8" s="131">
        <v>23179</v>
      </c>
      <c r="D8" s="131"/>
      <c r="E8" s="410">
        <v>0</v>
      </c>
      <c r="F8" s="416">
        <f t="shared" si="1"/>
        <v>23179</v>
      </c>
      <c r="G8" s="413">
        <v>1547832.13</v>
      </c>
      <c r="H8" s="72">
        <v>0</v>
      </c>
      <c r="I8" s="72">
        <v>49240</v>
      </c>
      <c r="J8" s="131">
        <v>0</v>
      </c>
      <c r="K8" s="72">
        <v>8577</v>
      </c>
      <c r="L8" s="72">
        <v>6753</v>
      </c>
      <c r="M8" s="72">
        <v>75</v>
      </c>
      <c r="N8" s="72">
        <v>16964.73</v>
      </c>
      <c r="O8" s="72">
        <v>145064.23000000001</v>
      </c>
      <c r="P8" s="72">
        <v>7166.5</v>
      </c>
      <c r="Q8" s="72">
        <v>2434.7600000000002</v>
      </c>
      <c r="R8" s="72">
        <v>35123.07</v>
      </c>
      <c r="S8" s="72">
        <v>439976.57</v>
      </c>
      <c r="T8" s="72">
        <v>0</v>
      </c>
      <c r="U8" s="399">
        <v>0</v>
      </c>
      <c r="V8" s="72">
        <v>0</v>
      </c>
      <c r="W8" s="72">
        <v>6020</v>
      </c>
      <c r="X8" s="72">
        <v>953756</v>
      </c>
      <c r="Y8" s="72">
        <v>7945.31</v>
      </c>
      <c r="Z8" s="72">
        <v>350754.38</v>
      </c>
      <c r="AA8" s="72">
        <v>33648.75</v>
      </c>
      <c r="AB8" s="72">
        <v>129607.38</v>
      </c>
      <c r="AC8" s="72">
        <v>0</v>
      </c>
      <c r="AD8" s="72">
        <v>12761.52</v>
      </c>
      <c r="AE8" s="72">
        <v>15788.05</v>
      </c>
      <c r="AF8" s="72">
        <v>13048.16</v>
      </c>
      <c r="AG8" s="72">
        <v>18466.599999999999</v>
      </c>
      <c r="AH8" s="72">
        <v>5030.6499999999996</v>
      </c>
      <c r="AI8" s="72">
        <v>39933.279999999999</v>
      </c>
      <c r="AJ8" s="72">
        <v>10120.84</v>
      </c>
      <c r="AK8" s="72">
        <v>44988.46</v>
      </c>
      <c r="AL8" s="72">
        <v>4077.44</v>
      </c>
      <c r="AM8" s="72">
        <v>25516.51</v>
      </c>
      <c r="AN8" s="72">
        <v>0</v>
      </c>
      <c r="AO8" s="72">
        <v>120120.59</v>
      </c>
      <c r="AP8" s="72">
        <v>92376.07</v>
      </c>
      <c r="AQ8" s="72">
        <v>13718.06</v>
      </c>
      <c r="AR8" s="72">
        <v>0</v>
      </c>
      <c r="AS8" s="72">
        <v>17329.41</v>
      </c>
      <c r="AT8" s="72">
        <v>17884.759999999998</v>
      </c>
      <c r="AU8" s="72">
        <v>6674.34</v>
      </c>
      <c r="AV8" s="72">
        <v>148790.98000000001</v>
      </c>
      <c r="AW8" s="72">
        <v>57816.5</v>
      </c>
      <c r="AX8" s="72">
        <v>50387.88</v>
      </c>
      <c r="AY8" s="72">
        <v>41037.440000000002</v>
      </c>
      <c r="AZ8" s="72">
        <v>0</v>
      </c>
      <c r="BA8" s="72">
        <v>4290</v>
      </c>
      <c r="BB8" s="72">
        <v>0</v>
      </c>
      <c r="BC8" s="72">
        <v>0</v>
      </c>
      <c r="BD8" s="72">
        <v>0</v>
      </c>
      <c r="BE8" s="72">
        <v>0</v>
      </c>
      <c r="BF8" s="72">
        <v>4290</v>
      </c>
      <c r="BG8" s="72">
        <v>0</v>
      </c>
      <c r="BH8" s="72">
        <v>0</v>
      </c>
      <c r="BI8" s="72">
        <v>0</v>
      </c>
      <c r="BJ8" s="72">
        <v>4290</v>
      </c>
      <c r="BK8" s="131">
        <v>52537</v>
      </c>
      <c r="BL8" s="131">
        <v>0</v>
      </c>
      <c r="BM8" s="131">
        <v>0</v>
      </c>
      <c r="BN8" s="131">
        <v>0</v>
      </c>
      <c r="BO8" s="131">
        <v>0</v>
      </c>
      <c r="BP8" s="131"/>
      <c r="BQ8" s="72">
        <f t="shared" si="0"/>
        <v>-0.37000000011175871</v>
      </c>
    </row>
    <row r="9" spans="1:69">
      <c r="A9" s="131">
        <v>3317</v>
      </c>
      <c r="B9" s="131" t="s">
        <v>33</v>
      </c>
      <c r="C9" s="131">
        <v>88404</v>
      </c>
      <c r="D9" s="131"/>
      <c r="E9" s="410">
        <v>0</v>
      </c>
      <c r="F9" s="416">
        <f t="shared" si="1"/>
        <v>88404</v>
      </c>
      <c r="G9" s="413">
        <v>1050002</v>
      </c>
      <c r="H9" s="72">
        <v>0</v>
      </c>
      <c r="I9" s="72">
        <v>30608</v>
      </c>
      <c r="J9" s="131">
        <v>0</v>
      </c>
      <c r="K9" s="72">
        <v>41932.01</v>
      </c>
      <c r="L9" s="72">
        <v>16010</v>
      </c>
      <c r="M9" s="72">
        <v>3724.51</v>
      </c>
      <c r="N9" s="72">
        <v>24677.5</v>
      </c>
      <c r="O9" s="72">
        <v>43203.51</v>
      </c>
      <c r="P9" s="72">
        <v>0</v>
      </c>
      <c r="Q9" s="72">
        <v>0</v>
      </c>
      <c r="R9" s="72">
        <v>27211.25</v>
      </c>
      <c r="S9" s="72">
        <v>8760.16</v>
      </c>
      <c r="T9" s="72">
        <v>0</v>
      </c>
      <c r="U9" s="399">
        <v>0</v>
      </c>
      <c r="V9" s="72">
        <v>0</v>
      </c>
      <c r="W9" s="72">
        <v>5448</v>
      </c>
      <c r="X9" s="72">
        <v>527776.88</v>
      </c>
      <c r="Y9" s="72">
        <v>0</v>
      </c>
      <c r="Z9" s="72">
        <v>248974.4</v>
      </c>
      <c r="AA9" s="72">
        <v>24668.15</v>
      </c>
      <c r="AB9" s="72">
        <v>49165.57</v>
      </c>
      <c r="AC9" s="72">
        <v>0</v>
      </c>
      <c r="AD9" s="72">
        <v>22823.78</v>
      </c>
      <c r="AE9" s="72">
        <v>17754.990000000002</v>
      </c>
      <c r="AF9" s="72">
        <v>2960</v>
      </c>
      <c r="AG9" s="72">
        <v>11193.71</v>
      </c>
      <c r="AH9" s="72">
        <v>1786.75</v>
      </c>
      <c r="AI9" s="72">
        <v>37790.379999999997</v>
      </c>
      <c r="AJ9" s="72">
        <v>7790.93</v>
      </c>
      <c r="AK9" s="72">
        <v>20694.810000000001</v>
      </c>
      <c r="AL9" s="72">
        <v>3232.94</v>
      </c>
      <c r="AM9" s="72">
        <v>19960.68</v>
      </c>
      <c r="AN9" s="72">
        <v>0</v>
      </c>
      <c r="AO9" s="72">
        <v>5586.74</v>
      </c>
      <c r="AP9" s="72">
        <v>55779.8</v>
      </c>
      <c r="AQ9" s="72">
        <v>17977.78</v>
      </c>
      <c r="AR9" s="72">
        <v>0</v>
      </c>
      <c r="AS9" s="72">
        <v>6294.28</v>
      </c>
      <c r="AT9" s="72">
        <v>3739.9</v>
      </c>
      <c r="AU9" s="72">
        <v>6484.63</v>
      </c>
      <c r="AV9" s="72">
        <v>53668.95</v>
      </c>
      <c r="AW9" s="72">
        <v>41666</v>
      </c>
      <c r="AX9" s="72">
        <v>49569.83</v>
      </c>
      <c r="AY9" s="72">
        <v>14461.15</v>
      </c>
      <c r="AZ9" s="72">
        <v>0</v>
      </c>
      <c r="BA9" s="72">
        <v>2046</v>
      </c>
      <c r="BB9" s="72">
        <v>0</v>
      </c>
      <c r="BC9" s="72">
        <v>0</v>
      </c>
      <c r="BD9" s="72">
        <v>0</v>
      </c>
      <c r="BE9" s="72">
        <v>5599.84</v>
      </c>
      <c r="BF9" s="72">
        <v>2046</v>
      </c>
      <c r="BG9" s="72">
        <v>0</v>
      </c>
      <c r="BH9" s="72">
        <v>0</v>
      </c>
      <c r="BI9" s="72">
        <v>0</v>
      </c>
      <c r="BJ9" s="72">
        <v>7645.84</v>
      </c>
      <c r="BK9" s="131">
        <v>0</v>
      </c>
      <c r="BL9" s="131">
        <v>86132</v>
      </c>
      <c r="BM9" s="131">
        <v>0</v>
      </c>
      <c r="BN9" s="131">
        <v>0</v>
      </c>
      <c r="BO9" s="131">
        <v>0</v>
      </c>
      <c r="BP9" s="131"/>
      <c r="BQ9" s="72">
        <f t="shared" si="0"/>
        <v>-8.9999999850988388E-2</v>
      </c>
    </row>
    <row r="10" spans="1:69">
      <c r="A10" s="131">
        <v>3300</v>
      </c>
      <c r="B10" s="131" t="s">
        <v>34</v>
      </c>
      <c r="C10" s="131">
        <v>173573</v>
      </c>
      <c r="D10" s="131"/>
      <c r="E10" s="410">
        <v>0</v>
      </c>
      <c r="F10" s="416">
        <f t="shared" si="1"/>
        <v>173573</v>
      </c>
      <c r="G10" s="413">
        <v>974914</v>
      </c>
      <c r="H10" s="72">
        <v>0</v>
      </c>
      <c r="I10" s="72">
        <v>66660</v>
      </c>
      <c r="J10" s="131">
        <v>0</v>
      </c>
      <c r="K10" s="72">
        <v>91382</v>
      </c>
      <c r="L10" s="72">
        <v>4100</v>
      </c>
      <c r="M10" s="72">
        <v>1234</v>
      </c>
      <c r="N10" s="72">
        <v>634.5</v>
      </c>
      <c r="O10" s="72">
        <v>23525.34</v>
      </c>
      <c r="P10" s="72">
        <v>5985</v>
      </c>
      <c r="Q10" s="72">
        <v>0</v>
      </c>
      <c r="R10" s="72">
        <v>8049.33</v>
      </c>
      <c r="S10" s="72">
        <v>5270.3</v>
      </c>
      <c r="T10" s="72">
        <v>0</v>
      </c>
      <c r="U10" s="399">
        <v>0</v>
      </c>
      <c r="V10" s="72">
        <v>0</v>
      </c>
      <c r="W10" s="72">
        <v>5438</v>
      </c>
      <c r="X10" s="72">
        <v>493451.24</v>
      </c>
      <c r="Y10" s="72">
        <v>2253.66</v>
      </c>
      <c r="Z10" s="72">
        <v>230446.39</v>
      </c>
      <c r="AA10" s="72">
        <v>22340.52</v>
      </c>
      <c r="AB10" s="72">
        <v>28342.57</v>
      </c>
      <c r="AC10" s="72">
        <v>0</v>
      </c>
      <c r="AD10" s="72">
        <v>5570.28</v>
      </c>
      <c r="AE10" s="72">
        <v>4551.95</v>
      </c>
      <c r="AF10" s="72">
        <v>4795.1499999999996</v>
      </c>
      <c r="AG10" s="72">
        <v>9198.5</v>
      </c>
      <c r="AH10" s="72">
        <v>0</v>
      </c>
      <c r="AI10" s="72">
        <v>9867.58</v>
      </c>
      <c r="AJ10" s="72">
        <v>6681.57</v>
      </c>
      <c r="AK10" s="72">
        <v>12608.85</v>
      </c>
      <c r="AL10" s="72">
        <v>2375.86</v>
      </c>
      <c r="AM10" s="72">
        <v>7844.15</v>
      </c>
      <c r="AN10" s="72">
        <v>0</v>
      </c>
      <c r="AO10" s="72">
        <v>4772.1499999999996</v>
      </c>
      <c r="AP10" s="72">
        <v>47352.39</v>
      </c>
      <c r="AQ10" s="72">
        <v>17867.86</v>
      </c>
      <c r="AR10" s="72">
        <v>0</v>
      </c>
      <c r="AS10" s="72">
        <v>10859.01</v>
      </c>
      <c r="AT10" s="72">
        <v>4594.25</v>
      </c>
      <c r="AU10" s="72">
        <v>1860.73</v>
      </c>
      <c r="AV10" s="72">
        <v>44507.32</v>
      </c>
      <c r="AW10" s="72">
        <v>54165.85</v>
      </c>
      <c r="AX10" s="72">
        <v>58701.4</v>
      </c>
      <c r="AY10" s="72">
        <v>37304.06</v>
      </c>
      <c r="AZ10" s="72">
        <v>0</v>
      </c>
      <c r="BA10" s="72">
        <v>20789.939999999999</v>
      </c>
      <c r="BB10" s="72">
        <v>0</v>
      </c>
      <c r="BC10" s="72">
        <v>0</v>
      </c>
      <c r="BD10" s="72">
        <v>0</v>
      </c>
      <c r="BE10" s="72">
        <v>0</v>
      </c>
      <c r="BF10" s="72">
        <v>20789.939999999999</v>
      </c>
      <c r="BG10" s="72">
        <v>0</v>
      </c>
      <c r="BH10" s="72">
        <v>0</v>
      </c>
      <c r="BI10" s="72">
        <v>0</v>
      </c>
      <c r="BJ10" s="72">
        <v>20789.939999999999</v>
      </c>
      <c r="BK10" s="131">
        <v>4638</v>
      </c>
      <c r="BL10" s="131">
        <v>213024</v>
      </c>
      <c r="BM10" s="131">
        <v>0</v>
      </c>
      <c r="BN10" s="131">
        <v>0</v>
      </c>
      <c r="BO10" s="131">
        <v>0</v>
      </c>
      <c r="BP10" s="131"/>
      <c r="BQ10" s="72">
        <f t="shared" si="0"/>
        <v>0.24000000045634806</v>
      </c>
    </row>
    <row r="11" spans="1:69">
      <c r="A11" s="131">
        <v>3500</v>
      </c>
      <c r="B11" s="131" t="s">
        <v>35</v>
      </c>
      <c r="C11" s="131">
        <v>203992</v>
      </c>
      <c r="D11" s="131"/>
      <c r="E11" s="410">
        <v>0</v>
      </c>
      <c r="F11" s="416">
        <f t="shared" si="1"/>
        <v>203992</v>
      </c>
      <c r="G11" s="413">
        <v>892651</v>
      </c>
      <c r="H11" s="72">
        <v>0</v>
      </c>
      <c r="I11" s="72">
        <v>27177</v>
      </c>
      <c r="J11" s="131">
        <v>0</v>
      </c>
      <c r="K11" s="72">
        <v>24050</v>
      </c>
      <c r="L11" s="72">
        <v>0</v>
      </c>
      <c r="M11" s="72">
        <v>2155</v>
      </c>
      <c r="N11" s="72">
        <v>621.42999999999995</v>
      </c>
      <c r="O11" s="72">
        <v>35440.949999999997</v>
      </c>
      <c r="P11" s="72">
        <v>0</v>
      </c>
      <c r="Q11" s="72">
        <v>2438.86</v>
      </c>
      <c r="R11" s="72">
        <v>0</v>
      </c>
      <c r="S11" s="72">
        <v>0</v>
      </c>
      <c r="T11" s="72">
        <v>0</v>
      </c>
      <c r="U11" s="399">
        <v>0</v>
      </c>
      <c r="V11" s="72">
        <v>0</v>
      </c>
      <c r="W11" s="72">
        <v>5235</v>
      </c>
      <c r="X11" s="72">
        <v>516555.53</v>
      </c>
      <c r="Y11" s="72">
        <v>0</v>
      </c>
      <c r="Z11" s="72">
        <v>187445.77</v>
      </c>
      <c r="AA11" s="72">
        <v>28164.68</v>
      </c>
      <c r="AB11" s="72">
        <v>34446.550000000003</v>
      </c>
      <c r="AC11" s="72">
        <v>0</v>
      </c>
      <c r="AD11" s="72">
        <v>4797.1000000000004</v>
      </c>
      <c r="AE11" s="72">
        <v>4693.17</v>
      </c>
      <c r="AF11" s="72">
        <v>5038.79</v>
      </c>
      <c r="AG11" s="72">
        <v>9058.2199999999993</v>
      </c>
      <c r="AH11" s="72">
        <v>4483.0600000000004</v>
      </c>
      <c r="AI11" s="72">
        <v>45274.8</v>
      </c>
      <c r="AJ11" s="72">
        <v>336.05</v>
      </c>
      <c r="AK11" s="72">
        <v>2818.01</v>
      </c>
      <c r="AL11" s="72">
        <v>1911.77</v>
      </c>
      <c r="AM11" s="72">
        <v>10021.82</v>
      </c>
      <c r="AN11" s="72">
        <v>0</v>
      </c>
      <c r="AO11" s="72">
        <v>9413.08</v>
      </c>
      <c r="AP11" s="72">
        <v>39015.01</v>
      </c>
      <c r="AQ11" s="72">
        <v>17405.23</v>
      </c>
      <c r="AR11" s="72">
        <v>0</v>
      </c>
      <c r="AS11" s="72">
        <v>9743.2199999999993</v>
      </c>
      <c r="AT11" s="72">
        <v>3655.91</v>
      </c>
      <c r="AU11" s="72">
        <v>523.86</v>
      </c>
      <c r="AV11" s="72">
        <v>40685</v>
      </c>
      <c r="AW11" s="72">
        <v>0</v>
      </c>
      <c r="AX11" s="72">
        <v>10311.030000000001</v>
      </c>
      <c r="AY11" s="72">
        <v>17590.599999999999</v>
      </c>
      <c r="AZ11" s="72">
        <v>0</v>
      </c>
      <c r="BA11" s="72">
        <v>3648</v>
      </c>
      <c r="BB11" s="72">
        <v>0</v>
      </c>
      <c r="BC11" s="72">
        <v>0</v>
      </c>
      <c r="BD11" s="72">
        <v>0</v>
      </c>
      <c r="BE11" s="72">
        <v>0</v>
      </c>
      <c r="BF11" s="72">
        <v>3648</v>
      </c>
      <c r="BG11" s="72">
        <v>0</v>
      </c>
      <c r="BH11" s="72">
        <v>0</v>
      </c>
      <c r="BI11" s="72">
        <v>0</v>
      </c>
      <c r="BJ11" s="72">
        <v>6928</v>
      </c>
      <c r="BK11" s="131">
        <v>186725</v>
      </c>
      <c r="BL11" s="131">
        <v>0</v>
      </c>
      <c r="BM11" s="131">
        <v>-3280</v>
      </c>
      <c r="BN11" s="131">
        <v>0</v>
      </c>
      <c r="BO11" s="131">
        <v>0</v>
      </c>
      <c r="BP11" s="131"/>
      <c r="BQ11" s="72">
        <f t="shared" si="0"/>
        <v>-2.0000000251457095E-2</v>
      </c>
    </row>
    <row r="12" spans="1:69">
      <c r="A12" s="131">
        <v>3514</v>
      </c>
      <c r="B12" s="131" t="s">
        <v>36</v>
      </c>
      <c r="C12" s="131">
        <v>74085</v>
      </c>
      <c r="D12" s="131"/>
      <c r="E12" s="410">
        <v>0</v>
      </c>
      <c r="F12" s="416">
        <f t="shared" si="1"/>
        <v>74085</v>
      </c>
      <c r="G12" s="413">
        <v>942723</v>
      </c>
      <c r="H12" s="72">
        <v>0</v>
      </c>
      <c r="I12" s="72">
        <v>54354</v>
      </c>
      <c r="J12" s="131">
        <v>0</v>
      </c>
      <c r="K12" s="72">
        <v>50509</v>
      </c>
      <c r="L12" s="72">
        <v>0</v>
      </c>
      <c r="M12" s="72">
        <v>7097.01</v>
      </c>
      <c r="N12" s="72">
        <v>7146.86</v>
      </c>
      <c r="O12" s="72">
        <v>34936.19</v>
      </c>
      <c r="P12" s="72">
        <v>0</v>
      </c>
      <c r="Q12" s="72">
        <v>0</v>
      </c>
      <c r="R12" s="72">
        <v>14931.87</v>
      </c>
      <c r="S12" s="72">
        <v>0</v>
      </c>
      <c r="T12" s="72">
        <v>0</v>
      </c>
      <c r="U12" s="399">
        <v>0</v>
      </c>
      <c r="V12" s="72">
        <v>0</v>
      </c>
      <c r="W12" s="72">
        <v>5578</v>
      </c>
      <c r="X12" s="72">
        <v>621872.65</v>
      </c>
      <c r="Y12" s="72">
        <v>8476.25</v>
      </c>
      <c r="Z12" s="72">
        <v>104511.12</v>
      </c>
      <c r="AA12" s="72">
        <v>37431.800000000003</v>
      </c>
      <c r="AB12" s="72">
        <v>20689.490000000002</v>
      </c>
      <c r="AC12" s="72">
        <v>0</v>
      </c>
      <c r="AD12" s="72">
        <v>4556.88</v>
      </c>
      <c r="AE12" s="72">
        <v>11378.49</v>
      </c>
      <c r="AF12" s="72">
        <v>11895.85</v>
      </c>
      <c r="AG12" s="72">
        <v>8567.7800000000007</v>
      </c>
      <c r="AH12" s="72">
        <v>1230.8900000000001</v>
      </c>
      <c r="AI12" s="72">
        <v>10517.3</v>
      </c>
      <c r="AJ12" s="72">
        <v>5974.94</v>
      </c>
      <c r="AK12" s="72">
        <v>1546.84</v>
      </c>
      <c r="AL12" s="72">
        <v>1784.55</v>
      </c>
      <c r="AM12" s="72">
        <v>9561.99</v>
      </c>
      <c r="AN12" s="72">
        <v>0</v>
      </c>
      <c r="AO12" s="72">
        <v>5392.11</v>
      </c>
      <c r="AP12" s="72">
        <v>40182.629999999997</v>
      </c>
      <c r="AQ12" s="72">
        <v>17781.95</v>
      </c>
      <c r="AR12" s="72">
        <v>0</v>
      </c>
      <c r="AS12" s="72">
        <v>4117.05</v>
      </c>
      <c r="AT12" s="72">
        <v>7097.41</v>
      </c>
      <c r="AU12" s="72">
        <v>11511.94</v>
      </c>
      <c r="AV12" s="72">
        <v>45418.3</v>
      </c>
      <c r="AW12" s="72">
        <v>27453.33</v>
      </c>
      <c r="AX12" s="72">
        <v>49224.160000000003</v>
      </c>
      <c r="AY12" s="72">
        <v>23497.119999999999</v>
      </c>
      <c r="AZ12" s="72">
        <v>0</v>
      </c>
      <c r="BA12" s="72">
        <v>10000</v>
      </c>
      <c r="BB12" s="72">
        <v>0</v>
      </c>
      <c r="BC12" s="72">
        <v>0</v>
      </c>
      <c r="BD12" s="72">
        <v>0</v>
      </c>
      <c r="BE12" s="72">
        <v>0</v>
      </c>
      <c r="BF12" s="72">
        <v>10000</v>
      </c>
      <c r="BG12" s="72">
        <v>0</v>
      </c>
      <c r="BH12" s="72">
        <v>10000</v>
      </c>
      <c r="BI12" s="72">
        <v>0</v>
      </c>
      <c r="BJ12" s="72">
        <v>0</v>
      </c>
      <c r="BK12" s="131">
        <v>0</v>
      </c>
      <c r="BL12" s="131">
        <v>89688</v>
      </c>
      <c r="BM12" s="131">
        <v>0</v>
      </c>
      <c r="BN12" s="131">
        <v>0</v>
      </c>
      <c r="BO12" s="131">
        <v>0</v>
      </c>
      <c r="BP12" s="131"/>
      <c r="BQ12" s="72">
        <f t="shared" si="0"/>
        <v>0.11000000010244548</v>
      </c>
    </row>
    <row r="13" spans="1:69">
      <c r="A13" s="131">
        <v>2002</v>
      </c>
      <c r="B13" s="131" t="s">
        <v>37</v>
      </c>
      <c r="C13" s="131">
        <v>205889</v>
      </c>
      <c r="D13" s="131"/>
      <c r="E13" s="410">
        <v>46134</v>
      </c>
      <c r="F13" s="416">
        <f t="shared" si="1"/>
        <v>252023</v>
      </c>
      <c r="G13" s="413">
        <v>2484104.25</v>
      </c>
      <c r="H13" s="72">
        <v>0</v>
      </c>
      <c r="I13" s="72">
        <v>71500</v>
      </c>
      <c r="J13" s="131">
        <v>0</v>
      </c>
      <c r="K13" s="72">
        <v>255673.01</v>
      </c>
      <c r="L13" s="72">
        <v>6250</v>
      </c>
      <c r="M13" s="72">
        <v>1822.4</v>
      </c>
      <c r="N13" s="72">
        <v>36261.19</v>
      </c>
      <c r="O13" s="72">
        <v>54883.83</v>
      </c>
      <c r="P13" s="72">
        <v>31888.2</v>
      </c>
      <c r="Q13" s="72">
        <v>1365.12</v>
      </c>
      <c r="R13" s="72">
        <v>17497.37</v>
      </c>
      <c r="S13" s="72">
        <v>6416.16</v>
      </c>
      <c r="T13" s="72">
        <v>0</v>
      </c>
      <c r="U13" s="399">
        <v>364553.83</v>
      </c>
      <c r="V13" s="72">
        <v>32062.6</v>
      </c>
      <c r="W13" s="72">
        <v>6214</v>
      </c>
      <c r="X13" s="72">
        <v>1251113.53</v>
      </c>
      <c r="Y13" s="72">
        <v>0</v>
      </c>
      <c r="Z13" s="72">
        <v>606424.22</v>
      </c>
      <c r="AA13" s="72">
        <v>33628.17</v>
      </c>
      <c r="AB13" s="72">
        <v>56050.82</v>
      </c>
      <c r="AC13" s="72">
        <v>0</v>
      </c>
      <c r="AD13" s="72">
        <v>88716.74</v>
      </c>
      <c r="AE13" s="72">
        <v>16478.34</v>
      </c>
      <c r="AF13" s="72">
        <v>18169.830000000002</v>
      </c>
      <c r="AG13" s="72">
        <v>20351.900000000001</v>
      </c>
      <c r="AH13" s="72">
        <v>2241.9699999999998</v>
      </c>
      <c r="AI13" s="72">
        <v>40369.120000000003</v>
      </c>
      <c r="AJ13" s="72">
        <v>179.88</v>
      </c>
      <c r="AK13" s="72">
        <v>63390.61</v>
      </c>
      <c r="AL13" s="72">
        <v>2657.45</v>
      </c>
      <c r="AM13" s="72">
        <v>31690.57</v>
      </c>
      <c r="AN13" s="72">
        <v>25434</v>
      </c>
      <c r="AO13" s="72">
        <v>17776.46</v>
      </c>
      <c r="AP13" s="72">
        <v>143030.35</v>
      </c>
      <c r="AQ13" s="72">
        <v>29948.98</v>
      </c>
      <c r="AR13" s="72">
        <v>0</v>
      </c>
      <c r="AS13" s="72">
        <v>36950.660000000003</v>
      </c>
      <c r="AT13" s="72">
        <v>17508.46</v>
      </c>
      <c r="AU13" s="72">
        <v>24623.67</v>
      </c>
      <c r="AV13" s="72">
        <v>102839.27</v>
      </c>
      <c r="AW13" s="72">
        <v>104496.16</v>
      </c>
      <c r="AX13" s="72">
        <v>183412.1</v>
      </c>
      <c r="AY13" s="72">
        <v>26204.07</v>
      </c>
      <c r="AZ13" s="72">
        <v>0</v>
      </c>
      <c r="BA13" s="72">
        <v>70861</v>
      </c>
      <c r="BB13" s="72">
        <v>315576.06</v>
      </c>
      <c r="BC13" s="72">
        <v>59652.37</v>
      </c>
      <c r="BD13" s="72">
        <v>9658.76</v>
      </c>
      <c r="BE13" s="72">
        <v>0</v>
      </c>
      <c r="BF13" s="72">
        <v>70861</v>
      </c>
      <c r="BG13" s="72">
        <v>0</v>
      </c>
      <c r="BH13" s="72">
        <v>94539.31</v>
      </c>
      <c r="BI13" s="72">
        <v>0</v>
      </c>
      <c r="BJ13" s="72">
        <v>32114.87</v>
      </c>
      <c r="BK13" s="131">
        <v>8453</v>
      </c>
      <c r="BL13" s="131">
        <v>156763</v>
      </c>
      <c r="BM13" s="131">
        <v>0</v>
      </c>
      <c r="BN13" s="131">
        <v>0</v>
      </c>
      <c r="BO13" s="131">
        <v>21388</v>
      </c>
      <c r="BP13" s="131"/>
      <c r="BQ13" s="72">
        <f t="shared" si="0"/>
        <v>-0.22000000020489097</v>
      </c>
    </row>
    <row r="14" spans="1:69">
      <c r="A14" s="131">
        <v>2079</v>
      </c>
      <c r="B14" s="131" t="s">
        <v>38</v>
      </c>
      <c r="C14" s="131">
        <v>4034</v>
      </c>
      <c r="D14" s="131"/>
      <c r="E14" s="410">
        <v>0</v>
      </c>
      <c r="F14" s="416">
        <f t="shared" si="1"/>
        <v>4034</v>
      </c>
      <c r="G14" s="413">
        <v>1865540</v>
      </c>
      <c r="H14" s="72">
        <v>0</v>
      </c>
      <c r="I14" s="72">
        <v>61518</v>
      </c>
      <c r="J14" s="131">
        <v>0</v>
      </c>
      <c r="K14" s="72">
        <v>27637.01</v>
      </c>
      <c r="L14" s="72">
        <v>11316</v>
      </c>
      <c r="M14" s="72">
        <v>0</v>
      </c>
      <c r="N14" s="72">
        <v>0</v>
      </c>
      <c r="O14" s="72">
        <v>19503.55</v>
      </c>
      <c r="P14" s="72">
        <v>38091.699999999997</v>
      </c>
      <c r="Q14" s="72">
        <v>12339.63</v>
      </c>
      <c r="R14" s="72">
        <v>877.2</v>
      </c>
      <c r="S14" s="72">
        <v>69086.600000000006</v>
      </c>
      <c r="T14" s="72">
        <v>0</v>
      </c>
      <c r="U14" s="72">
        <v>0</v>
      </c>
      <c r="V14" s="72">
        <v>0</v>
      </c>
      <c r="W14" s="72">
        <v>6082</v>
      </c>
      <c r="X14" s="72">
        <v>1281969.5900000001</v>
      </c>
      <c r="Y14" s="72">
        <v>22.2</v>
      </c>
      <c r="Z14" s="72">
        <v>161561.85</v>
      </c>
      <c r="AA14" s="72">
        <v>13827.96</v>
      </c>
      <c r="AB14" s="72">
        <v>91615.06</v>
      </c>
      <c r="AC14" s="72">
        <v>0</v>
      </c>
      <c r="AD14" s="72">
        <v>61518.3</v>
      </c>
      <c r="AE14" s="72">
        <v>4550.4399999999996</v>
      </c>
      <c r="AF14" s="72">
        <v>21287.95</v>
      </c>
      <c r="AG14" s="72">
        <v>18088.13</v>
      </c>
      <c r="AH14" s="72">
        <v>0</v>
      </c>
      <c r="AI14" s="72">
        <v>9794.4599999999991</v>
      </c>
      <c r="AJ14" s="72">
        <v>0</v>
      </c>
      <c r="AK14" s="72">
        <v>77625.25</v>
      </c>
      <c r="AL14" s="72">
        <v>4587.87</v>
      </c>
      <c r="AM14" s="72">
        <v>30643.3</v>
      </c>
      <c r="AN14" s="72">
        <v>13649.8</v>
      </c>
      <c r="AO14" s="72">
        <v>15688.88</v>
      </c>
      <c r="AP14" s="72">
        <v>110850.1</v>
      </c>
      <c r="AQ14" s="72">
        <v>16250.4</v>
      </c>
      <c r="AR14" s="72">
        <v>0</v>
      </c>
      <c r="AS14" s="72">
        <v>57190.879999999997</v>
      </c>
      <c r="AT14" s="72">
        <v>0</v>
      </c>
      <c r="AU14" s="72">
        <v>0</v>
      </c>
      <c r="AV14" s="72">
        <v>34851.800000000003</v>
      </c>
      <c r="AW14" s="72">
        <v>0</v>
      </c>
      <c r="AX14" s="72">
        <v>33326.32</v>
      </c>
      <c r="AY14" s="72">
        <v>30589.57</v>
      </c>
      <c r="AZ14" s="72">
        <v>0</v>
      </c>
      <c r="BA14" s="72">
        <v>8302.35</v>
      </c>
      <c r="BB14" s="72">
        <v>0</v>
      </c>
      <c r="BC14" s="72">
        <v>0</v>
      </c>
      <c r="BD14" s="72">
        <v>0</v>
      </c>
      <c r="BE14" s="72">
        <v>0</v>
      </c>
      <c r="BF14" s="72">
        <v>8302.35</v>
      </c>
      <c r="BG14" s="72">
        <v>0</v>
      </c>
      <c r="BH14" s="72">
        <v>0</v>
      </c>
      <c r="BI14" s="72">
        <v>0</v>
      </c>
      <c r="BJ14" s="72">
        <v>8302.35</v>
      </c>
      <c r="BK14" s="131">
        <v>5344</v>
      </c>
      <c r="BL14" s="131">
        <v>12889</v>
      </c>
      <c r="BM14" s="131">
        <v>0</v>
      </c>
      <c r="BN14" s="131">
        <v>0</v>
      </c>
      <c r="BO14" s="131">
        <v>0</v>
      </c>
      <c r="BP14" s="131"/>
      <c r="BQ14" s="72">
        <f t="shared" si="0"/>
        <v>0.22999999998137355</v>
      </c>
    </row>
    <row r="15" spans="1:69">
      <c r="A15" s="131">
        <v>3524</v>
      </c>
      <c r="B15" s="131" t="s">
        <v>456</v>
      </c>
      <c r="C15" s="131">
        <v>69255</v>
      </c>
      <c r="D15" s="131"/>
      <c r="E15" s="410">
        <v>0</v>
      </c>
      <c r="F15" s="416">
        <f t="shared" si="1"/>
        <v>69255</v>
      </c>
      <c r="G15" s="413">
        <v>866648.63</v>
      </c>
      <c r="H15" s="72">
        <v>0</v>
      </c>
      <c r="I15" s="72">
        <v>64462</v>
      </c>
      <c r="J15" s="131">
        <v>0</v>
      </c>
      <c r="K15" s="72">
        <v>18107</v>
      </c>
      <c r="L15" s="72">
        <v>2500</v>
      </c>
      <c r="M15" s="72">
        <v>0</v>
      </c>
      <c r="N15" s="72">
        <v>454</v>
      </c>
      <c r="O15" s="72">
        <v>42741.85</v>
      </c>
      <c r="P15" s="72">
        <v>0</v>
      </c>
      <c r="Q15" s="72">
        <v>0</v>
      </c>
      <c r="R15" s="72">
        <v>22770.5</v>
      </c>
      <c r="S15" s="72">
        <v>80000</v>
      </c>
      <c r="T15" s="72">
        <v>0</v>
      </c>
      <c r="U15" s="72">
        <v>0</v>
      </c>
      <c r="V15" s="72">
        <v>0</v>
      </c>
      <c r="W15" s="72">
        <v>5338</v>
      </c>
      <c r="X15" s="72">
        <v>512412.06</v>
      </c>
      <c r="Y15" s="72">
        <v>0</v>
      </c>
      <c r="Z15" s="72">
        <v>201415.2</v>
      </c>
      <c r="AA15" s="72">
        <v>0</v>
      </c>
      <c r="AB15" s="72">
        <v>45262.74</v>
      </c>
      <c r="AC15" s="72">
        <v>0</v>
      </c>
      <c r="AD15" s="72">
        <v>1559.2</v>
      </c>
      <c r="AE15" s="72">
        <v>8288.82</v>
      </c>
      <c r="AF15" s="72">
        <v>7523.27</v>
      </c>
      <c r="AG15" s="72">
        <v>629</v>
      </c>
      <c r="AH15" s="72">
        <v>4572.71</v>
      </c>
      <c r="AI15" s="72">
        <v>35090.870000000003</v>
      </c>
      <c r="AJ15" s="72">
        <v>180</v>
      </c>
      <c r="AK15" s="72">
        <v>51051.68</v>
      </c>
      <c r="AL15" s="72">
        <v>2733.96</v>
      </c>
      <c r="AM15" s="72">
        <v>6328.7</v>
      </c>
      <c r="AN15" s="72">
        <v>0</v>
      </c>
      <c r="AO15" s="72">
        <v>7765.62</v>
      </c>
      <c r="AP15" s="72">
        <v>68338.33</v>
      </c>
      <c r="AQ15" s="72">
        <v>15361.39</v>
      </c>
      <c r="AR15" s="72">
        <v>0</v>
      </c>
      <c r="AS15" s="72">
        <v>12258.78</v>
      </c>
      <c r="AT15" s="72">
        <v>8362.74</v>
      </c>
      <c r="AU15" s="72">
        <v>0</v>
      </c>
      <c r="AV15" s="72">
        <v>46383.5</v>
      </c>
      <c r="AW15" s="72">
        <v>22630.48</v>
      </c>
      <c r="AX15" s="72">
        <v>22938.02</v>
      </c>
      <c r="AY15" s="72">
        <v>25242.31</v>
      </c>
      <c r="AZ15" s="72">
        <v>0</v>
      </c>
      <c r="BA15" s="72">
        <v>0</v>
      </c>
      <c r="BB15" s="72">
        <v>0</v>
      </c>
      <c r="BC15" s="72">
        <v>0</v>
      </c>
      <c r="BD15" s="72">
        <v>0</v>
      </c>
      <c r="BE15" s="72">
        <v>0</v>
      </c>
      <c r="BF15" s="72">
        <v>0</v>
      </c>
      <c r="BG15" s="72">
        <v>0</v>
      </c>
      <c r="BH15" s="72">
        <v>0</v>
      </c>
      <c r="BI15" s="72">
        <v>0</v>
      </c>
      <c r="BJ15" s="72">
        <v>0</v>
      </c>
      <c r="BK15" s="131">
        <v>0</v>
      </c>
      <c r="BL15" s="131">
        <v>65948</v>
      </c>
      <c r="BM15" s="131">
        <v>0</v>
      </c>
      <c r="BN15" s="131">
        <v>0</v>
      </c>
      <c r="BO15" s="131">
        <v>0</v>
      </c>
      <c r="BP15" s="131"/>
      <c r="BQ15" s="72">
        <f t="shared" si="0"/>
        <v>-0.39999999990686774</v>
      </c>
    </row>
    <row r="16" spans="1:69">
      <c r="A16" s="131">
        <v>2003</v>
      </c>
      <c r="B16" s="131" t="s">
        <v>39</v>
      </c>
      <c r="C16" s="131">
        <v>205427</v>
      </c>
      <c r="D16" s="131"/>
      <c r="E16" s="410">
        <v>0</v>
      </c>
      <c r="F16" s="416">
        <f t="shared" si="1"/>
        <v>205427</v>
      </c>
      <c r="G16" s="413">
        <v>1887994</v>
      </c>
      <c r="H16" s="72">
        <v>0</v>
      </c>
      <c r="I16" s="72">
        <v>72614</v>
      </c>
      <c r="J16" s="131">
        <v>0</v>
      </c>
      <c r="K16" s="72">
        <v>144856.01</v>
      </c>
      <c r="L16" s="72">
        <v>1500</v>
      </c>
      <c r="M16" s="72">
        <v>7714.09</v>
      </c>
      <c r="N16" s="72">
        <v>49466.34</v>
      </c>
      <c r="O16" s="72">
        <v>38506.879999999997</v>
      </c>
      <c r="P16" s="72">
        <v>0</v>
      </c>
      <c r="Q16" s="72">
        <v>16000.17</v>
      </c>
      <c r="R16" s="72">
        <v>13049.3</v>
      </c>
      <c r="S16" s="72">
        <v>4588.53</v>
      </c>
      <c r="T16" s="72">
        <v>0</v>
      </c>
      <c r="U16" s="72">
        <v>299684.28000000003</v>
      </c>
      <c r="V16" s="72">
        <v>3602.27</v>
      </c>
      <c r="W16" s="72">
        <v>5875</v>
      </c>
      <c r="X16" s="72">
        <v>935433.48</v>
      </c>
      <c r="Y16" s="72">
        <v>20108.98</v>
      </c>
      <c r="Z16" s="72">
        <v>450245.61</v>
      </c>
      <c r="AA16" s="72">
        <v>66775.06</v>
      </c>
      <c r="AB16" s="72">
        <v>61195.65</v>
      </c>
      <c r="AC16" s="72">
        <v>0</v>
      </c>
      <c r="AD16" s="72">
        <v>44283.29</v>
      </c>
      <c r="AE16" s="72">
        <v>18498.64</v>
      </c>
      <c r="AF16" s="72">
        <v>25817.439999999999</v>
      </c>
      <c r="AG16" s="72">
        <v>21033.83</v>
      </c>
      <c r="AH16" s="72">
        <v>1373.3</v>
      </c>
      <c r="AI16" s="72">
        <v>29406.94</v>
      </c>
      <c r="AJ16" s="72">
        <v>5232.76</v>
      </c>
      <c r="AK16" s="72">
        <v>5875.52</v>
      </c>
      <c r="AL16" s="72">
        <v>4116.3900000000003</v>
      </c>
      <c r="AM16" s="72">
        <v>25945.119999999999</v>
      </c>
      <c r="AN16" s="72">
        <v>20135.25</v>
      </c>
      <c r="AO16" s="72">
        <v>6871.86</v>
      </c>
      <c r="AP16" s="72">
        <v>86891.12</v>
      </c>
      <c r="AQ16" s="72">
        <v>24749.65</v>
      </c>
      <c r="AR16" s="72">
        <v>0</v>
      </c>
      <c r="AS16" s="72">
        <v>25796.62</v>
      </c>
      <c r="AT16" s="72">
        <v>9519.66</v>
      </c>
      <c r="AU16" s="72">
        <v>14587.4</v>
      </c>
      <c r="AV16" s="72">
        <v>76499.600000000006</v>
      </c>
      <c r="AW16" s="72">
        <v>66085.25</v>
      </c>
      <c r="AX16" s="72">
        <v>136629.23000000001</v>
      </c>
      <c r="AY16" s="72">
        <v>44087.39</v>
      </c>
      <c r="AZ16" s="72">
        <v>0</v>
      </c>
      <c r="BA16" s="72">
        <v>61402.15</v>
      </c>
      <c r="BB16" s="72">
        <v>219522.74</v>
      </c>
      <c r="BC16" s="72">
        <v>51833.01</v>
      </c>
      <c r="BD16" s="72">
        <v>8443.76</v>
      </c>
      <c r="BE16" s="72">
        <v>0</v>
      </c>
      <c r="BF16" s="72">
        <v>61402.15</v>
      </c>
      <c r="BG16" s="72">
        <v>0</v>
      </c>
      <c r="BH16" s="72">
        <v>64399.21</v>
      </c>
      <c r="BI16" s="72">
        <v>0</v>
      </c>
      <c r="BJ16" s="72">
        <v>5446.69</v>
      </c>
      <c r="BK16" s="131">
        <v>3480</v>
      </c>
      <c r="BL16" s="131">
        <v>155514</v>
      </c>
      <c r="BM16" s="131">
        <v>0</v>
      </c>
      <c r="BN16" s="131">
        <v>0</v>
      </c>
      <c r="BO16" s="131">
        <v>31931</v>
      </c>
      <c r="BP16" s="131"/>
      <c r="BQ16" s="72">
        <f t="shared" si="0"/>
        <v>-6.0000000987201929E-2</v>
      </c>
    </row>
    <row r="17" spans="1:69">
      <c r="A17" s="131">
        <v>3511</v>
      </c>
      <c r="B17" s="131" t="s">
        <v>40</v>
      </c>
      <c r="C17" s="131">
        <v>179708</v>
      </c>
      <c r="D17" s="131"/>
      <c r="E17" s="410">
        <v>-7927</v>
      </c>
      <c r="F17" s="416">
        <f t="shared" si="1"/>
        <v>171781</v>
      </c>
      <c r="G17" s="413">
        <v>1335362.0900000001</v>
      </c>
      <c r="H17" s="72">
        <v>0</v>
      </c>
      <c r="I17" s="72">
        <v>103349</v>
      </c>
      <c r="J17" s="131">
        <v>0</v>
      </c>
      <c r="K17" s="72">
        <v>75287</v>
      </c>
      <c r="L17" s="72">
        <v>4400</v>
      </c>
      <c r="M17" s="400">
        <f>-15286.96+15286.96</f>
        <v>0</v>
      </c>
      <c r="N17" s="400">
        <f>-15286.96+18408.48</f>
        <v>3121.5200000000004</v>
      </c>
      <c r="O17" s="72">
        <v>49746.63</v>
      </c>
      <c r="P17" s="72">
        <v>450</v>
      </c>
      <c r="Q17" s="72">
        <v>0</v>
      </c>
      <c r="R17" s="72">
        <v>21839.5</v>
      </c>
      <c r="S17" s="72">
        <v>26918.04</v>
      </c>
      <c r="T17" s="72">
        <v>0</v>
      </c>
      <c r="U17" s="72">
        <v>0</v>
      </c>
      <c r="V17" s="72">
        <v>0</v>
      </c>
      <c r="W17" s="72">
        <v>5519</v>
      </c>
      <c r="X17" s="72">
        <v>645773.68999999994</v>
      </c>
      <c r="Y17" s="72">
        <v>32991.11</v>
      </c>
      <c r="Z17" s="72">
        <v>284047.24</v>
      </c>
      <c r="AA17" s="72">
        <v>26327.61</v>
      </c>
      <c r="AB17" s="72">
        <v>73726.81</v>
      </c>
      <c r="AC17" s="72">
        <v>0</v>
      </c>
      <c r="AD17" s="72">
        <v>34668.29</v>
      </c>
      <c r="AE17" s="72">
        <v>13363.89</v>
      </c>
      <c r="AF17" s="72">
        <v>23133.200000000001</v>
      </c>
      <c r="AG17" s="72">
        <v>8384.74</v>
      </c>
      <c r="AH17" s="72">
        <v>20.6</v>
      </c>
      <c r="AI17" s="72">
        <v>13522.37</v>
      </c>
      <c r="AJ17" s="72">
        <v>2387.7800000000002</v>
      </c>
      <c r="AK17" s="72">
        <v>13345.79</v>
      </c>
      <c r="AL17" s="72">
        <v>1212.72</v>
      </c>
      <c r="AM17" s="72">
        <v>14459.51</v>
      </c>
      <c r="AN17" s="72">
        <v>0.26</v>
      </c>
      <c r="AO17" s="72">
        <v>9535.48</v>
      </c>
      <c r="AP17" s="72">
        <v>103455.65</v>
      </c>
      <c r="AQ17" s="72">
        <v>37638.199999999997</v>
      </c>
      <c r="AR17" s="72">
        <v>-0.38</v>
      </c>
      <c r="AS17" s="72">
        <v>8806.26</v>
      </c>
      <c r="AT17" s="72">
        <v>5748.14</v>
      </c>
      <c r="AU17" s="72">
        <v>32363.17</v>
      </c>
      <c r="AV17" s="72">
        <v>77806.86</v>
      </c>
      <c r="AW17" s="72">
        <v>60358.2</v>
      </c>
      <c r="AX17" s="72">
        <v>31778.14</v>
      </c>
      <c r="AY17" s="72">
        <v>25004.03</v>
      </c>
      <c r="AZ17" s="72">
        <v>0</v>
      </c>
      <c r="BA17" s="72">
        <v>7927</v>
      </c>
      <c r="BB17" s="72">
        <v>0</v>
      </c>
      <c r="BC17" s="72">
        <v>0</v>
      </c>
      <c r="BD17" s="72">
        <v>0</v>
      </c>
      <c r="BE17" s="72">
        <v>23520</v>
      </c>
      <c r="BF17" s="72">
        <v>7927</v>
      </c>
      <c r="BG17" s="72">
        <v>0</v>
      </c>
      <c r="BH17" s="72">
        <v>23520</v>
      </c>
      <c r="BI17" s="72">
        <v>0</v>
      </c>
      <c r="BJ17" s="72">
        <v>0</v>
      </c>
      <c r="BK17" s="131">
        <v>0</v>
      </c>
      <c r="BL17" s="131">
        <v>217914</v>
      </c>
      <c r="BM17" s="131">
        <v>0</v>
      </c>
      <c r="BN17" s="131">
        <v>0</v>
      </c>
      <c r="BO17" s="131">
        <v>0</v>
      </c>
      <c r="BP17" s="131"/>
      <c r="BQ17" s="72">
        <f t="shared" si="0"/>
        <v>0.42000000015832484</v>
      </c>
    </row>
    <row r="18" spans="1:69">
      <c r="A18" s="131">
        <v>3519</v>
      </c>
      <c r="B18" s="131" t="s">
        <v>41</v>
      </c>
      <c r="C18" s="131">
        <v>476200</v>
      </c>
      <c r="D18" s="131"/>
      <c r="E18" s="410">
        <v>0</v>
      </c>
      <c r="F18" s="416">
        <f t="shared" si="1"/>
        <v>476200</v>
      </c>
      <c r="G18" s="413">
        <v>1200096</v>
      </c>
      <c r="H18" s="72">
        <v>0</v>
      </c>
      <c r="I18" s="72">
        <v>251140.65</v>
      </c>
      <c r="J18" s="131">
        <v>0</v>
      </c>
      <c r="K18" s="72">
        <v>100421.1</v>
      </c>
      <c r="L18" s="72">
        <v>54163.64</v>
      </c>
      <c r="M18" s="72">
        <v>4899.0600000000004</v>
      </c>
      <c r="N18" s="72">
        <v>49425.79</v>
      </c>
      <c r="O18" s="72">
        <v>24619.65</v>
      </c>
      <c r="P18" s="72">
        <v>4275</v>
      </c>
      <c r="Q18" s="72">
        <v>2008.92</v>
      </c>
      <c r="R18" s="72">
        <v>28078.38</v>
      </c>
      <c r="S18" s="72">
        <v>917.1</v>
      </c>
      <c r="T18" s="72">
        <v>0</v>
      </c>
      <c r="U18" s="72">
        <v>0</v>
      </c>
      <c r="V18" s="72">
        <v>0</v>
      </c>
      <c r="W18" s="72">
        <v>0</v>
      </c>
      <c r="X18" s="72">
        <v>766624.68</v>
      </c>
      <c r="Y18" s="72">
        <v>16084.54</v>
      </c>
      <c r="Z18" s="72">
        <v>485617.75</v>
      </c>
      <c r="AA18" s="72">
        <v>39708.339999999997</v>
      </c>
      <c r="AB18" s="72">
        <v>27965.07</v>
      </c>
      <c r="AC18" s="72">
        <v>0</v>
      </c>
      <c r="AD18" s="72">
        <v>44822.38</v>
      </c>
      <c r="AE18" s="72">
        <v>3916.17</v>
      </c>
      <c r="AF18" s="72">
        <v>7880.18</v>
      </c>
      <c r="AG18" s="400">
        <f>-19836.62+38621.32-1504.55</f>
        <v>17280.150000000001</v>
      </c>
      <c r="AH18" s="400">
        <f>-19836.62+19836.62</f>
        <v>0</v>
      </c>
      <c r="AI18" s="72">
        <v>13565.22</v>
      </c>
      <c r="AJ18" s="72">
        <v>5686.9</v>
      </c>
      <c r="AK18" s="72">
        <v>2639.1</v>
      </c>
      <c r="AL18" s="72">
        <v>1469.24</v>
      </c>
      <c r="AM18" s="72">
        <v>17614.82</v>
      </c>
      <c r="AN18" s="72">
        <v>26572.52</v>
      </c>
      <c r="AO18" s="72">
        <v>7580.01</v>
      </c>
      <c r="AP18" s="72">
        <v>88777.9</v>
      </c>
      <c r="AQ18" s="72">
        <v>20114.36</v>
      </c>
      <c r="AR18" s="72">
        <v>0</v>
      </c>
      <c r="AS18" s="72">
        <v>8127.44</v>
      </c>
      <c r="AT18" s="400">
        <f>-1504.55+1504.55</f>
        <v>0</v>
      </c>
      <c r="AU18" s="72">
        <v>3902.07</v>
      </c>
      <c r="AV18" s="72">
        <v>35597.550000000003</v>
      </c>
      <c r="AW18" s="72">
        <v>5728</v>
      </c>
      <c r="AX18" s="72">
        <v>41709.82</v>
      </c>
      <c r="AY18" s="72">
        <v>85180.65</v>
      </c>
      <c r="AZ18" s="72">
        <v>0</v>
      </c>
      <c r="BA18" s="72">
        <v>0</v>
      </c>
      <c r="BB18" s="72">
        <v>0</v>
      </c>
      <c r="BC18" s="72">
        <v>0</v>
      </c>
      <c r="BD18" s="72">
        <v>4975.63</v>
      </c>
      <c r="BE18" s="72">
        <v>0</v>
      </c>
      <c r="BF18" s="72">
        <v>0</v>
      </c>
      <c r="BG18" s="72">
        <v>0</v>
      </c>
      <c r="BH18" s="72">
        <v>116566.06</v>
      </c>
      <c r="BI18" s="72">
        <v>22470</v>
      </c>
      <c r="BJ18" s="72">
        <v>3200.25</v>
      </c>
      <c r="BK18" s="401">
        <f>284820+137260</f>
        <v>422080</v>
      </c>
      <c r="BL18" s="131">
        <v>0</v>
      </c>
      <c r="BM18" s="401">
        <v>-137260</v>
      </c>
      <c r="BN18" s="131">
        <v>0</v>
      </c>
      <c r="BO18" s="131">
        <v>0</v>
      </c>
      <c r="BP18" s="131"/>
      <c r="BQ18" s="72">
        <f t="shared" si="0"/>
        <v>-0.25000000069849193</v>
      </c>
    </row>
    <row r="19" spans="1:69">
      <c r="A19" s="131">
        <v>2008</v>
      </c>
      <c r="B19" s="131" t="s">
        <v>42</v>
      </c>
      <c r="C19" s="131">
        <v>44315</v>
      </c>
      <c r="D19" s="131"/>
      <c r="E19" s="410">
        <v>0</v>
      </c>
      <c r="F19" s="416">
        <f t="shared" si="1"/>
        <v>44315</v>
      </c>
      <c r="G19" s="413">
        <v>1233334</v>
      </c>
      <c r="H19" s="72">
        <v>0</v>
      </c>
      <c r="I19" s="72">
        <v>30608</v>
      </c>
      <c r="J19" s="131">
        <v>0</v>
      </c>
      <c r="K19" s="72">
        <v>37667</v>
      </c>
      <c r="L19" s="72">
        <v>4070</v>
      </c>
      <c r="M19" s="72">
        <v>0</v>
      </c>
      <c r="N19" s="72">
        <v>31884.44</v>
      </c>
      <c r="O19" s="72">
        <v>55425.24</v>
      </c>
      <c r="P19" s="72">
        <v>21048.51</v>
      </c>
      <c r="Q19" s="72">
        <v>12251.81</v>
      </c>
      <c r="R19" s="72">
        <v>27227.4</v>
      </c>
      <c r="S19" s="72">
        <v>22274.22</v>
      </c>
      <c r="T19" s="72">
        <v>0</v>
      </c>
      <c r="U19" s="72">
        <v>0</v>
      </c>
      <c r="V19" s="72">
        <v>0</v>
      </c>
      <c r="W19" s="72">
        <v>5432</v>
      </c>
      <c r="X19" s="72">
        <v>661317.73</v>
      </c>
      <c r="Y19" s="72">
        <v>0</v>
      </c>
      <c r="Z19" s="72">
        <v>285251.09999999998</v>
      </c>
      <c r="AA19" s="72">
        <v>33838.870000000003</v>
      </c>
      <c r="AB19" s="72">
        <v>62704.82</v>
      </c>
      <c r="AC19" s="72">
        <v>0</v>
      </c>
      <c r="AD19" s="72">
        <v>31187.82</v>
      </c>
      <c r="AE19" s="72">
        <v>6072.66</v>
      </c>
      <c r="AF19" s="72">
        <v>9183</v>
      </c>
      <c r="AG19" s="72">
        <v>13201.24</v>
      </c>
      <c r="AH19" s="72">
        <v>1736.64</v>
      </c>
      <c r="AI19" s="72">
        <v>15556.44</v>
      </c>
      <c r="AJ19" s="72">
        <v>5643.37</v>
      </c>
      <c r="AK19" s="72">
        <v>16419.73</v>
      </c>
      <c r="AL19" s="72">
        <v>4566.6000000000004</v>
      </c>
      <c r="AM19" s="72">
        <v>21736.2</v>
      </c>
      <c r="AN19" s="72">
        <v>15957.5</v>
      </c>
      <c r="AO19" s="72">
        <v>5870.68</v>
      </c>
      <c r="AP19" s="72">
        <v>65923.740000000005</v>
      </c>
      <c r="AQ19" s="72">
        <v>15663.69</v>
      </c>
      <c r="AR19" s="72">
        <v>0</v>
      </c>
      <c r="AS19" s="72">
        <v>6423.59</v>
      </c>
      <c r="AT19" s="72">
        <v>7023.21</v>
      </c>
      <c r="AU19" s="72">
        <v>10077.5</v>
      </c>
      <c r="AV19" s="72">
        <v>67888.479999999996</v>
      </c>
      <c r="AW19" s="72">
        <v>51248.36</v>
      </c>
      <c r="AX19" s="72">
        <v>15984.61</v>
      </c>
      <c r="AY19" s="72">
        <v>27105.25</v>
      </c>
      <c r="AZ19" s="72">
        <v>0</v>
      </c>
      <c r="BA19" s="72">
        <v>5515</v>
      </c>
      <c r="BB19" s="72">
        <v>0</v>
      </c>
      <c r="BC19" s="72">
        <v>0</v>
      </c>
      <c r="BD19" s="72">
        <v>7330</v>
      </c>
      <c r="BE19" s="72">
        <v>9643.7999999999993</v>
      </c>
      <c r="BF19" s="72">
        <v>5515</v>
      </c>
      <c r="BG19" s="72">
        <v>0</v>
      </c>
      <c r="BH19" s="72">
        <v>0</v>
      </c>
      <c r="BI19" s="72">
        <v>0</v>
      </c>
      <c r="BJ19" s="72">
        <v>15158.8</v>
      </c>
      <c r="BK19" s="131">
        <v>0</v>
      </c>
      <c r="BL19" s="131">
        <v>62440</v>
      </c>
      <c r="BM19" s="131">
        <v>7330</v>
      </c>
      <c r="BN19" s="131">
        <v>0</v>
      </c>
      <c r="BO19" s="131">
        <v>0</v>
      </c>
      <c r="BP19" s="131"/>
      <c r="BQ19" s="72">
        <f t="shared" si="0"/>
        <v>-0.2099999999627471</v>
      </c>
    </row>
    <row r="20" spans="1:69">
      <c r="A20" s="131">
        <v>2007</v>
      </c>
      <c r="B20" s="131" t="s">
        <v>43</v>
      </c>
      <c r="C20" s="131">
        <v>144352</v>
      </c>
      <c r="D20" s="131"/>
      <c r="E20" s="410">
        <v>11337</v>
      </c>
      <c r="F20" s="416">
        <f t="shared" si="1"/>
        <v>155689</v>
      </c>
      <c r="G20" s="413">
        <v>1402771</v>
      </c>
      <c r="H20" s="72">
        <v>0</v>
      </c>
      <c r="I20" s="72">
        <v>143901</v>
      </c>
      <c r="J20" s="131">
        <v>0</v>
      </c>
      <c r="K20" s="72">
        <v>48025</v>
      </c>
      <c r="L20" s="72">
        <v>2650</v>
      </c>
      <c r="M20" s="72">
        <v>3696.45</v>
      </c>
      <c r="N20" s="72">
        <v>33254.699999999997</v>
      </c>
      <c r="O20" s="72">
        <v>60015.05</v>
      </c>
      <c r="P20" s="72">
        <v>29412</v>
      </c>
      <c r="Q20" s="72">
        <v>0</v>
      </c>
      <c r="R20" s="72">
        <v>45274.53</v>
      </c>
      <c r="S20" s="72">
        <v>4777.8599999999997</v>
      </c>
      <c r="T20" s="72">
        <v>0</v>
      </c>
      <c r="U20" s="72">
        <v>0</v>
      </c>
      <c r="V20" s="72">
        <v>0</v>
      </c>
      <c r="W20" s="72">
        <v>6014</v>
      </c>
      <c r="X20" s="72">
        <v>821035.06</v>
      </c>
      <c r="Y20" s="72">
        <v>0</v>
      </c>
      <c r="Z20" s="72">
        <v>271915.84999999998</v>
      </c>
      <c r="AA20" s="72">
        <v>31337.200000000001</v>
      </c>
      <c r="AB20" s="72">
        <v>46618.92</v>
      </c>
      <c r="AC20" s="72">
        <v>0</v>
      </c>
      <c r="AD20" s="72">
        <v>26229.53</v>
      </c>
      <c r="AE20" s="72">
        <v>7150.55</v>
      </c>
      <c r="AF20" s="72">
        <v>17579.400000000001</v>
      </c>
      <c r="AG20" s="72">
        <v>14797.09</v>
      </c>
      <c r="AH20" s="72">
        <v>1991.12</v>
      </c>
      <c r="AI20" s="72">
        <v>23766.73</v>
      </c>
      <c r="AJ20" s="72">
        <v>4819.0200000000004</v>
      </c>
      <c r="AK20" s="72">
        <v>18282.169999999998</v>
      </c>
      <c r="AL20" s="72">
        <v>4457.71</v>
      </c>
      <c r="AM20" s="72">
        <v>28067.15</v>
      </c>
      <c r="AN20" s="72">
        <v>15957.5</v>
      </c>
      <c r="AO20" s="72">
        <v>6889.17</v>
      </c>
      <c r="AP20" s="72">
        <v>60694.65</v>
      </c>
      <c r="AQ20" s="72">
        <v>18562.32</v>
      </c>
      <c r="AR20" s="72">
        <v>0</v>
      </c>
      <c r="AS20" s="72">
        <v>14129.33</v>
      </c>
      <c r="AT20" s="72">
        <v>8312.52</v>
      </c>
      <c r="AU20" s="72">
        <v>1214.17</v>
      </c>
      <c r="AV20" s="72">
        <v>63058.82</v>
      </c>
      <c r="AW20" s="72">
        <v>44401.5</v>
      </c>
      <c r="AX20" s="72">
        <v>138146.07</v>
      </c>
      <c r="AY20" s="72">
        <v>31318.32</v>
      </c>
      <c r="AZ20" s="72">
        <v>0</v>
      </c>
      <c r="BA20" s="72">
        <v>6599</v>
      </c>
      <c r="BB20" s="72">
        <v>0</v>
      </c>
      <c r="BC20" s="72">
        <v>0</v>
      </c>
      <c r="BD20" s="72">
        <v>8050</v>
      </c>
      <c r="BE20" s="72">
        <v>0</v>
      </c>
      <c r="BF20" s="72">
        <v>6599</v>
      </c>
      <c r="BG20" s="72">
        <v>0</v>
      </c>
      <c r="BH20" s="72">
        <v>0</v>
      </c>
      <c r="BI20" s="72">
        <v>0</v>
      </c>
      <c r="BJ20" s="72">
        <v>15599</v>
      </c>
      <c r="BK20" s="131">
        <v>0</v>
      </c>
      <c r="BL20" s="131">
        <v>196813</v>
      </c>
      <c r="BM20" s="131">
        <v>10387</v>
      </c>
      <c r="BN20" s="131">
        <v>0</v>
      </c>
      <c r="BO20" s="131">
        <v>0</v>
      </c>
      <c r="BP20" s="131"/>
      <c r="BQ20" s="72">
        <f t="shared" si="0"/>
        <v>-0.28000000002793968</v>
      </c>
    </row>
    <row r="21" spans="1:69">
      <c r="A21" s="131">
        <v>2009</v>
      </c>
      <c r="B21" s="131" t="s">
        <v>44</v>
      </c>
      <c r="C21" s="131">
        <v>171600</v>
      </c>
      <c r="D21" s="131"/>
      <c r="E21" s="410">
        <v>0</v>
      </c>
      <c r="F21" s="416">
        <f t="shared" si="1"/>
        <v>171600</v>
      </c>
      <c r="G21" s="413">
        <v>1444660.83</v>
      </c>
      <c r="H21" s="72">
        <v>0</v>
      </c>
      <c r="I21" s="72">
        <v>49988</v>
      </c>
      <c r="J21" s="131">
        <v>0</v>
      </c>
      <c r="K21" s="72">
        <v>102143</v>
      </c>
      <c r="L21" s="72">
        <v>37795.550000000003</v>
      </c>
      <c r="M21" s="72">
        <v>1475</v>
      </c>
      <c r="N21" s="72">
        <v>46449.3</v>
      </c>
      <c r="O21" s="72">
        <v>39135.199999999997</v>
      </c>
      <c r="P21" s="72">
        <v>6779.84</v>
      </c>
      <c r="Q21" s="72">
        <v>1635</v>
      </c>
      <c r="R21" s="72">
        <v>8822.99</v>
      </c>
      <c r="S21" s="72">
        <v>6046.1</v>
      </c>
      <c r="T21" s="72">
        <v>0</v>
      </c>
      <c r="U21" s="72">
        <v>0</v>
      </c>
      <c r="V21" s="72">
        <v>0</v>
      </c>
      <c r="W21" s="72">
        <v>5535</v>
      </c>
      <c r="X21" s="72">
        <v>695670.01</v>
      </c>
      <c r="Y21" s="72">
        <v>0</v>
      </c>
      <c r="Z21" s="72">
        <v>387516.48</v>
      </c>
      <c r="AA21" s="72">
        <v>28047.98</v>
      </c>
      <c r="AB21" s="72">
        <v>59395.6</v>
      </c>
      <c r="AC21" s="72">
        <v>0</v>
      </c>
      <c r="AD21" s="72">
        <v>41441.22</v>
      </c>
      <c r="AE21" s="72">
        <v>5590.99</v>
      </c>
      <c r="AF21" s="72">
        <v>12927.34</v>
      </c>
      <c r="AG21" s="72">
        <v>16224.89</v>
      </c>
      <c r="AH21" s="72">
        <v>1703.96</v>
      </c>
      <c r="AI21" s="72">
        <v>22183.01</v>
      </c>
      <c r="AJ21" s="72">
        <v>4107.76</v>
      </c>
      <c r="AK21" s="72">
        <v>20539.46</v>
      </c>
      <c r="AL21" s="72">
        <v>1972.3</v>
      </c>
      <c r="AM21" s="72">
        <v>17699.400000000001</v>
      </c>
      <c r="AN21" s="72">
        <v>10857</v>
      </c>
      <c r="AO21" s="72">
        <v>8668.7000000000007</v>
      </c>
      <c r="AP21" s="72">
        <v>72707.3</v>
      </c>
      <c r="AQ21" s="72">
        <v>19389.78</v>
      </c>
      <c r="AR21" s="72">
        <v>0</v>
      </c>
      <c r="AS21" s="72">
        <v>9528.69</v>
      </c>
      <c r="AT21" s="72">
        <v>6240.16</v>
      </c>
      <c r="AU21" s="72">
        <v>13792.01</v>
      </c>
      <c r="AV21" s="72">
        <v>64116.91</v>
      </c>
      <c r="AW21" s="72">
        <v>48972</v>
      </c>
      <c r="AX21" s="72">
        <v>54934.68</v>
      </c>
      <c r="AY21" s="72">
        <v>24447.23</v>
      </c>
      <c r="AZ21" s="72">
        <v>0</v>
      </c>
      <c r="BA21" s="72">
        <v>52166</v>
      </c>
      <c r="BB21" s="72">
        <v>0</v>
      </c>
      <c r="BC21" s="72">
        <v>0</v>
      </c>
      <c r="BD21" s="72">
        <v>6835</v>
      </c>
      <c r="BE21" s="72">
        <v>0</v>
      </c>
      <c r="BF21" s="72">
        <v>52166</v>
      </c>
      <c r="BG21" s="72">
        <v>0</v>
      </c>
      <c r="BH21" s="72">
        <v>0</v>
      </c>
      <c r="BI21" s="72">
        <v>27165.919999999998</v>
      </c>
      <c r="BJ21" s="72">
        <v>24327</v>
      </c>
      <c r="BK21" s="131">
        <v>100000</v>
      </c>
      <c r="BL21" s="131">
        <v>121225</v>
      </c>
      <c r="BM21" s="131">
        <v>0</v>
      </c>
      <c r="BN21" s="131">
        <v>7508</v>
      </c>
      <c r="BO21" s="131">
        <v>0</v>
      </c>
      <c r="BP21" s="131"/>
      <c r="BQ21" s="72">
        <f t="shared" si="0"/>
        <v>3.0000000726431608E-2</v>
      </c>
    </row>
    <row r="22" spans="1:69">
      <c r="A22" s="131">
        <v>2067</v>
      </c>
      <c r="B22" s="131" t="s">
        <v>45</v>
      </c>
      <c r="C22" s="131">
        <v>131128</v>
      </c>
      <c r="D22" s="131"/>
      <c r="E22" s="410">
        <v>12</v>
      </c>
      <c r="F22" s="416">
        <f t="shared" si="1"/>
        <v>131140</v>
      </c>
      <c r="G22" s="413">
        <v>945468.13</v>
      </c>
      <c r="H22" s="72">
        <v>0</v>
      </c>
      <c r="I22" s="72">
        <v>32765</v>
      </c>
      <c r="J22" s="131">
        <v>0</v>
      </c>
      <c r="K22" s="72">
        <v>53668</v>
      </c>
      <c r="L22" s="72">
        <v>1582</v>
      </c>
      <c r="M22" s="72">
        <v>14778.04</v>
      </c>
      <c r="N22" s="72">
        <v>21863.61</v>
      </c>
      <c r="O22" s="72">
        <v>35095.1</v>
      </c>
      <c r="P22" s="72">
        <v>3249</v>
      </c>
      <c r="Q22" s="72">
        <v>1380</v>
      </c>
      <c r="R22" s="72">
        <v>18167.95</v>
      </c>
      <c r="S22" s="72">
        <v>8044.67</v>
      </c>
      <c r="T22" s="72">
        <v>0</v>
      </c>
      <c r="U22" s="72">
        <v>0</v>
      </c>
      <c r="V22" s="72">
        <v>0</v>
      </c>
      <c r="W22" s="72">
        <v>5422</v>
      </c>
      <c r="X22" s="72">
        <v>527557.71</v>
      </c>
      <c r="Y22" s="72">
        <v>0</v>
      </c>
      <c r="Z22" s="72">
        <v>161052.01</v>
      </c>
      <c r="AA22" s="72">
        <v>25198.91</v>
      </c>
      <c r="AB22" s="72">
        <v>45064.63</v>
      </c>
      <c r="AC22" s="72">
        <v>0</v>
      </c>
      <c r="AD22" s="72">
        <v>14532.69</v>
      </c>
      <c r="AE22" s="72">
        <v>7675.59</v>
      </c>
      <c r="AF22" s="72">
        <v>6036.14</v>
      </c>
      <c r="AG22" s="72">
        <v>9648.1299999999992</v>
      </c>
      <c r="AH22" s="72">
        <v>431.31</v>
      </c>
      <c r="AI22" s="72">
        <v>20869.64</v>
      </c>
      <c r="AJ22" s="72">
        <v>6458.15</v>
      </c>
      <c r="AK22" s="72">
        <v>19037.39</v>
      </c>
      <c r="AL22" s="72">
        <v>3730.22</v>
      </c>
      <c r="AM22" s="72">
        <v>17900.09</v>
      </c>
      <c r="AN22" s="72">
        <v>14365.5</v>
      </c>
      <c r="AO22" s="72">
        <v>10619.34</v>
      </c>
      <c r="AP22" s="72">
        <v>52974.97</v>
      </c>
      <c r="AQ22" s="72">
        <v>19970.099999999999</v>
      </c>
      <c r="AR22" s="72">
        <v>0</v>
      </c>
      <c r="AS22" s="72">
        <v>6846.54</v>
      </c>
      <c r="AT22" s="72">
        <v>4465.58</v>
      </c>
      <c r="AU22" s="72">
        <v>17096.43</v>
      </c>
      <c r="AV22" s="72">
        <v>47021.15</v>
      </c>
      <c r="AW22" s="72">
        <v>41719.5</v>
      </c>
      <c r="AX22" s="72">
        <v>41106.050000000003</v>
      </c>
      <c r="AY22" s="72">
        <v>25249.08</v>
      </c>
      <c r="AZ22" s="72">
        <v>0</v>
      </c>
      <c r="BA22" s="72">
        <v>42690</v>
      </c>
      <c r="BB22" s="72">
        <v>0</v>
      </c>
      <c r="BC22" s="72">
        <v>0</v>
      </c>
      <c r="BD22" s="72">
        <v>6283.76</v>
      </c>
      <c r="BE22" s="72">
        <v>82628.37</v>
      </c>
      <c r="BF22" s="72">
        <v>42690</v>
      </c>
      <c r="BG22" s="72">
        <v>0</v>
      </c>
      <c r="BH22" s="72">
        <v>48986.36</v>
      </c>
      <c r="BI22" s="72">
        <v>0</v>
      </c>
      <c r="BJ22" s="72">
        <v>82628.37</v>
      </c>
      <c r="BK22" s="131">
        <v>4581</v>
      </c>
      <c r="BL22" s="131">
        <v>78714</v>
      </c>
      <c r="BM22" s="131">
        <v>-1</v>
      </c>
      <c r="BN22" s="131">
        <v>0</v>
      </c>
      <c r="BO22" s="131">
        <v>0</v>
      </c>
      <c r="BP22" s="131"/>
      <c r="BQ22" s="72">
        <f t="shared" si="0"/>
        <v>4.9999999813735485E-2</v>
      </c>
    </row>
    <row r="23" spans="1:69">
      <c r="A23" s="131">
        <v>2010</v>
      </c>
      <c r="B23" s="131" t="s">
        <v>46</v>
      </c>
      <c r="C23" s="131">
        <v>182624</v>
      </c>
      <c r="D23" s="131"/>
      <c r="E23" s="410">
        <v>1</v>
      </c>
      <c r="F23" s="416">
        <f t="shared" si="1"/>
        <v>182625</v>
      </c>
      <c r="G23" s="413">
        <v>1876452</v>
      </c>
      <c r="H23" s="72">
        <v>0</v>
      </c>
      <c r="I23" s="72">
        <v>425709.68</v>
      </c>
      <c r="J23" s="131">
        <v>0</v>
      </c>
      <c r="K23" s="72">
        <v>157492.01</v>
      </c>
      <c r="L23" s="72">
        <v>3282.5</v>
      </c>
      <c r="M23" s="72">
        <v>48373.120000000003</v>
      </c>
      <c r="N23" s="72">
        <v>18029.97</v>
      </c>
      <c r="O23" s="72">
        <v>36298.29</v>
      </c>
      <c r="P23" s="72">
        <v>0</v>
      </c>
      <c r="Q23" s="72">
        <v>1995</v>
      </c>
      <c r="R23" s="72">
        <v>15926.65</v>
      </c>
      <c r="S23" s="72">
        <v>11247.08</v>
      </c>
      <c r="T23" s="72">
        <v>0</v>
      </c>
      <c r="U23" s="72">
        <v>286100.78999999998</v>
      </c>
      <c r="V23" s="72">
        <v>5818.17</v>
      </c>
      <c r="W23" s="72">
        <v>5723</v>
      </c>
      <c r="X23" s="72">
        <v>1042006.76</v>
      </c>
      <c r="Y23" s="72">
        <v>0</v>
      </c>
      <c r="Z23" s="72">
        <v>651508.69999999995</v>
      </c>
      <c r="AA23" s="72">
        <v>69107.100000000006</v>
      </c>
      <c r="AB23" s="72">
        <v>88662.81</v>
      </c>
      <c r="AC23" s="72">
        <v>0</v>
      </c>
      <c r="AD23" s="72">
        <v>36662.6</v>
      </c>
      <c r="AE23" s="72">
        <v>30807.31</v>
      </c>
      <c r="AF23" s="72">
        <v>11703.38</v>
      </c>
      <c r="AG23" s="72">
        <v>24195.69</v>
      </c>
      <c r="AH23" s="72">
        <v>1328</v>
      </c>
      <c r="AI23" s="72">
        <v>29653.54</v>
      </c>
      <c r="AJ23" s="72">
        <v>2229.4699999999998</v>
      </c>
      <c r="AK23" s="72">
        <v>3679.89</v>
      </c>
      <c r="AL23" s="72">
        <v>3148.1</v>
      </c>
      <c r="AM23" s="72">
        <v>15491.02</v>
      </c>
      <c r="AN23" s="72">
        <v>19996.810000000001</v>
      </c>
      <c r="AO23" s="72">
        <v>9308.17</v>
      </c>
      <c r="AP23" s="72">
        <v>70515.56</v>
      </c>
      <c r="AQ23" s="72">
        <v>33653.86</v>
      </c>
      <c r="AR23" s="72">
        <v>0</v>
      </c>
      <c r="AS23" s="72">
        <v>12319.84</v>
      </c>
      <c r="AT23" s="72">
        <v>7421.73</v>
      </c>
      <c r="AU23" s="72">
        <v>14532.99</v>
      </c>
      <c r="AV23" s="72">
        <v>66456.539999999994</v>
      </c>
      <c r="AW23" s="72">
        <v>35628</v>
      </c>
      <c r="AX23" s="72">
        <v>206812.05</v>
      </c>
      <c r="AY23" s="72">
        <v>51286.62</v>
      </c>
      <c r="AZ23" s="72">
        <v>0</v>
      </c>
      <c r="BA23" s="72">
        <v>21088.54</v>
      </c>
      <c r="BB23" s="72">
        <v>230204.68</v>
      </c>
      <c r="BC23" s="72">
        <v>38332.89</v>
      </c>
      <c r="BD23" s="72">
        <v>7898.12</v>
      </c>
      <c r="BE23" s="72">
        <v>4853</v>
      </c>
      <c r="BF23" s="72">
        <v>21088.54</v>
      </c>
      <c r="BG23" s="72">
        <v>0</v>
      </c>
      <c r="BH23" s="72">
        <v>16012.08</v>
      </c>
      <c r="BI23" s="72">
        <v>0</v>
      </c>
      <c r="BJ23" s="72">
        <v>17827.580000000002</v>
      </c>
      <c r="BK23" s="131">
        <v>29952</v>
      </c>
      <c r="BL23" s="131">
        <v>193997</v>
      </c>
      <c r="BM23" s="131">
        <v>1</v>
      </c>
      <c r="BN23" s="131">
        <v>0</v>
      </c>
      <c r="BO23" s="131">
        <v>23381</v>
      </c>
      <c r="BP23" s="131"/>
      <c r="BQ23" s="72">
        <f t="shared" si="0"/>
        <v>-0.38999999966472387</v>
      </c>
    </row>
    <row r="24" spans="1:69">
      <c r="A24" s="131">
        <v>3302</v>
      </c>
      <c r="B24" s="131" t="s">
        <v>47</v>
      </c>
      <c r="C24" s="131">
        <v>43554</v>
      </c>
      <c r="D24" s="131"/>
      <c r="E24" s="410">
        <v>0</v>
      </c>
      <c r="F24" s="416">
        <f t="shared" si="1"/>
        <v>43554</v>
      </c>
      <c r="G24" s="413">
        <v>918419.83</v>
      </c>
      <c r="H24" s="72">
        <v>0</v>
      </c>
      <c r="I24" s="72">
        <v>21467</v>
      </c>
      <c r="J24" s="131">
        <v>0</v>
      </c>
      <c r="K24" s="72">
        <v>19060</v>
      </c>
      <c r="L24" s="72">
        <v>0</v>
      </c>
      <c r="M24" s="72">
        <v>5836.35</v>
      </c>
      <c r="N24" s="72">
        <v>26736</v>
      </c>
      <c r="O24" s="72">
        <v>55431.9</v>
      </c>
      <c r="P24" s="400">
        <f>181.79-31.54</f>
        <v>150.25</v>
      </c>
      <c r="Q24" s="400">
        <f>-31.54+31.54</f>
        <v>0</v>
      </c>
      <c r="R24" s="72">
        <v>35916.379999999997</v>
      </c>
      <c r="S24" s="72">
        <v>12520.87</v>
      </c>
      <c r="T24" s="72">
        <v>0</v>
      </c>
      <c r="U24" s="72">
        <v>0</v>
      </c>
      <c r="V24" s="72">
        <v>0</v>
      </c>
      <c r="W24" s="72">
        <v>5435</v>
      </c>
      <c r="X24" s="72">
        <v>470369.67</v>
      </c>
      <c r="Y24" s="72">
        <v>44427.38</v>
      </c>
      <c r="Z24" s="72">
        <v>220492.72</v>
      </c>
      <c r="AA24" s="72">
        <v>44328.71</v>
      </c>
      <c r="AB24" s="72">
        <v>31883.1</v>
      </c>
      <c r="AC24" s="72">
        <v>0</v>
      </c>
      <c r="AD24" s="72">
        <v>24706.81</v>
      </c>
      <c r="AE24" s="72">
        <v>11402.26</v>
      </c>
      <c r="AF24" s="72">
        <v>7743.24</v>
      </c>
      <c r="AG24" s="72">
        <v>10105.99</v>
      </c>
      <c r="AH24" s="72">
        <v>1636.87</v>
      </c>
      <c r="AI24" s="72">
        <v>17367.580000000002</v>
      </c>
      <c r="AJ24" s="72">
        <v>2146.94</v>
      </c>
      <c r="AK24" s="72">
        <v>1592.17</v>
      </c>
      <c r="AL24" s="72">
        <v>2177</v>
      </c>
      <c r="AM24" s="72">
        <v>26667.32</v>
      </c>
      <c r="AN24" s="72">
        <v>0</v>
      </c>
      <c r="AO24" s="72">
        <v>4214.08</v>
      </c>
      <c r="AP24" s="72">
        <v>38174.519999999997</v>
      </c>
      <c r="AQ24" s="72">
        <v>14688.71</v>
      </c>
      <c r="AR24" s="72">
        <v>0</v>
      </c>
      <c r="AS24" s="72">
        <v>3172.97</v>
      </c>
      <c r="AT24" s="72">
        <v>5311.33</v>
      </c>
      <c r="AU24" s="72">
        <v>5871</v>
      </c>
      <c r="AV24" s="72">
        <v>61319.02</v>
      </c>
      <c r="AW24" s="72">
        <v>0</v>
      </c>
      <c r="AX24" s="72">
        <v>29357.09</v>
      </c>
      <c r="AY24" s="72">
        <v>18810.32</v>
      </c>
      <c r="AZ24" s="72">
        <v>0</v>
      </c>
      <c r="BA24" s="72">
        <v>0</v>
      </c>
      <c r="BB24" s="72">
        <v>0</v>
      </c>
      <c r="BC24" s="72">
        <v>0</v>
      </c>
      <c r="BD24" s="72">
        <v>0</v>
      </c>
      <c r="BE24" s="72">
        <v>3000</v>
      </c>
      <c r="BF24" s="72">
        <v>0</v>
      </c>
      <c r="BG24" s="72">
        <v>0</v>
      </c>
      <c r="BH24" s="72">
        <v>14448</v>
      </c>
      <c r="BI24" s="72">
        <v>0</v>
      </c>
      <c r="BJ24" s="72">
        <v>2999</v>
      </c>
      <c r="BK24" s="131">
        <v>5034</v>
      </c>
      <c r="BL24" s="131">
        <v>41527</v>
      </c>
      <c r="BM24" s="131">
        <v>-14447</v>
      </c>
      <c r="BN24" s="131">
        <v>0</v>
      </c>
      <c r="BO24" s="131">
        <v>0</v>
      </c>
      <c r="BP24" s="131"/>
      <c r="BQ24" s="72">
        <f t="shared" si="0"/>
        <v>-0.21999999997206032</v>
      </c>
    </row>
    <row r="25" spans="1:69">
      <c r="A25" s="131">
        <v>2011</v>
      </c>
      <c r="B25" s="131" t="s">
        <v>48</v>
      </c>
      <c r="C25" s="131">
        <v>65357</v>
      </c>
      <c r="D25" s="131"/>
      <c r="E25" s="410">
        <v>11239</v>
      </c>
      <c r="F25" s="416">
        <f t="shared" si="1"/>
        <v>76596</v>
      </c>
      <c r="G25" s="413">
        <v>962607</v>
      </c>
      <c r="H25" s="72">
        <v>0</v>
      </c>
      <c r="I25" s="72">
        <v>47823</v>
      </c>
      <c r="J25" s="131">
        <v>0</v>
      </c>
      <c r="K25" s="72">
        <v>28537</v>
      </c>
      <c r="L25" s="72">
        <v>0</v>
      </c>
      <c r="M25" s="72">
        <v>4129.3999999999996</v>
      </c>
      <c r="N25" s="72">
        <v>16557.34</v>
      </c>
      <c r="O25" s="72">
        <v>53687.96</v>
      </c>
      <c r="P25" s="72">
        <v>2798.18</v>
      </c>
      <c r="Q25" s="72">
        <v>1186.5</v>
      </c>
      <c r="R25" s="72">
        <v>29882.639999999999</v>
      </c>
      <c r="S25" s="72">
        <v>7622.65</v>
      </c>
      <c r="T25" s="72">
        <v>0</v>
      </c>
      <c r="U25" s="72">
        <v>0</v>
      </c>
      <c r="V25" s="72">
        <v>0</v>
      </c>
      <c r="W25" s="72">
        <v>5503</v>
      </c>
      <c r="X25" s="72">
        <v>557385.34</v>
      </c>
      <c r="Y25" s="72">
        <v>0</v>
      </c>
      <c r="Z25" s="72">
        <v>202744.28</v>
      </c>
      <c r="AA25" s="72">
        <v>29810.7</v>
      </c>
      <c r="AB25" s="72">
        <v>50281.61</v>
      </c>
      <c r="AC25" s="72">
        <v>0</v>
      </c>
      <c r="AD25" s="72">
        <v>23308.080000000002</v>
      </c>
      <c r="AE25" s="72">
        <v>5030.7</v>
      </c>
      <c r="AF25" s="72">
        <v>3689.18</v>
      </c>
      <c r="AG25" s="72">
        <v>10173.879999999999</v>
      </c>
      <c r="AH25" s="72">
        <v>1148</v>
      </c>
      <c r="AI25" s="72">
        <v>9623.51</v>
      </c>
      <c r="AJ25" s="72">
        <v>1675.07</v>
      </c>
      <c r="AK25" s="72">
        <v>11742.2</v>
      </c>
      <c r="AL25" s="72">
        <v>1422.54</v>
      </c>
      <c r="AM25" s="72">
        <v>18777.310000000001</v>
      </c>
      <c r="AN25" s="72">
        <v>14836.5</v>
      </c>
      <c r="AO25" s="72">
        <v>3960.23</v>
      </c>
      <c r="AP25" s="72">
        <v>54287.64</v>
      </c>
      <c r="AQ25" s="72">
        <v>14859.13</v>
      </c>
      <c r="AR25" s="72">
        <v>0</v>
      </c>
      <c r="AS25" s="72">
        <v>4238.32</v>
      </c>
      <c r="AT25" s="72">
        <v>9899.66</v>
      </c>
      <c r="AU25" s="72">
        <v>5771.47</v>
      </c>
      <c r="AV25" s="72">
        <v>61802.44</v>
      </c>
      <c r="AW25" s="72">
        <v>16539.25</v>
      </c>
      <c r="AX25" s="72">
        <v>31445.87</v>
      </c>
      <c r="AY25" s="72">
        <v>15615.69</v>
      </c>
      <c r="AZ25" s="72">
        <v>0</v>
      </c>
      <c r="BA25" s="72">
        <v>0</v>
      </c>
      <c r="BB25" s="72">
        <v>0</v>
      </c>
      <c r="BC25" s="72">
        <v>0</v>
      </c>
      <c r="BD25" s="72">
        <v>6520</v>
      </c>
      <c r="BE25" s="72">
        <v>0</v>
      </c>
      <c r="BF25" s="72">
        <v>0</v>
      </c>
      <c r="BG25" s="72">
        <v>0</v>
      </c>
      <c r="BH25" s="72">
        <v>10941.3</v>
      </c>
      <c r="BI25" s="72">
        <v>0</v>
      </c>
      <c r="BJ25" s="72">
        <v>0</v>
      </c>
      <c r="BK25" s="131">
        <v>0</v>
      </c>
      <c r="BL25" s="131">
        <v>65623</v>
      </c>
      <c r="BM25" s="131">
        <v>6818</v>
      </c>
      <c r="BN25" s="131">
        <v>0</v>
      </c>
      <c r="BO25" s="131">
        <v>0</v>
      </c>
      <c r="BP25" s="131"/>
      <c r="BQ25" s="72">
        <f t="shared" si="0"/>
        <v>-0.23000000021420419</v>
      </c>
    </row>
    <row r="26" spans="1:69">
      <c r="A26" s="131">
        <v>3522</v>
      </c>
      <c r="B26" s="131" t="s">
        <v>49</v>
      </c>
      <c r="C26" s="131">
        <v>297575</v>
      </c>
      <c r="D26" s="131"/>
      <c r="E26" s="410">
        <v>1597</v>
      </c>
      <c r="F26" s="416">
        <f t="shared" si="1"/>
        <v>299172</v>
      </c>
      <c r="G26" s="413">
        <v>2105346</v>
      </c>
      <c r="H26" s="72">
        <v>0</v>
      </c>
      <c r="I26" s="72">
        <v>17009</v>
      </c>
      <c r="J26" s="131">
        <v>0</v>
      </c>
      <c r="K26" s="72">
        <v>214425.01</v>
      </c>
      <c r="L26" s="72">
        <v>9400</v>
      </c>
      <c r="M26" s="400">
        <f>-6820+6820</f>
        <v>0</v>
      </c>
      <c r="N26" s="400">
        <f>-6820+8223.49</f>
        <v>1403.4899999999998</v>
      </c>
      <c r="O26" s="72">
        <v>23869.51</v>
      </c>
      <c r="P26" s="72">
        <v>0</v>
      </c>
      <c r="Q26" s="72">
        <v>789.9</v>
      </c>
      <c r="R26" s="72">
        <v>4831.8500000000004</v>
      </c>
      <c r="S26" s="72">
        <v>3534.03</v>
      </c>
      <c r="T26" s="72">
        <v>0</v>
      </c>
      <c r="U26" s="72">
        <v>0</v>
      </c>
      <c r="V26" s="72">
        <v>0</v>
      </c>
      <c r="W26" s="72">
        <v>5898</v>
      </c>
      <c r="X26" s="72">
        <v>983251.64</v>
      </c>
      <c r="Y26" s="72">
        <v>23670.17</v>
      </c>
      <c r="Z26" s="72">
        <v>464400.66</v>
      </c>
      <c r="AA26" s="72">
        <v>63194.8</v>
      </c>
      <c r="AB26" s="72">
        <v>61181.7</v>
      </c>
      <c r="AC26" s="72">
        <v>0</v>
      </c>
      <c r="AD26" s="72">
        <v>3888.68</v>
      </c>
      <c r="AE26" s="72">
        <v>21286.32</v>
      </c>
      <c r="AF26" s="72">
        <v>8959.11</v>
      </c>
      <c r="AG26" s="72">
        <v>9623.17</v>
      </c>
      <c r="AH26" s="72">
        <v>11189.08</v>
      </c>
      <c r="AI26" s="72">
        <v>109707.05</v>
      </c>
      <c r="AJ26" s="72">
        <v>3658.01</v>
      </c>
      <c r="AK26" s="72">
        <v>7501.96</v>
      </c>
      <c r="AL26" s="72">
        <v>3040.31</v>
      </c>
      <c r="AM26" s="72">
        <v>37264.839999999997</v>
      </c>
      <c r="AN26" s="72">
        <v>17898</v>
      </c>
      <c r="AO26" s="72">
        <v>11519.21</v>
      </c>
      <c r="AP26" s="72">
        <v>77463.14</v>
      </c>
      <c r="AQ26" s="72">
        <v>30047.53</v>
      </c>
      <c r="AR26" s="72">
        <v>0</v>
      </c>
      <c r="AS26" s="72">
        <v>5080.41</v>
      </c>
      <c r="AT26" s="72">
        <v>10755.59</v>
      </c>
      <c r="AU26" s="72">
        <v>15744.93</v>
      </c>
      <c r="AV26" s="72">
        <v>87872.06</v>
      </c>
      <c r="AW26" s="72">
        <v>98948.84</v>
      </c>
      <c r="AX26" s="72">
        <v>226581.7</v>
      </c>
      <c r="AY26" s="72">
        <v>33830.99</v>
      </c>
      <c r="AZ26" s="72">
        <v>0</v>
      </c>
      <c r="BA26" s="72">
        <v>2361</v>
      </c>
      <c r="BB26" s="72">
        <v>0</v>
      </c>
      <c r="BC26" s="72">
        <v>0</v>
      </c>
      <c r="BD26" s="72">
        <v>8415.6200000000008</v>
      </c>
      <c r="BE26" s="72">
        <v>0</v>
      </c>
      <c r="BF26" s="72">
        <v>2361</v>
      </c>
      <c r="BG26" s="72">
        <v>0</v>
      </c>
      <c r="BH26" s="72">
        <v>0</v>
      </c>
      <c r="BI26" s="72">
        <v>0</v>
      </c>
      <c r="BJ26" s="72">
        <v>12373.8</v>
      </c>
      <c r="BK26" s="131">
        <v>13464</v>
      </c>
      <c r="BL26" s="131">
        <v>240697</v>
      </c>
      <c r="BM26" s="131">
        <v>0</v>
      </c>
      <c r="BN26" s="131">
        <v>0</v>
      </c>
      <c r="BO26" s="131">
        <v>0</v>
      </c>
      <c r="BP26" s="131"/>
      <c r="BQ26" s="72">
        <f t="shared" si="0"/>
        <v>-0.29000000050291419</v>
      </c>
    </row>
    <row r="27" spans="1:69">
      <c r="A27" s="131">
        <v>2014</v>
      </c>
      <c r="B27" s="131" t="s">
        <v>50</v>
      </c>
      <c r="C27" s="131">
        <v>476517</v>
      </c>
      <c r="D27" s="131"/>
      <c r="E27" s="410">
        <v>0</v>
      </c>
      <c r="F27" s="416">
        <f t="shared" si="1"/>
        <v>476517</v>
      </c>
      <c r="G27" s="413">
        <v>2671439</v>
      </c>
      <c r="H27" s="72">
        <v>0</v>
      </c>
      <c r="I27" s="72">
        <v>322771</v>
      </c>
      <c r="J27" s="131">
        <v>0</v>
      </c>
      <c r="K27" s="72">
        <v>163916.01</v>
      </c>
      <c r="L27" s="72">
        <v>6800</v>
      </c>
      <c r="M27" s="72">
        <v>930</v>
      </c>
      <c r="N27" s="72">
        <v>18030.349999999999</v>
      </c>
      <c r="O27" s="72">
        <v>82703.61</v>
      </c>
      <c r="P27" s="72">
        <v>14535</v>
      </c>
      <c r="Q27" s="72">
        <v>834.2</v>
      </c>
      <c r="R27" s="72">
        <v>26016.35</v>
      </c>
      <c r="S27" s="72">
        <v>2147</v>
      </c>
      <c r="T27" s="72">
        <v>0</v>
      </c>
      <c r="U27" s="72">
        <v>0</v>
      </c>
      <c r="V27" s="72">
        <v>0</v>
      </c>
      <c r="W27" s="72">
        <v>6318</v>
      </c>
      <c r="X27" s="72">
        <v>1367325.9</v>
      </c>
      <c r="Y27" s="72">
        <v>0</v>
      </c>
      <c r="Z27" s="72">
        <v>621357.46</v>
      </c>
      <c r="AA27" s="72">
        <v>71226.59</v>
      </c>
      <c r="AB27" s="72">
        <v>58494.69</v>
      </c>
      <c r="AC27" s="72">
        <v>0</v>
      </c>
      <c r="AD27" s="72">
        <v>58843.199999999997</v>
      </c>
      <c r="AE27" s="72">
        <v>50275.03</v>
      </c>
      <c r="AF27" s="72">
        <v>6658.4</v>
      </c>
      <c r="AG27" s="72">
        <v>20821.96</v>
      </c>
      <c r="AH27" s="72">
        <v>8972.31</v>
      </c>
      <c r="AI27" s="72">
        <v>28994.2</v>
      </c>
      <c r="AJ27" s="72">
        <v>9613.6200000000008</v>
      </c>
      <c r="AK27" s="72">
        <v>7137.17</v>
      </c>
      <c r="AL27" s="72">
        <v>7266.05</v>
      </c>
      <c r="AM27" s="72">
        <v>88948.43</v>
      </c>
      <c r="AN27" s="72">
        <v>22254.75</v>
      </c>
      <c r="AO27" s="72">
        <v>21472.86</v>
      </c>
      <c r="AP27" s="72">
        <v>103582.53</v>
      </c>
      <c r="AQ27" s="72">
        <v>19933.810000000001</v>
      </c>
      <c r="AR27" s="72">
        <v>0</v>
      </c>
      <c r="AS27" s="72">
        <v>26176.14</v>
      </c>
      <c r="AT27" s="72">
        <v>32561.84</v>
      </c>
      <c r="AU27" s="72">
        <v>3082.47</v>
      </c>
      <c r="AV27" s="72">
        <v>116748.77</v>
      </c>
      <c r="AW27" s="72">
        <v>113044.71</v>
      </c>
      <c r="AX27" s="72">
        <v>281674.45</v>
      </c>
      <c r="AY27" s="72">
        <v>37596.75</v>
      </c>
      <c r="AZ27" s="72">
        <v>0</v>
      </c>
      <c r="BA27" s="72">
        <v>161297.09</v>
      </c>
      <c r="BB27" s="72">
        <v>0</v>
      </c>
      <c r="BC27" s="72">
        <v>0</v>
      </c>
      <c r="BD27" s="72">
        <v>10159.370000000001</v>
      </c>
      <c r="BE27" s="72">
        <v>0</v>
      </c>
      <c r="BF27" s="72">
        <v>161297.09</v>
      </c>
      <c r="BG27" s="72">
        <v>0</v>
      </c>
      <c r="BH27" s="72">
        <v>79150.44</v>
      </c>
      <c r="BI27" s="72">
        <v>0</v>
      </c>
      <c r="BJ27" s="72">
        <v>92305.600000000006</v>
      </c>
      <c r="BK27" s="131">
        <v>68928</v>
      </c>
      <c r="BL27" s="131">
        <v>378668</v>
      </c>
      <c r="BM27" s="131">
        <v>0</v>
      </c>
      <c r="BN27" s="131">
        <v>0</v>
      </c>
      <c r="BO27" s="131">
        <v>0</v>
      </c>
      <c r="BP27" s="131"/>
      <c r="BQ27" s="72">
        <f t="shared" si="0"/>
        <v>0.75999999977648258</v>
      </c>
    </row>
    <row r="28" spans="1:69">
      <c r="A28" s="131">
        <v>2015</v>
      </c>
      <c r="B28" s="131" t="s">
        <v>51</v>
      </c>
      <c r="C28" s="131">
        <v>187219</v>
      </c>
      <c r="D28" s="131"/>
      <c r="E28" s="410">
        <v>16610</v>
      </c>
      <c r="F28" s="416">
        <f t="shared" si="1"/>
        <v>203829</v>
      </c>
      <c r="G28" s="413">
        <v>1478580.74</v>
      </c>
      <c r="H28" s="72">
        <v>0</v>
      </c>
      <c r="I28" s="72">
        <v>207452.53</v>
      </c>
      <c r="J28" s="131">
        <v>0</v>
      </c>
      <c r="K28" s="72">
        <v>93010</v>
      </c>
      <c r="L28" s="72">
        <v>4100</v>
      </c>
      <c r="M28" s="72">
        <v>4084.93</v>
      </c>
      <c r="N28" s="72">
        <v>2209.5700000000002</v>
      </c>
      <c r="O28" s="72">
        <v>32566.639999999999</v>
      </c>
      <c r="P28" s="72">
        <v>4748.8100000000004</v>
      </c>
      <c r="Q28" s="72">
        <v>0</v>
      </c>
      <c r="R28" s="72">
        <v>9932.64</v>
      </c>
      <c r="S28" s="72">
        <v>3779.48</v>
      </c>
      <c r="T28" s="72">
        <v>0</v>
      </c>
      <c r="U28" s="72">
        <v>367274</v>
      </c>
      <c r="V28" s="72">
        <v>66631.899999999994</v>
      </c>
      <c r="W28" s="72">
        <v>5450.63</v>
      </c>
      <c r="X28" s="72">
        <v>692500.23</v>
      </c>
      <c r="Y28" s="72">
        <v>2000</v>
      </c>
      <c r="Z28" s="72">
        <v>491165.64</v>
      </c>
      <c r="AA28" s="72">
        <v>20696.52</v>
      </c>
      <c r="AB28" s="72">
        <v>55632.1</v>
      </c>
      <c r="AC28" s="72">
        <v>0</v>
      </c>
      <c r="AD28" s="72">
        <v>9055.8700000000008</v>
      </c>
      <c r="AE28" s="72">
        <v>18840.060000000001</v>
      </c>
      <c r="AF28" s="72">
        <v>10723.67</v>
      </c>
      <c r="AG28" s="72">
        <v>16027.89</v>
      </c>
      <c r="AH28" s="72">
        <v>860.17</v>
      </c>
      <c r="AI28" s="72">
        <v>48238.69</v>
      </c>
      <c r="AJ28" s="72">
        <v>7081.36</v>
      </c>
      <c r="AK28" s="72">
        <v>25085.83</v>
      </c>
      <c r="AL28" s="72">
        <v>1294.6300000000001</v>
      </c>
      <c r="AM28" s="72">
        <v>22568.19</v>
      </c>
      <c r="AN28" s="72">
        <v>16838.25</v>
      </c>
      <c r="AO28" s="72">
        <v>10296.120000000001</v>
      </c>
      <c r="AP28" s="72">
        <v>78226.5</v>
      </c>
      <c r="AQ28" s="72">
        <v>31387.89</v>
      </c>
      <c r="AR28" s="72">
        <v>145</v>
      </c>
      <c r="AS28" s="72">
        <v>6710.78</v>
      </c>
      <c r="AT28" s="72">
        <v>6467.95</v>
      </c>
      <c r="AU28" s="72">
        <v>2714.61</v>
      </c>
      <c r="AV28" s="72">
        <v>57844.11</v>
      </c>
      <c r="AW28" s="72">
        <v>88501.84</v>
      </c>
      <c r="AX28" s="72">
        <v>19123.55</v>
      </c>
      <c r="AY28" s="72">
        <v>29417.62</v>
      </c>
      <c r="AZ28" s="72">
        <v>0</v>
      </c>
      <c r="BA28" s="72">
        <v>66213</v>
      </c>
      <c r="BB28" s="72">
        <v>325617.13</v>
      </c>
      <c r="BC28" s="72">
        <v>54475.62</v>
      </c>
      <c r="BD28" s="72">
        <v>6598.76</v>
      </c>
      <c r="BE28" s="72">
        <v>0</v>
      </c>
      <c r="BF28" s="72">
        <v>66213</v>
      </c>
      <c r="BG28" s="72">
        <v>0</v>
      </c>
      <c r="BH28" s="72">
        <v>36476.519999999997</v>
      </c>
      <c r="BI28" s="72">
        <v>0</v>
      </c>
      <c r="BJ28" s="72">
        <v>52945</v>
      </c>
      <c r="BK28" s="131">
        <v>5663</v>
      </c>
      <c r="BL28" s="131">
        <v>191814</v>
      </c>
      <c r="BM28" s="131">
        <v>0</v>
      </c>
      <c r="BN28" s="131">
        <v>0</v>
      </c>
      <c r="BO28" s="131">
        <v>53813</v>
      </c>
      <c r="BP28" s="131"/>
      <c r="BQ28" s="72">
        <f t="shared" si="0"/>
        <v>0.28999999864026904</v>
      </c>
    </row>
    <row r="29" spans="1:69">
      <c r="A29" s="131">
        <v>2016</v>
      </c>
      <c r="B29" s="131" t="s">
        <v>53</v>
      </c>
      <c r="C29" s="131">
        <v>68373</v>
      </c>
      <c r="D29" s="131"/>
      <c r="E29" s="410">
        <v>114</v>
      </c>
      <c r="F29" s="416">
        <f t="shared" si="1"/>
        <v>68487</v>
      </c>
      <c r="G29" s="413">
        <v>923571</v>
      </c>
      <c r="H29" s="72">
        <v>0</v>
      </c>
      <c r="I29" s="72">
        <v>36716</v>
      </c>
      <c r="J29" s="131">
        <v>0</v>
      </c>
      <c r="K29" s="72">
        <v>42885</v>
      </c>
      <c r="L29" s="72">
        <v>6965</v>
      </c>
      <c r="M29" s="72">
        <v>1470</v>
      </c>
      <c r="N29" s="72">
        <v>3684.25</v>
      </c>
      <c r="O29" s="72">
        <v>35135.64</v>
      </c>
      <c r="P29" s="72">
        <v>8197.56</v>
      </c>
      <c r="Q29" s="72">
        <v>0</v>
      </c>
      <c r="R29" s="72">
        <v>34230.9</v>
      </c>
      <c r="S29" s="72">
        <v>9163.7900000000009</v>
      </c>
      <c r="T29" s="72">
        <v>0</v>
      </c>
      <c r="U29" s="72">
        <v>0</v>
      </c>
      <c r="V29" s="72">
        <v>0</v>
      </c>
      <c r="W29" s="72">
        <v>5455</v>
      </c>
      <c r="X29" s="72">
        <v>524364.37</v>
      </c>
      <c r="Y29" s="72">
        <v>1757.88</v>
      </c>
      <c r="Z29" s="72">
        <v>198243.54</v>
      </c>
      <c r="AA29" s="72">
        <v>24426.14</v>
      </c>
      <c r="AB29" s="72">
        <v>35685.22</v>
      </c>
      <c r="AC29" s="72">
        <v>0</v>
      </c>
      <c r="AD29" s="72">
        <v>21131.84</v>
      </c>
      <c r="AE29" s="72">
        <v>5002.6099999999997</v>
      </c>
      <c r="AF29" s="72">
        <v>2917.48</v>
      </c>
      <c r="AG29" s="72">
        <v>9626.51</v>
      </c>
      <c r="AH29" s="72">
        <v>1106.68</v>
      </c>
      <c r="AI29" s="72">
        <v>18212.5</v>
      </c>
      <c r="AJ29" s="72">
        <v>5698.85</v>
      </c>
      <c r="AK29" s="72">
        <v>10667.9</v>
      </c>
      <c r="AL29" s="72">
        <v>2377.87</v>
      </c>
      <c r="AM29" s="72">
        <v>11290.03</v>
      </c>
      <c r="AN29" s="72">
        <v>14954.25</v>
      </c>
      <c r="AO29" s="72">
        <v>5434.25</v>
      </c>
      <c r="AP29" s="72">
        <v>47788.89</v>
      </c>
      <c r="AQ29" s="72">
        <v>16810.66</v>
      </c>
      <c r="AR29" s="72">
        <v>0</v>
      </c>
      <c r="AS29" s="72">
        <v>7125.99</v>
      </c>
      <c r="AT29" s="72">
        <v>7328.38</v>
      </c>
      <c r="AU29" s="72">
        <v>1998.97</v>
      </c>
      <c r="AV29" s="72">
        <v>43615.5</v>
      </c>
      <c r="AW29" s="72">
        <v>16811.330000000002</v>
      </c>
      <c r="AX29" s="72">
        <v>47544.97</v>
      </c>
      <c r="AY29" s="72">
        <v>22474.63</v>
      </c>
      <c r="AZ29" s="72">
        <v>0</v>
      </c>
      <c r="BA29" s="72">
        <v>0</v>
      </c>
      <c r="BB29" s="72">
        <v>26.23</v>
      </c>
      <c r="BC29" s="72">
        <v>0</v>
      </c>
      <c r="BD29" s="72">
        <v>1128.51</v>
      </c>
      <c r="BE29" s="72">
        <v>5042</v>
      </c>
      <c r="BF29" s="72">
        <v>0</v>
      </c>
      <c r="BG29" s="72">
        <v>0</v>
      </c>
      <c r="BH29" s="72">
        <v>0</v>
      </c>
      <c r="BI29" s="72">
        <v>0</v>
      </c>
      <c r="BJ29" s="72">
        <v>0</v>
      </c>
      <c r="BK29" s="131">
        <v>2968</v>
      </c>
      <c r="BL29" s="131">
        <v>68456</v>
      </c>
      <c r="BM29" s="131">
        <v>6285</v>
      </c>
      <c r="BN29" s="131">
        <v>0</v>
      </c>
      <c r="BO29" s="131">
        <v>0</v>
      </c>
      <c r="BP29" s="131"/>
      <c r="BQ29" s="72">
        <f t="shared" si="0"/>
        <v>-0.82000000006519258</v>
      </c>
    </row>
    <row r="30" spans="1:69">
      <c r="A30" s="131">
        <v>2017</v>
      </c>
      <c r="B30" s="131" t="s">
        <v>54</v>
      </c>
      <c r="C30" s="131">
        <v>218336</v>
      </c>
      <c r="D30" s="131"/>
      <c r="E30" s="410">
        <v>12147</v>
      </c>
      <c r="F30" s="416">
        <f t="shared" si="1"/>
        <v>230483</v>
      </c>
      <c r="G30" s="413">
        <v>1704803.99</v>
      </c>
      <c r="H30" s="72">
        <v>0</v>
      </c>
      <c r="I30" s="72">
        <v>39571</v>
      </c>
      <c r="J30" s="131">
        <v>0</v>
      </c>
      <c r="K30" s="72">
        <v>110758.01</v>
      </c>
      <c r="L30" s="72">
        <v>11970</v>
      </c>
      <c r="M30" s="72">
        <v>4170</v>
      </c>
      <c r="N30" s="72">
        <v>66395.179999999993</v>
      </c>
      <c r="O30" s="72">
        <v>58102.27</v>
      </c>
      <c r="P30" s="72">
        <v>6072.6</v>
      </c>
      <c r="Q30" s="72">
        <v>780.47</v>
      </c>
      <c r="R30" s="72">
        <v>33237.4</v>
      </c>
      <c r="S30" s="72">
        <v>29442.57</v>
      </c>
      <c r="T30" s="72">
        <v>0</v>
      </c>
      <c r="U30" s="72">
        <v>0</v>
      </c>
      <c r="V30" s="72">
        <v>0</v>
      </c>
      <c r="W30" s="72">
        <v>5978</v>
      </c>
      <c r="X30" s="72">
        <v>985775.06</v>
      </c>
      <c r="Y30" s="72">
        <v>672</v>
      </c>
      <c r="Z30" s="72">
        <v>350763.38</v>
      </c>
      <c r="AA30" s="72">
        <v>34983.58</v>
      </c>
      <c r="AB30" s="72">
        <v>47335.28</v>
      </c>
      <c r="AC30" s="72">
        <v>0</v>
      </c>
      <c r="AD30" s="72">
        <v>70472.17</v>
      </c>
      <c r="AE30" s="72">
        <v>7575.51</v>
      </c>
      <c r="AF30" s="72">
        <v>16665.13</v>
      </c>
      <c r="AG30" s="72">
        <v>14174.59</v>
      </c>
      <c r="AH30" s="72">
        <v>2596.67</v>
      </c>
      <c r="AI30" s="72">
        <v>25220.57</v>
      </c>
      <c r="AJ30" s="72">
        <v>5919.75</v>
      </c>
      <c r="AK30" s="72">
        <v>24008.19</v>
      </c>
      <c r="AL30" s="72">
        <v>5593.88</v>
      </c>
      <c r="AM30" s="72">
        <v>36973.29</v>
      </c>
      <c r="AN30" s="72">
        <v>19428.25</v>
      </c>
      <c r="AO30" s="72">
        <v>6678.6</v>
      </c>
      <c r="AP30" s="72">
        <v>99556.72</v>
      </c>
      <c r="AQ30" s="72">
        <v>22593.35</v>
      </c>
      <c r="AR30" s="72">
        <v>0</v>
      </c>
      <c r="AS30" s="72">
        <v>16515.36</v>
      </c>
      <c r="AT30" s="72">
        <v>12251.97</v>
      </c>
      <c r="AU30" s="72">
        <v>17989.939999999999</v>
      </c>
      <c r="AV30" s="72">
        <v>77940.47</v>
      </c>
      <c r="AW30" s="72">
        <v>22861</v>
      </c>
      <c r="AX30" s="72">
        <v>53874.77</v>
      </c>
      <c r="AY30" s="72">
        <v>47132.62</v>
      </c>
      <c r="AZ30" s="72">
        <v>0</v>
      </c>
      <c r="BA30" s="72">
        <v>4593.5</v>
      </c>
      <c r="BB30" s="72">
        <v>4.9000000000000004</v>
      </c>
      <c r="BC30" s="72">
        <v>0</v>
      </c>
      <c r="BD30" s="72">
        <v>8466.25</v>
      </c>
      <c r="BE30" s="72">
        <v>4864</v>
      </c>
      <c r="BF30" s="72">
        <v>4593.5</v>
      </c>
      <c r="BG30" s="72">
        <v>0</v>
      </c>
      <c r="BH30" s="72">
        <v>10634</v>
      </c>
      <c r="BI30" s="72">
        <v>0</v>
      </c>
      <c r="BJ30" s="72">
        <v>19436.5</v>
      </c>
      <c r="BK30" s="131">
        <v>0</v>
      </c>
      <c r="BL30" s="131">
        <v>259467</v>
      </c>
      <c r="BM30" s="131">
        <v>0</v>
      </c>
      <c r="BN30" s="131">
        <v>0</v>
      </c>
      <c r="BO30" s="131">
        <v>0</v>
      </c>
      <c r="BP30" s="131"/>
      <c r="BQ30" s="72">
        <f t="shared" si="0"/>
        <v>0.24000000022351742</v>
      </c>
    </row>
    <row r="31" spans="1:69">
      <c r="A31" s="402">
        <v>2073</v>
      </c>
      <c r="B31" s="402" t="s">
        <v>55</v>
      </c>
      <c r="C31" s="402">
        <f>199952+2877</f>
        <v>202829</v>
      </c>
      <c r="D31" s="402">
        <v>-2877</v>
      </c>
      <c r="E31" s="411">
        <v>11335</v>
      </c>
      <c r="F31" s="416">
        <f t="shared" si="1"/>
        <v>211287</v>
      </c>
      <c r="G31" s="414">
        <v>2615528</v>
      </c>
      <c r="H31" s="403">
        <v>0</v>
      </c>
      <c r="I31" s="403">
        <v>207137.45</v>
      </c>
      <c r="J31" s="402">
        <v>0</v>
      </c>
      <c r="K31" s="403">
        <v>174240.01</v>
      </c>
      <c r="L31" s="403">
        <v>0</v>
      </c>
      <c r="M31" s="403">
        <v>2153.6999999999998</v>
      </c>
      <c r="N31" s="403">
        <v>114910.96</v>
      </c>
      <c r="O31" s="403">
        <v>123853.94</v>
      </c>
      <c r="P31" s="403">
        <v>41645.699999999997</v>
      </c>
      <c r="Q31" s="403">
        <v>5609.26</v>
      </c>
      <c r="R31" s="403">
        <v>65870.78</v>
      </c>
      <c r="S31" s="403">
        <v>0</v>
      </c>
      <c r="T31" s="403">
        <v>0</v>
      </c>
      <c r="U31" s="403">
        <v>0</v>
      </c>
      <c r="V31" s="403">
        <v>0</v>
      </c>
      <c r="W31" s="403">
        <v>6690</v>
      </c>
      <c r="X31" s="403">
        <v>1314681.75</v>
      </c>
      <c r="Y31" s="403">
        <v>0</v>
      </c>
      <c r="Z31" s="403">
        <v>662874.72</v>
      </c>
      <c r="AA31" s="403">
        <v>81395.23</v>
      </c>
      <c r="AB31" s="403">
        <v>98244.52</v>
      </c>
      <c r="AC31" s="403">
        <v>90369.91</v>
      </c>
      <c r="AD31" s="403">
        <v>154036.84</v>
      </c>
      <c r="AE31" s="403">
        <v>12429.91</v>
      </c>
      <c r="AF31" s="403">
        <v>12324.35</v>
      </c>
      <c r="AG31" s="403">
        <v>22672.43</v>
      </c>
      <c r="AH31" s="403">
        <v>9958.42</v>
      </c>
      <c r="AI31" s="403">
        <v>64087.31</v>
      </c>
      <c r="AJ31" s="403">
        <v>13188.62</v>
      </c>
      <c r="AK31" s="403">
        <v>6021.66</v>
      </c>
      <c r="AL31" s="403">
        <v>4345.46</v>
      </c>
      <c r="AM31" s="403">
        <v>44519.18</v>
      </c>
      <c r="AN31" s="403">
        <v>37809.699999999997</v>
      </c>
      <c r="AO31" s="403">
        <v>12544.39</v>
      </c>
      <c r="AP31" s="403">
        <v>121603.25</v>
      </c>
      <c r="AQ31" s="403">
        <v>59110.85</v>
      </c>
      <c r="AR31" s="403">
        <v>0</v>
      </c>
      <c r="AS31" s="403">
        <v>22905.1</v>
      </c>
      <c r="AT31" s="403">
        <v>19927.97</v>
      </c>
      <c r="AU31" s="403">
        <v>19926.88</v>
      </c>
      <c r="AV31" s="403">
        <v>104243.34</v>
      </c>
      <c r="AW31" s="403">
        <v>89154.79</v>
      </c>
      <c r="AX31" s="403">
        <v>15900.93</v>
      </c>
      <c r="AY31" s="403">
        <v>19063.02</v>
      </c>
      <c r="AZ31" s="403">
        <v>0</v>
      </c>
      <c r="BA31" s="403">
        <v>0</v>
      </c>
      <c r="BB31" s="403">
        <v>1680.85</v>
      </c>
      <c r="BC31" s="403">
        <v>0</v>
      </c>
      <c r="BD31" s="403">
        <v>11335</v>
      </c>
      <c r="BE31" s="403">
        <v>0</v>
      </c>
      <c r="BF31" s="403">
        <v>0</v>
      </c>
      <c r="BG31" s="403">
        <v>0</v>
      </c>
      <c r="BH31" s="403">
        <v>0</v>
      </c>
      <c r="BI31" s="403">
        <v>15791</v>
      </c>
      <c r="BJ31" s="403">
        <v>6879</v>
      </c>
      <c r="BK31" s="402">
        <v>0</v>
      </c>
      <c r="BL31" s="404">
        <f>442570+4558</f>
        <v>447128</v>
      </c>
      <c r="BM31" s="402">
        <v>0</v>
      </c>
      <c r="BN31" s="402">
        <v>0</v>
      </c>
      <c r="BO31" s="404">
        <v>-4558</v>
      </c>
      <c r="BP31" s="402"/>
      <c r="BQ31" s="403">
        <f t="shared" si="0"/>
        <v>0.41999999852851033</v>
      </c>
    </row>
    <row r="32" spans="1:69">
      <c r="A32" s="131">
        <v>2019</v>
      </c>
      <c r="B32" s="131" t="s">
        <v>56</v>
      </c>
      <c r="C32" s="131">
        <v>264615</v>
      </c>
      <c r="D32" s="131"/>
      <c r="E32" s="410">
        <v>0</v>
      </c>
      <c r="F32" s="416">
        <f t="shared" si="1"/>
        <v>264615</v>
      </c>
      <c r="G32" s="413">
        <v>1644700</v>
      </c>
      <c r="H32" s="72">
        <v>0</v>
      </c>
      <c r="I32" s="72">
        <v>45193</v>
      </c>
      <c r="J32" s="131">
        <v>0</v>
      </c>
      <c r="K32" s="72">
        <v>119125.01</v>
      </c>
      <c r="L32" s="72">
        <v>14940</v>
      </c>
      <c r="M32" s="72">
        <v>988.6</v>
      </c>
      <c r="N32" s="72">
        <v>7313.33</v>
      </c>
      <c r="O32" s="72">
        <v>37462.83</v>
      </c>
      <c r="P32" s="72">
        <v>11354.4</v>
      </c>
      <c r="Q32" s="72">
        <v>16758.13</v>
      </c>
      <c r="R32" s="72">
        <v>4417.5</v>
      </c>
      <c r="S32" s="72">
        <v>720.25</v>
      </c>
      <c r="T32" s="72">
        <v>0</v>
      </c>
      <c r="U32" s="72">
        <v>0</v>
      </c>
      <c r="V32" s="72">
        <v>0</v>
      </c>
      <c r="W32" s="72">
        <v>5445</v>
      </c>
      <c r="X32" s="72">
        <v>750500.81</v>
      </c>
      <c r="Y32" s="72">
        <v>338.03</v>
      </c>
      <c r="Z32" s="72">
        <v>509257.85</v>
      </c>
      <c r="AA32" s="72">
        <v>32914.89</v>
      </c>
      <c r="AB32" s="72">
        <v>53898.23</v>
      </c>
      <c r="AC32" s="72">
        <v>0</v>
      </c>
      <c r="AD32" s="72">
        <v>44592.97</v>
      </c>
      <c r="AE32" s="72">
        <v>7360.57</v>
      </c>
      <c r="AF32" s="72">
        <v>8498.44</v>
      </c>
      <c r="AG32" s="72">
        <v>15228.08</v>
      </c>
      <c r="AH32" s="72">
        <v>2551.65</v>
      </c>
      <c r="AI32" s="72">
        <v>28952.33</v>
      </c>
      <c r="AJ32" s="72">
        <v>6763.66</v>
      </c>
      <c r="AK32" s="72">
        <v>3371.59</v>
      </c>
      <c r="AL32" s="72">
        <v>134.16</v>
      </c>
      <c r="AM32" s="72">
        <v>24038.66</v>
      </c>
      <c r="AN32" s="72">
        <v>14130</v>
      </c>
      <c r="AO32" s="72">
        <v>7227.84</v>
      </c>
      <c r="AP32" s="72">
        <v>38824.5</v>
      </c>
      <c r="AQ32" s="72">
        <v>19257.87</v>
      </c>
      <c r="AR32" s="72">
        <v>0</v>
      </c>
      <c r="AS32" s="72">
        <v>25762.5</v>
      </c>
      <c r="AT32" s="72">
        <v>7745.78</v>
      </c>
      <c r="AU32" s="72">
        <v>11897.68</v>
      </c>
      <c r="AV32" s="72">
        <v>53285.33</v>
      </c>
      <c r="AW32" s="72">
        <v>63737.5</v>
      </c>
      <c r="AX32" s="72">
        <v>50232.53</v>
      </c>
      <c r="AY32" s="72">
        <v>47377.15</v>
      </c>
      <c r="AZ32" s="72">
        <v>0</v>
      </c>
      <c r="BA32" s="72">
        <v>83521.710000000006</v>
      </c>
      <c r="BB32" s="72">
        <v>0</v>
      </c>
      <c r="BC32" s="72">
        <v>0</v>
      </c>
      <c r="BD32" s="72">
        <v>7785.63</v>
      </c>
      <c r="BE32" s="72">
        <v>0</v>
      </c>
      <c r="BF32" s="72">
        <v>83521.710000000006</v>
      </c>
      <c r="BG32" s="72">
        <v>0</v>
      </c>
      <c r="BH32" s="72">
        <v>84290.51</v>
      </c>
      <c r="BI32" s="72">
        <v>0</v>
      </c>
      <c r="BJ32" s="72">
        <v>7016.83</v>
      </c>
      <c r="BK32" s="131">
        <v>111389</v>
      </c>
      <c r="BL32" s="131">
        <v>150242</v>
      </c>
      <c r="BM32" s="131">
        <v>0</v>
      </c>
      <c r="BN32" s="131">
        <v>0</v>
      </c>
      <c r="BO32" s="131">
        <v>0</v>
      </c>
      <c r="BP32" s="131"/>
      <c r="BQ32" s="72">
        <f t="shared" si="0"/>
        <v>-0.26000000024214387</v>
      </c>
    </row>
    <row r="33" spans="1:69">
      <c r="A33" s="131">
        <v>2018</v>
      </c>
      <c r="B33" s="131" t="s">
        <v>57</v>
      </c>
      <c r="C33" s="131">
        <v>72564</v>
      </c>
      <c r="D33" s="131"/>
      <c r="E33" s="410">
        <v>280</v>
      </c>
      <c r="F33" s="416">
        <f t="shared" si="1"/>
        <v>72844</v>
      </c>
      <c r="G33" s="413">
        <v>121901.3</v>
      </c>
      <c r="H33" s="72">
        <v>0</v>
      </c>
      <c r="I33" s="72">
        <v>0</v>
      </c>
      <c r="J33" s="131">
        <v>0</v>
      </c>
      <c r="K33" s="72">
        <v>0</v>
      </c>
      <c r="L33" s="400">
        <f>-1511.7+11300</f>
        <v>9788.2999999999993</v>
      </c>
      <c r="M33" s="72">
        <v>0</v>
      </c>
      <c r="N33" s="72">
        <v>0</v>
      </c>
      <c r="O33" s="400">
        <f>-1511.7+1511.7</f>
        <v>0</v>
      </c>
      <c r="P33" s="400">
        <f>400-400</f>
        <v>0</v>
      </c>
      <c r="Q33" s="400">
        <f>-400+400</f>
        <v>0</v>
      </c>
      <c r="R33" s="72">
        <v>1487</v>
      </c>
      <c r="S33" s="72">
        <v>0</v>
      </c>
      <c r="T33" s="72">
        <v>0</v>
      </c>
      <c r="U33" s="72">
        <v>0</v>
      </c>
      <c r="V33" s="72">
        <v>0</v>
      </c>
      <c r="W33" s="72">
        <v>0</v>
      </c>
      <c r="X33" s="72">
        <v>68964.600000000006</v>
      </c>
      <c r="Y33" s="72">
        <v>0</v>
      </c>
      <c r="Z33" s="72">
        <v>38457.980000000003</v>
      </c>
      <c r="AA33" s="72">
        <v>1274.27</v>
      </c>
      <c r="AB33" s="400">
        <f>7951.34-338.07-124.86</f>
        <v>7488.4100000000008</v>
      </c>
      <c r="AC33" s="72">
        <v>0</v>
      </c>
      <c r="AD33" s="400">
        <f>-338.07+338.07</f>
        <v>0</v>
      </c>
      <c r="AE33" s="400">
        <f>-124.86+124.86</f>
        <v>0</v>
      </c>
      <c r="AF33" s="72">
        <v>1067</v>
      </c>
      <c r="AG33" s="72">
        <v>0</v>
      </c>
      <c r="AH33" s="72">
        <v>0</v>
      </c>
      <c r="AI33" s="72">
        <v>2236.92</v>
      </c>
      <c r="AJ33" s="400">
        <f>-69.5+69.5</f>
        <v>0</v>
      </c>
      <c r="AK33" s="72">
        <v>2008.81</v>
      </c>
      <c r="AL33" s="400">
        <f>-62.58+62.58</f>
        <v>0</v>
      </c>
      <c r="AM33" s="72">
        <v>4377.68</v>
      </c>
      <c r="AN33" s="72">
        <v>0</v>
      </c>
      <c r="AO33" s="72">
        <v>20.8</v>
      </c>
      <c r="AP33" s="72">
        <v>1450.73</v>
      </c>
      <c r="AQ33" s="72">
        <v>730.98</v>
      </c>
      <c r="AR33" s="72">
        <v>0</v>
      </c>
      <c r="AS33" s="400">
        <f>-72.87+72.87</f>
        <v>0</v>
      </c>
      <c r="AT33" s="72">
        <v>5344.83</v>
      </c>
      <c r="AU33" s="400">
        <f>80706.47-9084.35</f>
        <v>71622.12</v>
      </c>
      <c r="AV33" s="400">
        <f>-7532.43+7532.43</f>
        <v>0</v>
      </c>
      <c r="AW33" s="72">
        <v>878.5</v>
      </c>
      <c r="AX33" s="72">
        <v>96.8</v>
      </c>
      <c r="AY33" s="400">
        <f>-1346.97+1346.97</f>
        <v>0</v>
      </c>
      <c r="AZ33" s="72">
        <v>0</v>
      </c>
      <c r="BA33" s="72">
        <v>0</v>
      </c>
      <c r="BB33" s="72">
        <v>0</v>
      </c>
      <c r="BC33" s="72">
        <v>0</v>
      </c>
      <c r="BD33" s="72">
        <v>0</v>
      </c>
      <c r="BE33" s="72">
        <v>0</v>
      </c>
      <c r="BF33" s="72">
        <v>0</v>
      </c>
      <c r="BG33" s="72">
        <v>0</v>
      </c>
      <c r="BH33" s="72">
        <v>0</v>
      </c>
      <c r="BI33" s="72">
        <v>0</v>
      </c>
      <c r="BJ33" s="72">
        <v>0</v>
      </c>
      <c r="BK33" s="131">
        <v>0</v>
      </c>
      <c r="BL33" s="131">
        <v>0</v>
      </c>
      <c r="BM33" s="131">
        <v>0</v>
      </c>
      <c r="BN33" s="131">
        <v>0</v>
      </c>
      <c r="BO33" s="131">
        <v>0</v>
      </c>
      <c r="BP33" s="131"/>
      <c r="BQ33" s="72">
        <f t="shared" si="0"/>
        <v>0.16999999998370185</v>
      </c>
    </row>
    <row r="34" spans="1:69">
      <c r="A34" s="131">
        <v>2021</v>
      </c>
      <c r="B34" s="131" t="s">
        <v>58</v>
      </c>
      <c r="C34" s="131">
        <v>88710</v>
      </c>
      <c r="D34" s="131"/>
      <c r="E34" s="410">
        <v>-3426</v>
      </c>
      <c r="F34" s="416">
        <f t="shared" si="1"/>
        <v>85284</v>
      </c>
      <c r="G34" s="413">
        <v>1534459</v>
      </c>
      <c r="H34" s="72">
        <v>0</v>
      </c>
      <c r="I34" s="72">
        <v>90109</v>
      </c>
      <c r="J34" s="131">
        <v>0</v>
      </c>
      <c r="K34" s="72">
        <v>110548.01</v>
      </c>
      <c r="L34" s="72">
        <v>0</v>
      </c>
      <c r="M34" s="72">
        <v>106844.74</v>
      </c>
      <c r="N34" s="72">
        <v>20146.38</v>
      </c>
      <c r="O34" s="72">
        <v>37431</v>
      </c>
      <c r="P34" s="72">
        <v>9576</v>
      </c>
      <c r="Q34" s="72">
        <v>1362.76</v>
      </c>
      <c r="R34" s="72">
        <v>7083.7</v>
      </c>
      <c r="S34" s="72">
        <v>2980.39</v>
      </c>
      <c r="T34" s="72">
        <v>0</v>
      </c>
      <c r="U34" s="72">
        <v>0</v>
      </c>
      <c r="V34" s="72">
        <v>0</v>
      </c>
      <c r="W34" s="72">
        <v>5535</v>
      </c>
      <c r="X34" s="72">
        <v>795631.36</v>
      </c>
      <c r="Y34" s="72">
        <v>11758.73</v>
      </c>
      <c r="Z34" s="72">
        <v>519978.14</v>
      </c>
      <c r="AA34" s="72">
        <v>26637.01</v>
      </c>
      <c r="AB34" s="72">
        <v>66177.53</v>
      </c>
      <c r="AC34" s="72">
        <v>0</v>
      </c>
      <c r="AD34" s="72">
        <v>13030.28</v>
      </c>
      <c r="AE34" s="72">
        <v>12972.66</v>
      </c>
      <c r="AF34" s="72">
        <v>14772.51</v>
      </c>
      <c r="AG34" s="72">
        <v>19500.59</v>
      </c>
      <c r="AH34" s="72">
        <v>3269.68</v>
      </c>
      <c r="AI34" s="72">
        <v>21668.84</v>
      </c>
      <c r="AJ34" s="72">
        <v>4759.16</v>
      </c>
      <c r="AK34" s="72">
        <v>24658.98</v>
      </c>
      <c r="AL34" s="72">
        <v>5072.13</v>
      </c>
      <c r="AM34" s="72">
        <v>22968.14</v>
      </c>
      <c r="AN34" s="72">
        <v>18840</v>
      </c>
      <c r="AO34" s="72">
        <v>15747.11</v>
      </c>
      <c r="AP34" s="72">
        <v>50390.33</v>
      </c>
      <c r="AQ34" s="72">
        <v>20990.92</v>
      </c>
      <c r="AR34" s="72">
        <v>0</v>
      </c>
      <c r="AS34" s="72">
        <v>15645.11</v>
      </c>
      <c r="AT34" s="72">
        <v>4122.26</v>
      </c>
      <c r="AU34" s="72">
        <v>1490</v>
      </c>
      <c r="AV34" s="72">
        <v>63622.35</v>
      </c>
      <c r="AW34" s="72">
        <v>31949</v>
      </c>
      <c r="AX34" s="72">
        <v>123376.05</v>
      </c>
      <c r="AY34" s="72">
        <v>24350</v>
      </c>
      <c r="AZ34" s="72">
        <v>0</v>
      </c>
      <c r="BA34" s="72">
        <v>0</v>
      </c>
      <c r="BB34" s="72">
        <v>0</v>
      </c>
      <c r="BC34" s="72">
        <v>0</v>
      </c>
      <c r="BD34" s="72">
        <v>7453.76</v>
      </c>
      <c r="BE34" s="72">
        <v>0</v>
      </c>
      <c r="BF34" s="72">
        <v>0</v>
      </c>
      <c r="BG34" s="72">
        <v>0</v>
      </c>
      <c r="BH34" s="72">
        <v>0</v>
      </c>
      <c r="BI34" s="72">
        <v>0</v>
      </c>
      <c r="BJ34" s="72">
        <v>0</v>
      </c>
      <c r="BK34" s="131">
        <v>0</v>
      </c>
      <c r="BL34" s="131">
        <v>81407</v>
      </c>
      <c r="BM34" s="131">
        <v>4028</v>
      </c>
      <c r="BN34" s="131">
        <v>0</v>
      </c>
      <c r="BO34" s="131">
        <v>0</v>
      </c>
      <c r="BP34" s="131"/>
      <c r="BQ34" s="72">
        <f t="shared" si="0"/>
        <v>-0.13000000035390258</v>
      </c>
    </row>
    <row r="35" spans="1:69">
      <c r="A35" s="131">
        <v>5200</v>
      </c>
      <c r="B35" s="131" t="s">
        <v>59</v>
      </c>
      <c r="C35" s="131">
        <v>63203</v>
      </c>
      <c r="D35" s="131"/>
      <c r="E35" s="410">
        <v>-1</v>
      </c>
      <c r="F35" s="416">
        <f t="shared" si="1"/>
        <v>63202</v>
      </c>
      <c r="G35" s="413">
        <v>1613029.95</v>
      </c>
      <c r="H35" s="72">
        <v>0</v>
      </c>
      <c r="I35" s="72">
        <v>91606.54</v>
      </c>
      <c r="J35" s="131">
        <v>0</v>
      </c>
      <c r="K35" s="72">
        <v>178427.01</v>
      </c>
      <c r="L35" s="72">
        <v>0</v>
      </c>
      <c r="M35" s="72">
        <v>5859</v>
      </c>
      <c r="N35" s="72">
        <v>33095.18</v>
      </c>
      <c r="O35" s="72">
        <v>39636.89</v>
      </c>
      <c r="P35" s="72">
        <v>14762.39</v>
      </c>
      <c r="Q35" s="72">
        <v>1520.78</v>
      </c>
      <c r="R35" s="72">
        <v>21575.95</v>
      </c>
      <c r="S35" s="72">
        <v>1227.74</v>
      </c>
      <c r="T35" s="72">
        <v>0</v>
      </c>
      <c r="U35" s="72">
        <v>0</v>
      </c>
      <c r="V35" s="72">
        <v>0</v>
      </c>
      <c r="W35" s="72">
        <v>5959</v>
      </c>
      <c r="X35" s="72">
        <v>861385.63</v>
      </c>
      <c r="Y35" s="72">
        <v>0</v>
      </c>
      <c r="Z35" s="72">
        <v>342605.13</v>
      </c>
      <c r="AA35" s="72">
        <v>63757.48</v>
      </c>
      <c r="AB35" s="72">
        <v>85484.03</v>
      </c>
      <c r="AC35" s="72">
        <v>0</v>
      </c>
      <c r="AD35" s="72">
        <v>24942.720000000001</v>
      </c>
      <c r="AE35" s="72">
        <v>10921.1</v>
      </c>
      <c r="AF35" s="72">
        <v>5927.6</v>
      </c>
      <c r="AG35" s="72">
        <v>10192.77</v>
      </c>
      <c r="AH35" s="72">
        <v>6138.5</v>
      </c>
      <c r="AI35" s="72">
        <v>70265.070000000007</v>
      </c>
      <c r="AJ35" s="72">
        <v>3079.45</v>
      </c>
      <c r="AK35" s="72">
        <v>2649.53</v>
      </c>
      <c r="AL35" s="72">
        <v>11031.78</v>
      </c>
      <c r="AM35" s="72">
        <v>35515.71</v>
      </c>
      <c r="AN35" s="72">
        <v>0</v>
      </c>
      <c r="AO35" s="72">
        <v>7781.59</v>
      </c>
      <c r="AP35" s="72">
        <v>61504.15</v>
      </c>
      <c r="AQ35" s="72">
        <v>15702.81</v>
      </c>
      <c r="AR35" s="72">
        <v>0</v>
      </c>
      <c r="AS35" s="72">
        <v>7197.66</v>
      </c>
      <c r="AT35" s="72">
        <v>5190.72</v>
      </c>
      <c r="AU35" s="72">
        <v>0</v>
      </c>
      <c r="AV35" s="72">
        <v>64851.31</v>
      </c>
      <c r="AW35" s="72">
        <v>73005.8</v>
      </c>
      <c r="AX35" s="72">
        <v>129685.87</v>
      </c>
      <c r="AY35" s="72">
        <v>25354.58</v>
      </c>
      <c r="AZ35" s="72">
        <v>0</v>
      </c>
      <c r="BA35" s="72">
        <v>34705</v>
      </c>
      <c r="BB35" s="72">
        <v>0</v>
      </c>
      <c r="BC35" s="72">
        <v>0</v>
      </c>
      <c r="BD35" s="72">
        <v>7768.77</v>
      </c>
      <c r="BE35" s="72">
        <v>0</v>
      </c>
      <c r="BF35" s="72">
        <v>34705</v>
      </c>
      <c r="BG35" s="72">
        <v>0</v>
      </c>
      <c r="BH35" s="72">
        <v>36369.33</v>
      </c>
      <c r="BI35" s="72">
        <v>0</v>
      </c>
      <c r="BJ35" s="72">
        <v>6104.15</v>
      </c>
      <c r="BK35" s="131">
        <v>2275</v>
      </c>
      <c r="BL35" s="131">
        <v>108752</v>
      </c>
      <c r="BM35" s="131">
        <v>-1</v>
      </c>
      <c r="BN35" s="131">
        <v>0</v>
      </c>
      <c r="BO35" s="131">
        <v>0</v>
      </c>
      <c r="BP35" s="131"/>
      <c r="BQ35" s="72">
        <f t="shared" si="0"/>
        <v>0.72999999951571226</v>
      </c>
    </row>
    <row r="36" spans="1:69">
      <c r="A36" s="402">
        <v>2023</v>
      </c>
      <c r="B36" s="402" t="s">
        <v>60</v>
      </c>
      <c r="C36" s="402">
        <v>120448</v>
      </c>
      <c r="D36" s="402"/>
      <c r="E36" s="411">
        <v>5636</v>
      </c>
      <c r="F36" s="416">
        <f t="shared" si="1"/>
        <v>126084</v>
      </c>
      <c r="G36" s="414">
        <v>1490202</v>
      </c>
      <c r="H36" s="403">
        <v>0</v>
      </c>
      <c r="I36" s="403">
        <v>58211</v>
      </c>
      <c r="J36" s="402">
        <v>0</v>
      </c>
      <c r="K36" s="403">
        <v>79915.009999999995</v>
      </c>
      <c r="L36" s="403">
        <v>0</v>
      </c>
      <c r="M36" s="403">
        <v>21377.48</v>
      </c>
      <c r="N36" s="403">
        <v>20372.47</v>
      </c>
      <c r="O36" s="403">
        <v>29477.94</v>
      </c>
      <c r="P36" s="403">
        <v>20210.55</v>
      </c>
      <c r="Q36" s="403">
        <v>0</v>
      </c>
      <c r="R36" s="403">
        <v>0</v>
      </c>
      <c r="S36" s="403">
        <v>7535.4</v>
      </c>
      <c r="T36" s="403">
        <v>0</v>
      </c>
      <c r="U36" s="403">
        <v>0</v>
      </c>
      <c r="V36" s="403">
        <v>1357.25</v>
      </c>
      <c r="W36" s="403">
        <v>4071.75</v>
      </c>
      <c r="X36" s="403">
        <v>773261.59</v>
      </c>
      <c r="Y36" s="403">
        <v>0</v>
      </c>
      <c r="Z36" s="403">
        <v>400122.98</v>
      </c>
      <c r="AA36" s="403">
        <v>21129.94</v>
      </c>
      <c r="AB36" s="403">
        <v>77469.509999999995</v>
      </c>
      <c r="AC36" s="403">
        <v>0</v>
      </c>
      <c r="AD36" s="403">
        <v>46112.74</v>
      </c>
      <c r="AE36" s="403">
        <v>17273.96</v>
      </c>
      <c r="AF36" s="403">
        <v>13367.35</v>
      </c>
      <c r="AG36" s="403">
        <v>375.8</v>
      </c>
      <c r="AH36" s="403">
        <v>19400.73</v>
      </c>
      <c r="AI36" s="403">
        <v>44683.43</v>
      </c>
      <c r="AJ36" s="403">
        <v>4966.1099999999997</v>
      </c>
      <c r="AK36" s="403">
        <v>24258.94</v>
      </c>
      <c r="AL36" s="403">
        <v>6128.55</v>
      </c>
      <c r="AM36" s="403">
        <v>18322.080000000002</v>
      </c>
      <c r="AN36" s="403">
        <v>9007.8799999999992</v>
      </c>
      <c r="AO36" s="403">
        <v>8773</v>
      </c>
      <c r="AP36" s="403">
        <v>70723.27</v>
      </c>
      <c r="AQ36" s="403">
        <v>13120.19</v>
      </c>
      <c r="AR36" s="403">
        <v>0</v>
      </c>
      <c r="AS36" s="403">
        <v>12792.28</v>
      </c>
      <c r="AT36" s="403">
        <v>11671.32</v>
      </c>
      <c r="AU36" s="403">
        <v>0</v>
      </c>
      <c r="AV36" s="403">
        <v>55114.55</v>
      </c>
      <c r="AW36" s="403">
        <v>58998</v>
      </c>
      <c r="AX36" s="403">
        <v>33984.97</v>
      </c>
      <c r="AY36" s="403">
        <v>32449.05</v>
      </c>
      <c r="AZ36" s="403">
        <v>0</v>
      </c>
      <c r="BA36" s="403">
        <v>625.07000000000005</v>
      </c>
      <c r="BB36" s="403">
        <v>0</v>
      </c>
      <c r="BC36" s="403">
        <v>0</v>
      </c>
      <c r="BD36" s="403">
        <v>7498.76</v>
      </c>
      <c r="BE36" s="403">
        <v>0</v>
      </c>
      <c r="BF36" s="403">
        <v>625.07000000000005</v>
      </c>
      <c r="BG36" s="403">
        <v>0</v>
      </c>
      <c r="BH36" s="403">
        <v>13759.83</v>
      </c>
      <c r="BI36" s="403">
        <v>0</v>
      </c>
      <c r="BJ36" s="403">
        <v>0</v>
      </c>
      <c r="BK36" s="402">
        <v>5814</v>
      </c>
      <c r="BL36" s="404">
        <f>73232-1357</f>
        <v>71875</v>
      </c>
      <c r="BM36" s="402">
        <v>0</v>
      </c>
      <c r="BN36" s="402">
        <v>0</v>
      </c>
      <c r="BO36" s="404">
        <v>1357</v>
      </c>
      <c r="BP36" s="402"/>
      <c r="BQ36" s="403">
        <f t="shared" ref="BQ36:BQ67" si="2">(SUM(C36:E36,G36:W36,BD36:BF36)-SUM(X36:BC36,BG36:BJ36))-SUM(BK36:BO36)</f>
        <v>-0.44000000017695129</v>
      </c>
    </row>
    <row r="37" spans="1:69">
      <c r="A37" s="131">
        <v>2022</v>
      </c>
      <c r="B37" s="131" t="s">
        <v>61</v>
      </c>
      <c r="C37" s="131">
        <v>175741</v>
      </c>
      <c r="D37" s="131"/>
      <c r="E37" s="410">
        <v>0</v>
      </c>
      <c r="F37" s="416">
        <f t="shared" si="1"/>
        <v>175741</v>
      </c>
      <c r="G37" s="413">
        <v>1686059</v>
      </c>
      <c r="H37" s="72">
        <v>0</v>
      </c>
      <c r="I37" s="72">
        <v>97460.7</v>
      </c>
      <c r="J37" s="131">
        <v>0</v>
      </c>
      <c r="K37" s="72">
        <v>154227</v>
      </c>
      <c r="L37" s="72">
        <v>16500</v>
      </c>
      <c r="M37" s="72">
        <v>4800</v>
      </c>
      <c r="N37" s="72">
        <v>9829</v>
      </c>
      <c r="O37" s="72">
        <v>39734.1</v>
      </c>
      <c r="P37" s="72">
        <v>3168</v>
      </c>
      <c r="Q37" s="72">
        <v>4593.6000000000004</v>
      </c>
      <c r="R37" s="72">
        <v>36826.730000000003</v>
      </c>
      <c r="S37" s="72">
        <v>1560</v>
      </c>
      <c r="T37" s="72">
        <v>0</v>
      </c>
      <c r="U37" s="72">
        <v>0</v>
      </c>
      <c r="V37" s="72">
        <v>0</v>
      </c>
      <c r="W37" s="72">
        <v>5985</v>
      </c>
      <c r="X37" s="72">
        <v>825342.85</v>
      </c>
      <c r="Y37" s="72">
        <v>1200</v>
      </c>
      <c r="Z37" s="72">
        <v>345340.21</v>
      </c>
      <c r="AA37" s="72">
        <v>20936.580000000002</v>
      </c>
      <c r="AB37" s="72">
        <v>56709.25</v>
      </c>
      <c r="AC37" s="72">
        <v>0</v>
      </c>
      <c r="AD37" s="72">
        <v>35303.269999999997</v>
      </c>
      <c r="AE37" s="72">
        <v>19585.86</v>
      </c>
      <c r="AF37" s="72">
        <v>7643.05</v>
      </c>
      <c r="AG37" s="72">
        <v>18559.61</v>
      </c>
      <c r="AH37" s="72">
        <v>1702.72</v>
      </c>
      <c r="AI37" s="72">
        <v>22241.119999999999</v>
      </c>
      <c r="AJ37" s="72">
        <v>5951.3</v>
      </c>
      <c r="AK37" s="72">
        <v>27433.26</v>
      </c>
      <c r="AL37" s="72">
        <v>8372.3799999999992</v>
      </c>
      <c r="AM37" s="72">
        <v>26959.67</v>
      </c>
      <c r="AN37" s="72">
        <v>9007.8700000000008</v>
      </c>
      <c r="AO37" s="72">
        <v>9591.2999999999993</v>
      </c>
      <c r="AP37" s="72">
        <v>92485.94</v>
      </c>
      <c r="AQ37" s="72">
        <v>11626.11</v>
      </c>
      <c r="AR37" s="72">
        <v>0</v>
      </c>
      <c r="AS37" s="72">
        <v>4081.97</v>
      </c>
      <c r="AT37" s="72">
        <v>5851.17</v>
      </c>
      <c r="AU37" s="72">
        <v>10381.49</v>
      </c>
      <c r="AV37" s="72">
        <v>76402.009999999995</v>
      </c>
      <c r="AW37" s="72">
        <v>187531.09</v>
      </c>
      <c r="AX37" s="72">
        <v>56067.15</v>
      </c>
      <c r="AY37" s="72">
        <v>51542.35</v>
      </c>
      <c r="AZ37" s="72">
        <v>0</v>
      </c>
      <c r="BA37" s="72">
        <v>48732</v>
      </c>
      <c r="BB37" s="72">
        <v>0</v>
      </c>
      <c r="BC37" s="72">
        <v>0</v>
      </c>
      <c r="BD37" s="72">
        <v>7645</v>
      </c>
      <c r="BE37" s="72">
        <v>0</v>
      </c>
      <c r="BF37" s="72">
        <v>48732</v>
      </c>
      <c r="BG37" s="72">
        <v>0</v>
      </c>
      <c r="BH37" s="72">
        <v>49300</v>
      </c>
      <c r="BI37" s="72">
        <v>0</v>
      </c>
      <c r="BJ37" s="72">
        <v>7076.6</v>
      </c>
      <c r="BK37" s="131">
        <v>5985</v>
      </c>
      <c r="BL37" s="131">
        <v>243918</v>
      </c>
      <c r="BM37" s="131">
        <v>0</v>
      </c>
      <c r="BN37" s="131">
        <v>0</v>
      </c>
      <c r="BO37" s="131">
        <v>0</v>
      </c>
      <c r="BP37" s="131"/>
      <c r="BQ37" s="72">
        <f t="shared" si="2"/>
        <v>-5.0000000279396772E-2</v>
      </c>
    </row>
    <row r="38" spans="1:69">
      <c r="A38" s="131">
        <v>2024</v>
      </c>
      <c r="B38" s="131" t="s">
        <v>62</v>
      </c>
      <c r="C38" s="131">
        <v>129618</v>
      </c>
      <c r="D38" s="131"/>
      <c r="E38" s="410">
        <v>38382</v>
      </c>
      <c r="F38" s="416">
        <f t="shared" si="1"/>
        <v>168000</v>
      </c>
      <c r="G38" s="413">
        <v>1319309.22</v>
      </c>
      <c r="H38" s="72">
        <v>0</v>
      </c>
      <c r="I38" s="72">
        <v>55117</v>
      </c>
      <c r="J38" s="131">
        <v>0</v>
      </c>
      <c r="K38" s="72">
        <v>80052</v>
      </c>
      <c r="L38" s="72">
        <v>15900</v>
      </c>
      <c r="M38" s="72">
        <v>1245.48</v>
      </c>
      <c r="N38" s="72">
        <v>20647.349999999999</v>
      </c>
      <c r="O38" s="72">
        <v>21837.94</v>
      </c>
      <c r="P38" s="400">
        <f>20862-242</f>
        <v>20620</v>
      </c>
      <c r="Q38" s="400">
        <f>-242+242</f>
        <v>0</v>
      </c>
      <c r="R38" s="72">
        <v>20410.32</v>
      </c>
      <c r="S38" s="72">
        <v>0</v>
      </c>
      <c r="T38" s="72">
        <v>0</v>
      </c>
      <c r="U38" s="72">
        <v>507291.81</v>
      </c>
      <c r="V38" s="72">
        <v>132571.95000000001</v>
      </c>
      <c r="W38" s="72">
        <v>5451</v>
      </c>
      <c r="X38" s="72">
        <v>654233.46</v>
      </c>
      <c r="Y38" s="72">
        <v>5684.9</v>
      </c>
      <c r="Z38" s="72">
        <v>291946.31</v>
      </c>
      <c r="AA38" s="72">
        <v>23620.2</v>
      </c>
      <c r="AB38" s="72">
        <v>72074.59</v>
      </c>
      <c r="AC38" s="72">
        <v>0</v>
      </c>
      <c r="AD38" s="72">
        <v>30031.58</v>
      </c>
      <c r="AE38" s="72">
        <v>12766.17</v>
      </c>
      <c r="AF38" s="72">
        <v>5510.88</v>
      </c>
      <c r="AG38" s="72">
        <v>386.63</v>
      </c>
      <c r="AH38" s="72">
        <v>13536.86</v>
      </c>
      <c r="AI38" s="400">
        <f>-9824.19+9824.19</f>
        <v>0</v>
      </c>
      <c r="AJ38" s="72">
        <v>2750.09</v>
      </c>
      <c r="AK38" s="72">
        <v>12277.25</v>
      </c>
      <c r="AL38" s="72">
        <v>3015.22</v>
      </c>
      <c r="AM38" s="72">
        <v>9908.27</v>
      </c>
      <c r="AN38" s="72">
        <v>106157.06</v>
      </c>
      <c r="AO38" s="72">
        <v>4093.69</v>
      </c>
      <c r="AP38" s="400">
        <f>53693.72-9824.19</f>
        <v>43869.53</v>
      </c>
      <c r="AQ38" s="72">
        <v>32722.85</v>
      </c>
      <c r="AR38" s="72">
        <v>0</v>
      </c>
      <c r="AS38" s="72">
        <v>20158.25</v>
      </c>
      <c r="AT38" s="72">
        <v>4591.66</v>
      </c>
      <c r="AU38" s="72">
        <v>16686.61</v>
      </c>
      <c r="AV38" s="72">
        <v>38870.82</v>
      </c>
      <c r="AW38" s="72">
        <v>20087.97</v>
      </c>
      <c r="AX38" s="72">
        <v>29118.69</v>
      </c>
      <c r="AY38" s="72">
        <v>19039.03</v>
      </c>
      <c r="AZ38" s="72">
        <v>0</v>
      </c>
      <c r="BA38" s="72">
        <v>0</v>
      </c>
      <c r="BB38" s="72">
        <v>524583.94999999995</v>
      </c>
      <c r="BC38" s="72">
        <v>112501.68</v>
      </c>
      <c r="BD38" s="72">
        <v>6638.12</v>
      </c>
      <c r="BE38" s="72">
        <v>0</v>
      </c>
      <c r="BF38" s="72">
        <v>0</v>
      </c>
      <c r="BG38" s="72">
        <v>0</v>
      </c>
      <c r="BH38" s="72">
        <v>14883</v>
      </c>
      <c r="BI38" s="72">
        <v>0</v>
      </c>
      <c r="BJ38" s="72">
        <v>0</v>
      </c>
      <c r="BK38" s="131">
        <v>0</v>
      </c>
      <c r="BL38" s="131">
        <v>217070</v>
      </c>
      <c r="BM38" s="131">
        <v>30137</v>
      </c>
      <c r="BN38" s="131">
        <v>0</v>
      </c>
      <c r="BO38" s="131">
        <v>2778</v>
      </c>
      <c r="BP38" s="131"/>
      <c r="BQ38" s="72">
        <f t="shared" si="2"/>
        <v>-9.9999993108212948E-3</v>
      </c>
    </row>
    <row r="39" spans="1:69">
      <c r="A39" s="131">
        <v>2025</v>
      </c>
      <c r="B39" s="131" t="s">
        <v>63</v>
      </c>
      <c r="C39" s="131">
        <v>96650</v>
      </c>
      <c r="D39" s="131"/>
      <c r="E39" s="410">
        <v>17978</v>
      </c>
      <c r="F39" s="416">
        <f t="shared" si="1"/>
        <v>114628</v>
      </c>
      <c r="G39" s="413">
        <v>1226118.72</v>
      </c>
      <c r="H39" s="72">
        <v>0</v>
      </c>
      <c r="I39" s="72">
        <v>32594</v>
      </c>
      <c r="J39" s="131">
        <v>0</v>
      </c>
      <c r="K39" s="72">
        <v>20966.009999999998</v>
      </c>
      <c r="L39" s="72">
        <v>4095</v>
      </c>
      <c r="M39" s="72">
        <v>19564.8</v>
      </c>
      <c r="N39" s="72">
        <v>79086.100000000006</v>
      </c>
      <c r="O39" s="72">
        <v>59076.73</v>
      </c>
      <c r="P39" s="72">
        <v>15927.55</v>
      </c>
      <c r="Q39" s="72">
        <v>4244.7</v>
      </c>
      <c r="R39" s="72">
        <v>41830.25</v>
      </c>
      <c r="S39" s="72">
        <v>12575.25</v>
      </c>
      <c r="T39" s="72">
        <v>0</v>
      </c>
      <c r="U39" s="72">
        <v>0</v>
      </c>
      <c r="V39" s="72">
        <v>0</v>
      </c>
      <c r="W39" s="72">
        <v>5729</v>
      </c>
      <c r="X39" s="72">
        <v>762773.83</v>
      </c>
      <c r="Y39" s="72">
        <v>5301.27</v>
      </c>
      <c r="Z39" s="72">
        <v>223636.97</v>
      </c>
      <c r="AA39" s="72">
        <v>51595.87</v>
      </c>
      <c r="AB39" s="72">
        <v>41751.550000000003</v>
      </c>
      <c r="AC39" s="72">
        <v>0</v>
      </c>
      <c r="AD39" s="72">
        <v>28575.56</v>
      </c>
      <c r="AE39" s="72">
        <v>17456.11</v>
      </c>
      <c r="AF39" s="72">
        <v>3507.96</v>
      </c>
      <c r="AG39" s="72">
        <v>13067.92</v>
      </c>
      <c r="AH39" s="72">
        <v>1667.63</v>
      </c>
      <c r="AI39" s="72">
        <v>23346.86</v>
      </c>
      <c r="AJ39" s="72">
        <v>171.13</v>
      </c>
      <c r="AK39" s="72">
        <v>2634.77</v>
      </c>
      <c r="AL39" s="72">
        <v>4366.4399999999996</v>
      </c>
      <c r="AM39" s="72">
        <v>25764.43</v>
      </c>
      <c r="AN39" s="72">
        <v>20488.5</v>
      </c>
      <c r="AO39" s="72">
        <v>3918.87</v>
      </c>
      <c r="AP39" s="72">
        <v>64363.44</v>
      </c>
      <c r="AQ39" s="72">
        <v>20023.689999999999</v>
      </c>
      <c r="AR39" s="72">
        <v>0</v>
      </c>
      <c r="AS39" s="72">
        <v>5878.92</v>
      </c>
      <c r="AT39" s="72">
        <v>9255.2099999999991</v>
      </c>
      <c r="AU39" s="72">
        <v>8114.52</v>
      </c>
      <c r="AV39" s="72">
        <v>69687.520000000004</v>
      </c>
      <c r="AW39" s="72">
        <v>66884.5</v>
      </c>
      <c r="AX39" s="72">
        <v>36396.1</v>
      </c>
      <c r="AY39" s="72">
        <v>37912.949999999997</v>
      </c>
      <c r="AZ39" s="72">
        <v>0</v>
      </c>
      <c r="BA39" s="72">
        <v>0</v>
      </c>
      <c r="BB39" s="72">
        <v>0</v>
      </c>
      <c r="BC39" s="72">
        <v>0</v>
      </c>
      <c r="BD39" s="72">
        <v>7532.5</v>
      </c>
      <c r="BE39" s="72">
        <v>0</v>
      </c>
      <c r="BF39" s="72">
        <v>0</v>
      </c>
      <c r="BG39" s="72">
        <v>0</v>
      </c>
      <c r="BH39" s="72">
        <v>0</v>
      </c>
      <c r="BI39" s="72">
        <v>0</v>
      </c>
      <c r="BJ39" s="72">
        <v>3380</v>
      </c>
      <c r="BK39" s="131">
        <v>11861</v>
      </c>
      <c r="BL39" s="131">
        <v>58055</v>
      </c>
      <c r="BM39" s="131">
        <v>22131</v>
      </c>
      <c r="BN39" s="131">
        <v>0</v>
      </c>
      <c r="BO39" s="131">
        <v>0</v>
      </c>
      <c r="BP39" s="131"/>
      <c r="BQ39" s="72">
        <f t="shared" si="2"/>
        <v>-0.90999999968335032</v>
      </c>
    </row>
    <row r="40" spans="1:69">
      <c r="A40" s="131">
        <v>2026</v>
      </c>
      <c r="B40" s="131" t="s">
        <v>64</v>
      </c>
      <c r="C40" s="131">
        <v>97577</v>
      </c>
      <c r="D40" s="131"/>
      <c r="E40" s="410">
        <v>-2</v>
      </c>
      <c r="F40" s="416">
        <f t="shared" si="1"/>
        <v>97575</v>
      </c>
      <c r="G40" s="413">
        <v>2671922</v>
      </c>
      <c r="H40" s="72">
        <v>0</v>
      </c>
      <c r="I40" s="72">
        <v>106278</v>
      </c>
      <c r="J40" s="131">
        <v>0</v>
      </c>
      <c r="K40" s="72">
        <v>125165</v>
      </c>
      <c r="L40" s="72">
        <v>8970</v>
      </c>
      <c r="M40" s="72">
        <v>1461.59</v>
      </c>
      <c r="N40" s="72">
        <v>81840.78</v>
      </c>
      <c r="O40" s="72">
        <v>100978.83</v>
      </c>
      <c r="P40" s="72">
        <v>0</v>
      </c>
      <c r="Q40" s="72">
        <v>0</v>
      </c>
      <c r="R40" s="72">
        <v>93144.55</v>
      </c>
      <c r="S40" s="72">
        <v>36921.71</v>
      </c>
      <c r="T40" s="72">
        <v>0</v>
      </c>
      <c r="U40" s="72">
        <v>0</v>
      </c>
      <c r="V40" s="72">
        <v>0</v>
      </c>
      <c r="W40" s="72">
        <v>6586</v>
      </c>
      <c r="X40" s="72">
        <v>1670883.27</v>
      </c>
      <c r="Y40" s="72">
        <v>10220.219999999999</v>
      </c>
      <c r="Z40" s="72">
        <v>533917.91</v>
      </c>
      <c r="AA40" s="72">
        <v>54420.87</v>
      </c>
      <c r="AB40" s="72">
        <v>94167.01</v>
      </c>
      <c r="AC40" s="72">
        <v>0</v>
      </c>
      <c r="AD40" s="72">
        <v>75440.23</v>
      </c>
      <c r="AE40" s="72">
        <v>22725.48</v>
      </c>
      <c r="AF40" s="72">
        <v>20359.13</v>
      </c>
      <c r="AG40" s="72">
        <v>2182.17</v>
      </c>
      <c r="AH40" s="72">
        <v>3675.74</v>
      </c>
      <c r="AI40" s="72">
        <v>48476.47</v>
      </c>
      <c r="AJ40" s="72">
        <v>7503.64</v>
      </c>
      <c r="AK40" s="72">
        <v>44353.72</v>
      </c>
      <c r="AL40" s="72">
        <v>3425.45</v>
      </c>
      <c r="AM40" s="72">
        <v>31828.1</v>
      </c>
      <c r="AN40" s="72">
        <v>38052.5</v>
      </c>
      <c r="AO40" s="72">
        <v>17699.439999999999</v>
      </c>
      <c r="AP40" s="72">
        <v>118929.15</v>
      </c>
      <c r="AQ40" s="72">
        <v>35196.400000000001</v>
      </c>
      <c r="AR40" s="72">
        <v>0</v>
      </c>
      <c r="AS40" s="72">
        <v>21489.97</v>
      </c>
      <c r="AT40" s="72">
        <v>14803.82</v>
      </c>
      <c r="AU40" s="72">
        <v>6083.63</v>
      </c>
      <c r="AV40" s="72">
        <v>132579.68</v>
      </c>
      <c r="AW40" s="72">
        <v>89928.17</v>
      </c>
      <c r="AX40" s="72">
        <v>102587.78</v>
      </c>
      <c r="AY40" s="72">
        <v>38785.050000000003</v>
      </c>
      <c r="AZ40" s="72">
        <v>0</v>
      </c>
      <c r="BA40" s="72">
        <v>0</v>
      </c>
      <c r="BB40" s="72">
        <v>0</v>
      </c>
      <c r="BC40" s="72">
        <v>0</v>
      </c>
      <c r="BD40" s="72">
        <v>11126.88</v>
      </c>
      <c r="BE40" s="72">
        <v>0</v>
      </c>
      <c r="BF40" s="72">
        <v>0</v>
      </c>
      <c r="BG40" s="72">
        <v>0</v>
      </c>
      <c r="BH40" s="72">
        <v>0</v>
      </c>
      <c r="BI40" s="72">
        <v>0</v>
      </c>
      <c r="BJ40" s="72">
        <v>8800.01</v>
      </c>
      <c r="BK40" s="131">
        <v>0</v>
      </c>
      <c r="BL40" s="131">
        <v>91130</v>
      </c>
      <c r="BM40" s="131">
        <v>0</v>
      </c>
      <c r="BN40" s="131">
        <v>2325</v>
      </c>
      <c r="BO40" s="131">
        <v>0</v>
      </c>
      <c r="BP40" s="131"/>
      <c r="BQ40" s="72">
        <f t="shared" si="2"/>
        <v>0.32999999960884452</v>
      </c>
    </row>
    <row r="41" spans="1:69">
      <c r="A41" s="131">
        <v>2028</v>
      </c>
      <c r="B41" s="131" t="s">
        <v>65</v>
      </c>
      <c r="C41" s="131">
        <v>61411</v>
      </c>
      <c r="D41" s="131"/>
      <c r="E41" s="410">
        <v>0</v>
      </c>
      <c r="F41" s="416">
        <f t="shared" si="1"/>
        <v>61411</v>
      </c>
      <c r="G41" s="413">
        <v>1119125</v>
      </c>
      <c r="H41" s="72">
        <v>0</v>
      </c>
      <c r="I41" s="72">
        <v>96891</v>
      </c>
      <c r="J41" s="131">
        <v>0</v>
      </c>
      <c r="K41" s="72">
        <v>40026</v>
      </c>
      <c r="L41" s="72">
        <v>16170</v>
      </c>
      <c r="M41" s="72">
        <v>0</v>
      </c>
      <c r="N41" s="72">
        <v>7823.77</v>
      </c>
      <c r="O41" s="72">
        <v>55581.23</v>
      </c>
      <c r="P41" s="72">
        <v>10909.8</v>
      </c>
      <c r="Q41" s="72">
        <v>475.19</v>
      </c>
      <c r="R41" s="72">
        <v>2223</v>
      </c>
      <c r="S41" s="72">
        <v>9048.23</v>
      </c>
      <c r="T41" s="72">
        <v>0</v>
      </c>
      <c r="U41" s="72">
        <v>0</v>
      </c>
      <c r="V41" s="72">
        <v>0</v>
      </c>
      <c r="W41" s="72">
        <v>5435</v>
      </c>
      <c r="X41" s="72">
        <v>654073.26</v>
      </c>
      <c r="Y41" s="72">
        <v>0</v>
      </c>
      <c r="Z41" s="72">
        <v>316727.67</v>
      </c>
      <c r="AA41" s="72">
        <v>21854.61</v>
      </c>
      <c r="AB41" s="72">
        <v>31478.15</v>
      </c>
      <c r="AC41" s="72">
        <v>0</v>
      </c>
      <c r="AD41" s="72">
        <v>23473.11</v>
      </c>
      <c r="AE41" s="72">
        <v>9216.5400000000009</v>
      </c>
      <c r="AF41" s="72">
        <v>3208</v>
      </c>
      <c r="AG41" s="72">
        <v>13457.95</v>
      </c>
      <c r="AH41" s="72">
        <v>1748.45</v>
      </c>
      <c r="AI41" s="72">
        <v>21389.1</v>
      </c>
      <c r="AJ41" s="72">
        <v>8174.6</v>
      </c>
      <c r="AK41" s="72">
        <v>18974.87</v>
      </c>
      <c r="AL41" s="72">
        <v>250.7</v>
      </c>
      <c r="AM41" s="72">
        <v>13424.98</v>
      </c>
      <c r="AN41" s="72">
        <v>16816.75</v>
      </c>
      <c r="AO41" s="72">
        <v>6524.18</v>
      </c>
      <c r="AP41" s="72">
        <v>21704.83</v>
      </c>
      <c r="AQ41" s="72">
        <v>8970.77</v>
      </c>
      <c r="AR41" s="72">
        <v>0</v>
      </c>
      <c r="AS41" s="72">
        <v>4965.26</v>
      </c>
      <c r="AT41" s="72">
        <v>7391.08</v>
      </c>
      <c r="AU41" s="72">
        <v>4013.09</v>
      </c>
      <c r="AV41" s="72">
        <v>65614.320000000007</v>
      </c>
      <c r="AW41" s="72">
        <v>20184</v>
      </c>
      <c r="AX41" s="72">
        <v>14617.26</v>
      </c>
      <c r="AY41" s="72">
        <v>23149.53</v>
      </c>
      <c r="AZ41" s="72">
        <v>0</v>
      </c>
      <c r="BA41" s="72">
        <v>4629.42</v>
      </c>
      <c r="BB41" s="72">
        <v>0</v>
      </c>
      <c r="BC41" s="72">
        <v>0</v>
      </c>
      <c r="BD41" s="72">
        <v>7037.5</v>
      </c>
      <c r="BE41" s="72">
        <v>24012.44</v>
      </c>
      <c r="BF41" s="72">
        <v>4629.42</v>
      </c>
      <c r="BG41" s="72">
        <v>0</v>
      </c>
      <c r="BH41" s="72">
        <v>24202.62</v>
      </c>
      <c r="BI41" s="72">
        <v>0</v>
      </c>
      <c r="BJ41" s="72">
        <v>11476.74</v>
      </c>
      <c r="BK41" s="131">
        <v>2435</v>
      </c>
      <c r="BL41" s="131">
        <v>86652</v>
      </c>
      <c r="BM41" s="131">
        <v>0</v>
      </c>
      <c r="BN41" s="131">
        <v>0</v>
      </c>
      <c r="BO41" s="131">
        <v>0</v>
      </c>
      <c r="BP41" s="131"/>
      <c r="BQ41" s="72">
        <f t="shared" si="2"/>
        <v>-0.26000000047497451</v>
      </c>
    </row>
    <row r="42" spans="1:69">
      <c r="A42" s="131">
        <v>2027</v>
      </c>
      <c r="B42" s="131" t="s">
        <v>66</v>
      </c>
      <c r="C42" s="131">
        <v>150567</v>
      </c>
      <c r="D42" s="131"/>
      <c r="E42" s="410">
        <v>0</v>
      </c>
      <c r="F42" s="416">
        <f t="shared" si="1"/>
        <v>150567</v>
      </c>
      <c r="G42" s="413">
        <v>1435874</v>
      </c>
      <c r="H42" s="72">
        <v>0</v>
      </c>
      <c r="I42" s="72">
        <v>92720</v>
      </c>
      <c r="J42" s="131">
        <v>0</v>
      </c>
      <c r="K42" s="72">
        <v>70522.009999999995</v>
      </c>
      <c r="L42" s="72">
        <v>1843.64</v>
      </c>
      <c r="M42" s="72">
        <v>0</v>
      </c>
      <c r="N42" s="72">
        <v>11706.05</v>
      </c>
      <c r="O42" s="72">
        <v>72102.94</v>
      </c>
      <c r="P42" s="72">
        <v>0</v>
      </c>
      <c r="Q42" s="72">
        <v>0</v>
      </c>
      <c r="R42" s="72">
        <v>26362.11</v>
      </c>
      <c r="S42" s="72">
        <v>1956.23</v>
      </c>
      <c r="T42" s="72">
        <v>0</v>
      </c>
      <c r="U42" s="72">
        <v>0</v>
      </c>
      <c r="V42" s="72">
        <v>0</v>
      </c>
      <c r="W42" s="72">
        <v>5998</v>
      </c>
      <c r="X42" s="72">
        <v>895422.29</v>
      </c>
      <c r="Y42" s="72">
        <v>0</v>
      </c>
      <c r="Z42" s="72">
        <v>241292.23</v>
      </c>
      <c r="AA42" s="72">
        <v>21917.759999999998</v>
      </c>
      <c r="AB42" s="72">
        <v>42674.53</v>
      </c>
      <c r="AC42" s="72">
        <v>0</v>
      </c>
      <c r="AD42" s="72">
        <v>22908.09</v>
      </c>
      <c r="AE42" s="72">
        <v>7320.99</v>
      </c>
      <c r="AF42" s="72">
        <v>5738.45</v>
      </c>
      <c r="AG42" s="72">
        <v>14473.03</v>
      </c>
      <c r="AH42" s="72">
        <v>1844.02</v>
      </c>
      <c r="AI42" s="72">
        <v>28386.78</v>
      </c>
      <c r="AJ42" s="72">
        <v>3003.2</v>
      </c>
      <c r="AK42" s="72">
        <v>25196.51</v>
      </c>
      <c r="AL42" s="72">
        <v>370.94</v>
      </c>
      <c r="AM42" s="72">
        <v>20033.16</v>
      </c>
      <c r="AN42" s="72">
        <v>16816.75</v>
      </c>
      <c r="AO42" s="72">
        <v>7147.26</v>
      </c>
      <c r="AP42" s="72">
        <v>73577.84</v>
      </c>
      <c r="AQ42" s="72">
        <v>14041.88</v>
      </c>
      <c r="AR42" s="72">
        <v>0</v>
      </c>
      <c r="AS42" s="72">
        <v>7828.31</v>
      </c>
      <c r="AT42" s="72">
        <v>8404.9599999999991</v>
      </c>
      <c r="AU42" s="72">
        <v>6450.99</v>
      </c>
      <c r="AV42" s="72">
        <v>85612.2</v>
      </c>
      <c r="AW42" s="72">
        <v>43509</v>
      </c>
      <c r="AX42" s="72">
        <v>121978.61</v>
      </c>
      <c r="AY42" s="72">
        <v>27602.63</v>
      </c>
      <c r="AZ42" s="72">
        <v>0</v>
      </c>
      <c r="BA42" s="72">
        <v>5964</v>
      </c>
      <c r="BB42" s="72">
        <v>0</v>
      </c>
      <c r="BC42" s="72">
        <v>0</v>
      </c>
      <c r="BD42" s="72">
        <v>8005</v>
      </c>
      <c r="BE42" s="72">
        <v>33510</v>
      </c>
      <c r="BF42" s="72">
        <v>5964</v>
      </c>
      <c r="BG42" s="72">
        <v>0</v>
      </c>
      <c r="BH42" s="72">
        <v>0</v>
      </c>
      <c r="BI42" s="72">
        <v>44292</v>
      </c>
      <c r="BJ42" s="72">
        <v>3186.5</v>
      </c>
      <c r="BK42" s="131">
        <v>4114</v>
      </c>
      <c r="BL42" s="131">
        <v>116022</v>
      </c>
      <c r="BM42" s="131">
        <v>1</v>
      </c>
      <c r="BN42" s="131">
        <v>0</v>
      </c>
      <c r="BO42" s="131">
        <v>0</v>
      </c>
      <c r="BP42" s="131"/>
      <c r="BQ42" s="72">
        <f t="shared" si="2"/>
        <v>-0.92999999993480742</v>
      </c>
    </row>
    <row r="43" spans="1:69">
      <c r="A43" s="131">
        <v>2029</v>
      </c>
      <c r="B43" s="131" t="s">
        <v>67</v>
      </c>
      <c r="C43" s="131">
        <v>171042</v>
      </c>
      <c r="D43" s="131"/>
      <c r="E43" s="410">
        <v>0</v>
      </c>
      <c r="F43" s="416">
        <f t="shared" si="1"/>
        <v>171042</v>
      </c>
      <c r="G43" s="413">
        <v>2157523.9900000002</v>
      </c>
      <c r="H43" s="72">
        <v>0</v>
      </c>
      <c r="I43" s="72">
        <v>50842</v>
      </c>
      <c r="J43" s="131">
        <v>0</v>
      </c>
      <c r="K43" s="72">
        <v>218184</v>
      </c>
      <c r="L43" s="72">
        <v>11450</v>
      </c>
      <c r="M43" s="72">
        <v>0</v>
      </c>
      <c r="N43" s="72">
        <v>12247.5</v>
      </c>
      <c r="O43" s="72">
        <v>33637.81</v>
      </c>
      <c r="P43" s="72">
        <v>840</v>
      </c>
      <c r="Q43" s="72">
        <v>3100</v>
      </c>
      <c r="R43" s="72">
        <v>19733.12</v>
      </c>
      <c r="S43" s="72">
        <v>1167.3900000000001</v>
      </c>
      <c r="T43" s="72">
        <v>0</v>
      </c>
      <c r="U43" s="72">
        <v>0</v>
      </c>
      <c r="V43" s="72">
        <v>0</v>
      </c>
      <c r="W43" s="72">
        <v>6020</v>
      </c>
      <c r="X43" s="72">
        <v>980428.71</v>
      </c>
      <c r="Y43" s="72">
        <v>0</v>
      </c>
      <c r="Z43" s="72">
        <v>400571.65</v>
      </c>
      <c r="AA43" s="72">
        <v>47435.01</v>
      </c>
      <c r="AB43" s="72">
        <v>64898.98</v>
      </c>
      <c r="AC43" s="72">
        <v>0</v>
      </c>
      <c r="AD43" s="72">
        <v>85375.9</v>
      </c>
      <c r="AE43" s="72">
        <v>3988.1</v>
      </c>
      <c r="AF43" s="72">
        <v>9387.3799999999992</v>
      </c>
      <c r="AG43" s="72">
        <v>15882.64</v>
      </c>
      <c r="AH43" s="72">
        <v>11721.08</v>
      </c>
      <c r="AI43" s="72">
        <v>29258.15</v>
      </c>
      <c r="AJ43" s="72">
        <v>608.62</v>
      </c>
      <c r="AK43" s="72">
        <v>33642.86</v>
      </c>
      <c r="AL43" s="72">
        <v>3763.33</v>
      </c>
      <c r="AM43" s="72">
        <v>33859.360000000001</v>
      </c>
      <c r="AN43" s="72">
        <v>21548.25</v>
      </c>
      <c r="AO43" s="72">
        <v>34113.910000000003</v>
      </c>
      <c r="AP43" s="72">
        <v>98416.63</v>
      </c>
      <c r="AQ43" s="72">
        <v>32706.44</v>
      </c>
      <c r="AR43" s="72">
        <v>0</v>
      </c>
      <c r="AS43" s="72">
        <v>12796.45</v>
      </c>
      <c r="AT43" s="72">
        <v>10010.27</v>
      </c>
      <c r="AU43" s="72">
        <v>17964.189999999999</v>
      </c>
      <c r="AV43" s="72">
        <v>76614.33</v>
      </c>
      <c r="AW43" s="72">
        <v>199175</v>
      </c>
      <c r="AX43" s="72">
        <v>134653.46</v>
      </c>
      <c r="AY43" s="72">
        <v>39276</v>
      </c>
      <c r="AZ43" s="72">
        <v>0</v>
      </c>
      <c r="BA43" s="72">
        <v>123936.9</v>
      </c>
      <c r="BB43" s="72">
        <v>0</v>
      </c>
      <c r="BC43" s="72">
        <v>0</v>
      </c>
      <c r="BD43" s="72">
        <v>8837.5</v>
      </c>
      <c r="BE43" s="72">
        <v>0</v>
      </c>
      <c r="BF43" s="72">
        <v>123936.9</v>
      </c>
      <c r="BG43" s="72">
        <v>0</v>
      </c>
      <c r="BH43" s="72">
        <v>118094.9</v>
      </c>
      <c r="BI43" s="72">
        <v>0</v>
      </c>
      <c r="BJ43" s="72">
        <v>14680</v>
      </c>
      <c r="BK43" s="131">
        <v>0</v>
      </c>
      <c r="BL43" s="131">
        <v>163754</v>
      </c>
      <c r="BM43" s="131">
        <v>0</v>
      </c>
      <c r="BN43" s="131">
        <v>-1</v>
      </c>
      <c r="BO43" s="131">
        <v>0</v>
      </c>
      <c r="BP43" s="131"/>
      <c r="BQ43" s="72">
        <f t="shared" si="2"/>
        <v>0.71000000042840838</v>
      </c>
    </row>
    <row r="44" spans="1:69">
      <c r="A44" s="131">
        <v>3516</v>
      </c>
      <c r="B44" s="131" t="s">
        <v>69</v>
      </c>
      <c r="C44" s="131">
        <v>15625</v>
      </c>
      <c r="D44" s="131"/>
      <c r="E44" s="410">
        <v>0</v>
      </c>
      <c r="F44" s="416">
        <f t="shared" si="1"/>
        <v>15625</v>
      </c>
      <c r="G44" s="413">
        <v>933006.56</v>
      </c>
      <c r="H44" s="72">
        <v>0</v>
      </c>
      <c r="I44" s="72">
        <v>76186.399999999994</v>
      </c>
      <c r="J44" s="131">
        <v>0</v>
      </c>
      <c r="K44" s="72">
        <v>14295.01</v>
      </c>
      <c r="L44" s="72">
        <v>0</v>
      </c>
      <c r="M44" s="72">
        <v>1700</v>
      </c>
      <c r="N44" s="72">
        <v>10</v>
      </c>
      <c r="O44" s="72">
        <v>30782.9</v>
      </c>
      <c r="P44" s="72">
        <v>4461.45</v>
      </c>
      <c r="Q44" s="72">
        <v>1484.94</v>
      </c>
      <c r="R44" s="72">
        <v>0</v>
      </c>
      <c r="S44" s="72">
        <v>0</v>
      </c>
      <c r="T44" s="72">
        <v>0</v>
      </c>
      <c r="U44" s="72">
        <v>0</v>
      </c>
      <c r="V44" s="72">
        <v>0</v>
      </c>
      <c r="W44" s="72">
        <v>5448</v>
      </c>
      <c r="X44" s="72">
        <v>537200.66</v>
      </c>
      <c r="Y44" s="72">
        <v>5927.93</v>
      </c>
      <c r="Z44" s="72">
        <v>220627.38</v>
      </c>
      <c r="AA44" s="72">
        <v>25249.46</v>
      </c>
      <c r="AB44" s="72">
        <v>63021.13</v>
      </c>
      <c r="AC44" s="72">
        <v>0</v>
      </c>
      <c r="AD44" s="72">
        <v>18332.310000000001</v>
      </c>
      <c r="AE44" s="72">
        <v>2351.59</v>
      </c>
      <c r="AF44" s="72">
        <v>4037</v>
      </c>
      <c r="AG44" s="72">
        <v>429.43</v>
      </c>
      <c r="AH44" s="72">
        <v>0</v>
      </c>
      <c r="AI44" s="72">
        <v>11349.04</v>
      </c>
      <c r="AJ44" s="72">
        <v>0</v>
      </c>
      <c r="AK44" s="72">
        <v>32683.439999999999</v>
      </c>
      <c r="AL44" s="72">
        <v>6234</v>
      </c>
      <c r="AM44" s="72">
        <v>14763.39</v>
      </c>
      <c r="AN44" s="72">
        <v>0</v>
      </c>
      <c r="AO44" s="72">
        <v>4446.4799999999996</v>
      </c>
      <c r="AP44" s="72">
        <v>20149.21</v>
      </c>
      <c r="AQ44" s="72">
        <v>13827.82</v>
      </c>
      <c r="AR44" s="72">
        <v>0</v>
      </c>
      <c r="AS44" s="72">
        <v>13370.9</v>
      </c>
      <c r="AT44" s="72">
        <v>5923.44</v>
      </c>
      <c r="AU44" s="72">
        <v>0</v>
      </c>
      <c r="AV44" s="72">
        <v>43894</v>
      </c>
      <c r="AW44" s="72">
        <v>0</v>
      </c>
      <c r="AX44" s="72">
        <v>2699.21</v>
      </c>
      <c r="AY44" s="72">
        <v>37139.46</v>
      </c>
      <c r="AZ44" s="72">
        <v>0</v>
      </c>
      <c r="BA44" s="72">
        <v>0</v>
      </c>
      <c r="BB44" s="72">
        <v>0</v>
      </c>
      <c r="BC44" s="72">
        <v>0</v>
      </c>
      <c r="BD44" s="72">
        <v>0</v>
      </c>
      <c r="BE44" s="72">
        <v>0</v>
      </c>
      <c r="BF44" s="72">
        <v>0</v>
      </c>
      <c r="BG44" s="72">
        <v>0</v>
      </c>
      <c r="BH44" s="72">
        <v>0</v>
      </c>
      <c r="BI44" s="72">
        <v>0</v>
      </c>
      <c r="BJ44" s="72">
        <v>0</v>
      </c>
      <c r="BK44" s="131">
        <v>-657</v>
      </c>
      <c r="BL44" s="131">
        <v>0</v>
      </c>
      <c r="BM44" s="131">
        <v>0</v>
      </c>
      <c r="BN44" s="131">
        <v>0</v>
      </c>
      <c r="BO44" s="131">
        <v>0</v>
      </c>
      <c r="BP44" s="131"/>
      <c r="BQ44" s="72">
        <f t="shared" si="2"/>
        <v>-2.0000000018626451E-2</v>
      </c>
    </row>
    <row r="45" spans="1:69">
      <c r="A45" s="131">
        <v>2031</v>
      </c>
      <c r="B45" s="131" t="s">
        <v>70</v>
      </c>
      <c r="C45" s="131">
        <v>113864</v>
      </c>
      <c r="D45" s="131"/>
      <c r="E45" s="410">
        <v>0</v>
      </c>
      <c r="F45" s="416">
        <f t="shared" si="1"/>
        <v>113864</v>
      </c>
      <c r="G45" s="413">
        <v>1171501.6100000001</v>
      </c>
      <c r="H45" s="72">
        <v>0</v>
      </c>
      <c r="I45" s="72">
        <v>31764.97</v>
      </c>
      <c r="J45" s="131">
        <v>0</v>
      </c>
      <c r="K45" s="72">
        <v>90598.58</v>
      </c>
      <c r="L45" s="72">
        <v>2760</v>
      </c>
      <c r="M45" s="72">
        <v>470</v>
      </c>
      <c r="N45" s="72">
        <v>54681.75</v>
      </c>
      <c r="O45" s="72">
        <v>32337.25</v>
      </c>
      <c r="P45" s="72">
        <v>13680</v>
      </c>
      <c r="Q45" s="72">
        <v>0</v>
      </c>
      <c r="R45" s="72">
        <v>10683.8</v>
      </c>
      <c r="S45" s="72">
        <v>3092.91</v>
      </c>
      <c r="T45" s="72">
        <v>0</v>
      </c>
      <c r="U45" s="72">
        <v>0</v>
      </c>
      <c r="V45" s="72">
        <v>0</v>
      </c>
      <c r="W45" s="72">
        <v>5374</v>
      </c>
      <c r="X45" s="72">
        <v>570856.54</v>
      </c>
      <c r="Y45" s="72">
        <v>14904.74</v>
      </c>
      <c r="Z45" s="72">
        <v>295596.96999999997</v>
      </c>
      <c r="AA45" s="72">
        <v>21694.639999999999</v>
      </c>
      <c r="AB45" s="72">
        <v>24230.48</v>
      </c>
      <c r="AC45" s="72">
        <v>0</v>
      </c>
      <c r="AD45" s="72">
        <v>29942.77</v>
      </c>
      <c r="AE45" s="72">
        <v>450.74</v>
      </c>
      <c r="AF45" s="72">
        <v>5302.93</v>
      </c>
      <c r="AG45" s="72">
        <v>12321.91</v>
      </c>
      <c r="AH45" s="72">
        <v>978.53</v>
      </c>
      <c r="AI45" s="72">
        <v>20950.560000000001</v>
      </c>
      <c r="AJ45" s="72">
        <v>8912.86</v>
      </c>
      <c r="AK45" s="72">
        <v>14193.09</v>
      </c>
      <c r="AL45" s="72">
        <v>4321.96</v>
      </c>
      <c r="AM45" s="400">
        <f>-11865.79+11865.79</f>
        <v>0</v>
      </c>
      <c r="AN45" s="72">
        <v>0</v>
      </c>
      <c r="AO45" s="72">
        <v>7993.57</v>
      </c>
      <c r="AP45" s="400">
        <f>56196.8-11865.79</f>
        <v>44331.01</v>
      </c>
      <c r="AQ45" s="72">
        <v>24622.49</v>
      </c>
      <c r="AR45" s="72">
        <v>0</v>
      </c>
      <c r="AS45" s="72">
        <v>7835.62</v>
      </c>
      <c r="AT45" s="72">
        <v>5861.77</v>
      </c>
      <c r="AU45" s="72">
        <v>9815.77</v>
      </c>
      <c r="AV45" s="72">
        <v>49205</v>
      </c>
      <c r="AW45" s="72">
        <v>26139.45</v>
      </c>
      <c r="AX45" s="72">
        <v>52135.43</v>
      </c>
      <c r="AY45" s="72">
        <v>24623.59</v>
      </c>
      <c r="AZ45" s="72">
        <v>0</v>
      </c>
      <c r="BA45" s="72">
        <v>5192</v>
      </c>
      <c r="BB45" s="72">
        <v>0</v>
      </c>
      <c r="BC45" s="72">
        <v>0</v>
      </c>
      <c r="BD45" s="72">
        <v>6317.5</v>
      </c>
      <c r="BE45" s="72">
        <v>0</v>
      </c>
      <c r="BF45" s="72">
        <v>5192</v>
      </c>
      <c r="BG45" s="72">
        <v>0</v>
      </c>
      <c r="BH45" s="72">
        <v>0</v>
      </c>
      <c r="BI45" s="72">
        <v>0</v>
      </c>
      <c r="BJ45" s="72">
        <v>11509.68</v>
      </c>
      <c r="BK45" s="131">
        <v>0</v>
      </c>
      <c r="BL45" s="131">
        <v>248394</v>
      </c>
      <c r="BM45" s="131">
        <v>0</v>
      </c>
      <c r="BN45" s="131">
        <v>0</v>
      </c>
      <c r="BO45" s="131">
        <v>0</v>
      </c>
      <c r="BP45" s="131"/>
      <c r="BQ45" s="72">
        <f t="shared" si="2"/>
        <v>0.27000000001862645</v>
      </c>
    </row>
    <row r="46" spans="1:69">
      <c r="A46" s="131">
        <v>2032</v>
      </c>
      <c r="B46" s="131" t="s">
        <v>71</v>
      </c>
      <c r="C46" s="131">
        <v>119492</v>
      </c>
      <c r="D46" s="131"/>
      <c r="E46" s="410">
        <v>801</v>
      </c>
      <c r="F46" s="416">
        <f t="shared" si="1"/>
        <v>120293</v>
      </c>
      <c r="G46" s="413">
        <v>2182522.5699999998</v>
      </c>
      <c r="H46" s="72">
        <v>0</v>
      </c>
      <c r="I46" s="72">
        <v>91356</v>
      </c>
      <c r="J46" s="131">
        <v>0</v>
      </c>
      <c r="K46" s="72">
        <v>114660</v>
      </c>
      <c r="L46" s="72">
        <v>6101</v>
      </c>
      <c r="M46" s="72">
        <v>2000</v>
      </c>
      <c r="N46" s="72">
        <v>99673.61</v>
      </c>
      <c r="O46" s="72">
        <v>57420.14</v>
      </c>
      <c r="P46" s="400">
        <f>1630-200</f>
        <v>1430</v>
      </c>
      <c r="Q46" s="400">
        <f>-200+200</f>
        <v>0</v>
      </c>
      <c r="R46" s="72">
        <v>0</v>
      </c>
      <c r="S46" s="72">
        <v>56561.03</v>
      </c>
      <c r="T46" s="72">
        <v>0</v>
      </c>
      <c r="U46" s="72">
        <v>0</v>
      </c>
      <c r="V46" s="72">
        <v>0</v>
      </c>
      <c r="W46" s="72">
        <v>0</v>
      </c>
      <c r="X46" s="72">
        <v>1164897.92</v>
      </c>
      <c r="Y46" s="72">
        <v>26057.59</v>
      </c>
      <c r="Z46" s="72">
        <v>532071.71</v>
      </c>
      <c r="AA46" s="72">
        <v>28153.48</v>
      </c>
      <c r="AB46" s="72">
        <v>79135.899999999994</v>
      </c>
      <c r="AC46" s="72">
        <v>204.54</v>
      </c>
      <c r="AD46" s="72">
        <v>47532.29</v>
      </c>
      <c r="AE46" s="72">
        <v>15359.77</v>
      </c>
      <c r="AF46" s="72">
        <v>6514.79</v>
      </c>
      <c r="AG46" s="72">
        <v>17102.16</v>
      </c>
      <c r="AH46" s="72">
        <v>2990.85</v>
      </c>
      <c r="AI46" s="72">
        <v>103489.88</v>
      </c>
      <c r="AJ46" s="72">
        <v>1921.66</v>
      </c>
      <c r="AK46" s="72">
        <v>33685.93</v>
      </c>
      <c r="AL46" s="72">
        <v>4599.74</v>
      </c>
      <c r="AM46" s="72">
        <v>33299.019999999997</v>
      </c>
      <c r="AN46" s="72">
        <v>20488.5</v>
      </c>
      <c r="AO46" s="72">
        <v>7427.51</v>
      </c>
      <c r="AP46" s="72">
        <v>96748.84</v>
      </c>
      <c r="AQ46" s="72">
        <v>28355.63</v>
      </c>
      <c r="AR46" s="72">
        <v>0</v>
      </c>
      <c r="AS46" s="72">
        <v>6206.21</v>
      </c>
      <c r="AT46" s="72">
        <v>11318.69</v>
      </c>
      <c r="AU46" s="72">
        <v>4772.72</v>
      </c>
      <c r="AV46" s="72">
        <v>117240.16</v>
      </c>
      <c r="AW46" s="72">
        <v>90736.04</v>
      </c>
      <c r="AX46" s="72">
        <v>67379.08</v>
      </c>
      <c r="AY46" s="72">
        <v>33154.25</v>
      </c>
      <c r="AZ46" s="72">
        <v>0</v>
      </c>
      <c r="BA46" s="72">
        <v>0</v>
      </c>
      <c r="BB46" s="72">
        <v>0</v>
      </c>
      <c r="BC46" s="72">
        <v>0</v>
      </c>
      <c r="BD46" s="72">
        <v>9613.76</v>
      </c>
      <c r="BE46" s="72">
        <v>0</v>
      </c>
      <c r="BF46" s="72">
        <v>0</v>
      </c>
      <c r="BG46" s="72">
        <v>0</v>
      </c>
      <c r="BH46" s="72">
        <v>10154.02</v>
      </c>
      <c r="BI46" s="72">
        <v>0</v>
      </c>
      <c r="BJ46" s="72">
        <v>0</v>
      </c>
      <c r="BK46" s="131">
        <v>150371</v>
      </c>
      <c r="BL46" s="131">
        <v>0</v>
      </c>
      <c r="BM46" s="131">
        <v>261</v>
      </c>
      <c r="BN46" s="131">
        <v>0</v>
      </c>
      <c r="BO46" s="131">
        <v>0</v>
      </c>
      <c r="BP46" s="131"/>
      <c r="BQ46" s="72">
        <f t="shared" si="2"/>
        <v>0.22999999998137355</v>
      </c>
    </row>
    <row r="47" spans="1:69">
      <c r="A47" s="131">
        <v>3304</v>
      </c>
      <c r="B47" s="131" t="s">
        <v>72</v>
      </c>
      <c r="C47" s="131">
        <v>28460</v>
      </c>
      <c r="D47" s="131"/>
      <c r="E47" s="410">
        <v>-1</v>
      </c>
      <c r="F47" s="416">
        <f t="shared" si="1"/>
        <v>28459</v>
      </c>
      <c r="G47" s="413">
        <v>1040818.69</v>
      </c>
      <c r="H47" s="72">
        <v>0</v>
      </c>
      <c r="I47" s="72">
        <v>21589</v>
      </c>
      <c r="J47" s="131">
        <v>0</v>
      </c>
      <c r="K47" s="72">
        <v>46697.01</v>
      </c>
      <c r="L47" s="72">
        <v>4250</v>
      </c>
      <c r="M47" s="72">
        <v>412.5</v>
      </c>
      <c r="N47" s="72">
        <v>52542.7</v>
      </c>
      <c r="O47" s="72">
        <v>37446.86</v>
      </c>
      <c r="P47" s="72">
        <v>7695</v>
      </c>
      <c r="Q47" s="72">
        <v>2519.08</v>
      </c>
      <c r="R47" s="72">
        <v>18565</v>
      </c>
      <c r="S47" s="72">
        <v>9517</v>
      </c>
      <c r="T47" s="72">
        <v>0</v>
      </c>
      <c r="U47" s="72">
        <v>0</v>
      </c>
      <c r="V47" s="72">
        <v>0</v>
      </c>
      <c r="W47" s="72">
        <v>5426</v>
      </c>
      <c r="X47" s="72">
        <v>541731.65</v>
      </c>
      <c r="Y47" s="72">
        <v>0</v>
      </c>
      <c r="Z47" s="72">
        <v>172756.53</v>
      </c>
      <c r="AA47" s="72">
        <v>32121.86</v>
      </c>
      <c r="AB47" s="72">
        <v>49726.79</v>
      </c>
      <c r="AC47" s="72">
        <v>0</v>
      </c>
      <c r="AD47" s="72">
        <v>50191.28</v>
      </c>
      <c r="AE47" s="72">
        <v>7860.27</v>
      </c>
      <c r="AF47" s="72">
        <v>4109.6499999999996</v>
      </c>
      <c r="AG47" s="72">
        <v>10230.81</v>
      </c>
      <c r="AH47" s="72">
        <v>2748.2</v>
      </c>
      <c r="AI47" s="72">
        <v>21444.6</v>
      </c>
      <c r="AJ47" s="72">
        <v>4242.8100000000004</v>
      </c>
      <c r="AK47" s="72">
        <v>14264.79</v>
      </c>
      <c r="AL47" s="72">
        <v>2988.72</v>
      </c>
      <c r="AM47" s="72">
        <v>14608.14</v>
      </c>
      <c r="AN47" s="72">
        <v>0</v>
      </c>
      <c r="AO47" s="72">
        <v>6990.53</v>
      </c>
      <c r="AP47" s="72">
        <v>46854.57</v>
      </c>
      <c r="AQ47" s="72">
        <v>19762.03</v>
      </c>
      <c r="AR47" s="72">
        <v>0</v>
      </c>
      <c r="AS47" s="72">
        <v>20255.650000000001</v>
      </c>
      <c r="AT47" s="72">
        <v>0</v>
      </c>
      <c r="AU47" s="72">
        <v>22327.57</v>
      </c>
      <c r="AV47" s="72">
        <v>51751.79</v>
      </c>
      <c r="AW47" s="72">
        <v>55930.25</v>
      </c>
      <c r="AX47" s="72">
        <v>57258.21</v>
      </c>
      <c r="AY47" s="72">
        <v>32685.82</v>
      </c>
      <c r="AZ47" s="72">
        <v>0</v>
      </c>
      <c r="BA47" s="72">
        <v>31184</v>
      </c>
      <c r="BB47" s="72">
        <v>0</v>
      </c>
      <c r="BC47" s="72">
        <v>0</v>
      </c>
      <c r="BD47" s="72">
        <v>0</v>
      </c>
      <c r="BE47" s="72">
        <v>10000</v>
      </c>
      <c r="BF47" s="72">
        <v>31184</v>
      </c>
      <c r="BG47" s="72">
        <v>0</v>
      </c>
      <c r="BH47" s="72">
        <v>41184</v>
      </c>
      <c r="BI47" s="72">
        <v>0</v>
      </c>
      <c r="BJ47" s="72">
        <v>0.95</v>
      </c>
      <c r="BK47" s="131">
        <v>0</v>
      </c>
      <c r="BL47" s="131">
        <v>1912</v>
      </c>
      <c r="BM47" s="131">
        <v>0</v>
      </c>
      <c r="BN47" s="131">
        <v>-1</v>
      </c>
      <c r="BO47" s="131">
        <v>0</v>
      </c>
      <c r="BP47" s="131"/>
      <c r="BQ47" s="72">
        <f t="shared" si="2"/>
        <v>-0.63000000012107193</v>
      </c>
    </row>
    <row r="48" spans="1:69">
      <c r="A48" s="402">
        <v>2074</v>
      </c>
      <c r="B48" s="402" t="s">
        <v>73</v>
      </c>
      <c r="C48" s="402">
        <v>77281</v>
      </c>
      <c r="D48" s="402"/>
      <c r="E48" s="411">
        <v>2600</v>
      </c>
      <c r="F48" s="416">
        <f t="shared" si="1"/>
        <v>79881</v>
      </c>
      <c r="G48" s="414">
        <v>847444.99</v>
      </c>
      <c r="H48" s="403">
        <v>0</v>
      </c>
      <c r="I48" s="403">
        <v>25746</v>
      </c>
      <c r="J48" s="402">
        <v>0</v>
      </c>
      <c r="K48" s="403">
        <v>59126.52</v>
      </c>
      <c r="L48" s="403">
        <v>33564</v>
      </c>
      <c r="M48" s="403">
        <v>17814.75</v>
      </c>
      <c r="N48" s="403">
        <v>2971.02</v>
      </c>
      <c r="O48" s="403">
        <v>14302.32</v>
      </c>
      <c r="P48" s="403">
        <v>22318.52</v>
      </c>
      <c r="Q48" s="403">
        <v>0</v>
      </c>
      <c r="R48" s="133">
        <f>8963.6-7575</f>
        <v>1388.6000000000004</v>
      </c>
      <c r="S48" s="133">
        <f>-7575+7575</f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432180.68</v>
      </c>
      <c r="Y48" s="403">
        <v>0</v>
      </c>
      <c r="Z48" s="403">
        <v>235400.61</v>
      </c>
      <c r="AA48" s="403">
        <v>14841.21</v>
      </c>
      <c r="AB48" s="403">
        <v>35020.089999999997</v>
      </c>
      <c r="AC48" s="403">
        <v>0</v>
      </c>
      <c r="AD48" s="403">
        <v>19974.810000000001</v>
      </c>
      <c r="AE48" s="403">
        <v>13619.33</v>
      </c>
      <c r="AF48" s="403">
        <v>5174.62</v>
      </c>
      <c r="AG48" s="403">
        <v>20365.599999999999</v>
      </c>
      <c r="AH48" s="403">
        <v>896.96</v>
      </c>
      <c r="AI48" s="405">
        <f>3806.19+22275-3712.76</f>
        <v>22368.43</v>
      </c>
      <c r="AJ48" s="403">
        <v>3097.3</v>
      </c>
      <c r="AK48" s="403">
        <v>11991.38</v>
      </c>
      <c r="AL48" s="403">
        <v>820.19</v>
      </c>
      <c r="AM48" s="403">
        <v>8609.15</v>
      </c>
      <c r="AN48" s="403">
        <v>23550</v>
      </c>
      <c r="AO48" s="403">
        <v>5156.17</v>
      </c>
      <c r="AP48" s="403">
        <v>58978.58</v>
      </c>
      <c r="AQ48" s="403">
        <v>8045.62</v>
      </c>
      <c r="AR48" s="403">
        <v>0</v>
      </c>
      <c r="AS48" s="403">
        <v>9253.3700000000008</v>
      </c>
      <c r="AT48" s="403">
        <v>4105.55</v>
      </c>
      <c r="AU48" s="403">
        <v>61692.24</v>
      </c>
      <c r="AV48" s="403">
        <v>27576.67</v>
      </c>
      <c r="AW48" s="403">
        <v>39121.85</v>
      </c>
      <c r="AX48" s="403">
        <v>28294.54</v>
      </c>
      <c r="AY48" s="403">
        <v>14422.61</v>
      </c>
      <c r="AZ48" s="403">
        <v>0</v>
      </c>
      <c r="BA48" s="403">
        <v>0</v>
      </c>
      <c r="BB48" s="403">
        <v>0</v>
      </c>
      <c r="BC48" s="403">
        <v>0</v>
      </c>
      <c r="BD48" s="133">
        <f>3712.76-3712.76</f>
        <v>0</v>
      </c>
      <c r="BE48" s="403">
        <v>0</v>
      </c>
      <c r="BF48" s="403">
        <v>0</v>
      </c>
      <c r="BG48" s="403">
        <v>0</v>
      </c>
      <c r="BH48" s="133">
        <f>22275-22275</f>
        <v>0</v>
      </c>
      <c r="BI48" s="403">
        <v>0</v>
      </c>
      <c r="BJ48" s="403">
        <v>0</v>
      </c>
      <c r="BK48" s="402">
        <v>0</v>
      </c>
      <c r="BL48" s="402">
        <v>0</v>
      </c>
      <c r="BM48" s="402">
        <v>0</v>
      </c>
      <c r="BN48" s="402">
        <v>0</v>
      </c>
      <c r="BO48" s="402">
        <v>0</v>
      </c>
      <c r="BP48" s="402"/>
      <c r="BQ48" s="403">
        <f t="shared" si="2"/>
        <v>0.15999999991618097</v>
      </c>
    </row>
    <row r="49" spans="1:69">
      <c r="A49" s="131">
        <v>2036</v>
      </c>
      <c r="B49" s="131" t="s">
        <v>74</v>
      </c>
      <c r="C49" s="131">
        <v>332390</v>
      </c>
      <c r="D49" s="131"/>
      <c r="E49" s="410">
        <v>373</v>
      </c>
      <c r="F49" s="416">
        <f t="shared" si="1"/>
        <v>332763</v>
      </c>
      <c r="G49" s="413">
        <v>1453845.33</v>
      </c>
      <c r="H49" s="72">
        <v>0</v>
      </c>
      <c r="I49" s="72">
        <v>466776</v>
      </c>
      <c r="J49" s="131">
        <v>0</v>
      </c>
      <c r="K49" s="72">
        <v>92741</v>
      </c>
      <c r="L49" s="72">
        <v>0</v>
      </c>
      <c r="M49" s="72">
        <v>39482.660000000003</v>
      </c>
      <c r="N49" s="72">
        <v>19810.93</v>
      </c>
      <c r="O49" s="72">
        <v>28382.87</v>
      </c>
      <c r="P49" s="72">
        <v>0</v>
      </c>
      <c r="Q49" s="72">
        <v>0</v>
      </c>
      <c r="R49" s="72">
        <v>12716.55</v>
      </c>
      <c r="S49" s="72">
        <v>2169</v>
      </c>
      <c r="T49" s="72">
        <v>0</v>
      </c>
      <c r="U49" s="72">
        <v>0</v>
      </c>
      <c r="V49" s="72">
        <v>0</v>
      </c>
      <c r="W49" s="72">
        <v>5409</v>
      </c>
      <c r="X49" s="72">
        <v>816749.31</v>
      </c>
      <c r="Y49" s="72">
        <v>10727.45</v>
      </c>
      <c r="Z49" s="72">
        <v>526302.19999999995</v>
      </c>
      <c r="AA49" s="72">
        <v>53701.14</v>
      </c>
      <c r="AB49" s="72">
        <v>58620.82</v>
      </c>
      <c r="AC49" s="72">
        <v>0</v>
      </c>
      <c r="AD49" s="72">
        <v>9726.86</v>
      </c>
      <c r="AE49" s="72">
        <v>7883.78</v>
      </c>
      <c r="AF49" s="72">
        <v>7023.01</v>
      </c>
      <c r="AG49" s="72">
        <v>654</v>
      </c>
      <c r="AH49" s="72">
        <v>880.12</v>
      </c>
      <c r="AI49" s="72">
        <v>42188.25</v>
      </c>
      <c r="AJ49" s="72">
        <v>8061.67</v>
      </c>
      <c r="AK49" s="72">
        <v>8283.77</v>
      </c>
      <c r="AL49" s="72">
        <v>2487.39</v>
      </c>
      <c r="AM49" s="72">
        <v>24533.05</v>
      </c>
      <c r="AN49" s="72">
        <v>13541.25</v>
      </c>
      <c r="AO49" s="72">
        <v>7186.52</v>
      </c>
      <c r="AP49" s="72">
        <v>74469.69</v>
      </c>
      <c r="AQ49" s="72">
        <v>19840.82</v>
      </c>
      <c r="AR49" s="72">
        <v>0</v>
      </c>
      <c r="AS49" s="72">
        <v>18375.349999999999</v>
      </c>
      <c r="AT49" s="72">
        <v>9335.49</v>
      </c>
      <c r="AU49" s="72">
        <v>10611.39</v>
      </c>
      <c r="AV49" s="72">
        <v>47493.16</v>
      </c>
      <c r="AW49" s="72">
        <v>84101.05</v>
      </c>
      <c r="AX49" s="72">
        <v>14366.99</v>
      </c>
      <c r="AY49" s="72">
        <v>38735.78</v>
      </c>
      <c r="AZ49" s="72">
        <v>0</v>
      </c>
      <c r="BA49" s="72">
        <v>64533</v>
      </c>
      <c r="BB49" s="72">
        <v>0</v>
      </c>
      <c r="BC49" s="72">
        <v>0</v>
      </c>
      <c r="BD49" s="72">
        <v>22830.5</v>
      </c>
      <c r="BE49" s="72">
        <v>0</v>
      </c>
      <c r="BF49" s="72">
        <v>64533</v>
      </c>
      <c r="BG49" s="72">
        <v>0</v>
      </c>
      <c r="BH49" s="72">
        <v>47425</v>
      </c>
      <c r="BI49" s="72">
        <v>0</v>
      </c>
      <c r="BJ49" s="72">
        <v>43410.17</v>
      </c>
      <c r="BK49" s="131">
        <v>233071</v>
      </c>
      <c r="BL49" s="131">
        <v>240239</v>
      </c>
      <c r="BM49" s="131">
        <v>0</v>
      </c>
      <c r="BN49" s="131">
        <v>-3099</v>
      </c>
      <c r="BO49" s="131">
        <v>0</v>
      </c>
      <c r="BP49" s="131"/>
      <c r="BQ49" s="72">
        <f t="shared" si="2"/>
        <v>0.36000000033527613</v>
      </c>
    </row>
    <row r="50" spans="1:69">
      <c r="A50" s="131">
        <v>2037</v>
      </c>
      <c r="B50" s="131" t="s">
        <v>75</v>
      </c>
      <c r="C50" s="131">
        <v>100385</v>
      </c>
      <c r="D50" s="131"/>
      <c r="E50" s="410">
        <v>0</v>
      </c>
      <c r="F50" s="416">
        <f t="shared" si="1"/>
        <v>100385</v>
      </c>
      <c r="G50" s="413">
        <v>1260577</v>
      </c>
      <c r="H50" s="72">
        <v>0</v>
      </c>
      <c r="I50" s="72">
        <v>89482</v>
      </c>
      <c r="J50" s="131">
        <v>0</v>
      </c>
      <c r="K50" s="72">
        <v>78146.009999999995</v>
      </c>
      <c r="L50" s="72">
        <v>1010</v>
      </c>
      <c r="M50" s="72">
        <v>3607.5</v>
      </c>
      <c r="N50" s="72">
        <v>30370.03</v>
      </c>
      <c r="O50" s="72">
        <v>45826.34</v>
      </c>
      <c r="P50" s="72">
        <v>12747.62</v>
      </c>
      <c r="Q50" s="72">
        <v>0</v>
      </c>
      <c r="R50" s="72">
        <v>12260.3</v>
      </c>
      <c r="S50" s="72">
        <v>6105.52</v>
      </c>
      <c r="T50" s="72">
        <v>0</v>
      </c>
      <c r="U50" s="72">
        <v>0</v>
      </c>
      <c r="V50" s="72">
        <v>0</v>
      </c>
      <c r="W50" s="72">
        <v>5539</v>
      </c>
      <c r="X50" s="72">
        <v>631032.1</v>
      </c>
      <c r="Y50" s="72">
        <v>3232</v>
      </c>
      <c r="Z50" s="72">
        <v>373009.45</v>
      </c>
      <c r="AA50" s="72">
        <v>38125.870000000003</v>
      </c>
      <c r="AB50" s="72">
        <v>42088.67</v>
      </c>
      <c r="AC50" s="72">
        <v>821.36</v>
      </c>
      <c r="AD50" s="72">
        <v>49772.75</v>
      </c>
      <c r="AE50" s="72">
        <v>2228.04</v>
      </c>
      <c r="AF50" s="72">
        <v>6090.23</v>
      </c>
      <c r="AG50" s="72">
        <v>14268.7</v>
      </c>
      <c r="AH50" s="72">
        <v>2799.9</v>
      </c>
      <c r="AI50" s="72">
        <v>19888.09</v>
      </c>
      <c r="AJ50" s="72">
        <v>174.89</v>
      </c>
      <c r="AK50" s="72">
        <v>25019.31</v>
      </c>
      <c r="AL50" s="72">
        <v>5074.07</v>
      </c>
      <c r="AM50" s="72">
        <v>32955.32</v>
      </c>
      <c r="AN50" s="72">
        <v>15778.5</v>
      </c>
      <c r="AO50" s="72">
        <v>6945.93</v>
      </c>
      <c r="AP50" s="72">
        <v>52003.32</v>
      </c>
      <c r="AQ50" s="72">
        <v>16674.310000000001</v>
      </c>
      <c r="AR50" s="72">
        <v>0</v>
      </c>
      <c r="AS50" s="72">
        <v>5976.34</v>
      </c>
      <c r="AT50" s="72">
        <v>11449.34</v>
      </c>
      <c r="AU50" s="72">
        <v>7997.66</v>
      </c>
      <c r="AV50" s="72">
        <v>62513.42</v>
      </c>
      <c r="AW50" s="72">
        <v>40576.910000000003</v>
      </c>
      <c r="AX50" s="72">
        <v>52767.4</v>
      </c>
      <c r="AY50" s="72">
        <v>36311.370000000003</v>
      </c>
      <c r="AZ50" s="72">
        <v>0</v>
      </c>
      <c r="BA50" s="72">
        <v>0</v>
      </c>
      <c r="BB50" s="72">
        <v>0</v>
      </c>
      <c r="BC50" s="72">
        <v>0</v>
      </c>
      <c r="BD50" s="72">
        <v>6936.25</v>
      </c>
      <c r="BE50" s="72">
        <v>0</v>
      </c>
      <c r="BF50" s="72">
        <v>0</v>
      </c>
      <c r="BG50" s="72">
        <v>0</v>
      </c>
      <c r="BH50" s="72">
        <v>0</v>
      </c>
      <c r="BI50" s="72">
        <v>0</v>
      </c>
      <c r="BJ50" s="72">
        <v>0</v>
      </c>
      <c r="BK50" s="131">
        <v>0</v>
      </c>
      <c r="BL50" s="131">
        <v>90481</v>
      </c>
      <c r="BM50" s="131">
        <v>6936</v>
      </c>
      <c r="BN50" s="131">
        <v>0</v>
      </c>
      <c r="BO50" s="131">
        <v>0</v>
      </c>
      <c r="BP50" s="131"/>
      <c r="BQ50" s="72">
        <f t="shared" si="2"/>
        <v>0.32000000006519258</v>
      </c>
    </row>
    <row r="51" spans="1:69">
      <c r="A51" s="131">
        <v>3523</v>
      </c>
      <c r="B51" s="131" t="s">
        <v>269</v>
      </c>
      <c r="C51" s="131">
        <v>215074</v>
      </c>
      <c r="D51" s="131"/>
      <c r="E51" s="410">
        <v>-692</v>
      </c>
      <c r="F51" s="416">
        <f t="shared" si="1"/>
        <v>214382</v>
      </c>
      <c r="G51" s="413">
        <v>2314457.08</v>
      </c>
      <c r="H51" s="72">
        <v>0</v>
      </c>
      <c r="I51" s="72">
        <v>136072</v>
      </c>
      <c r="J51" s="131">
        <v>0</v>
      </c>
      <c r="K51" s="72">
        <v>164088</v>
      </c>
      <c r="L51" s="72">
        <v>2639.5</v>
      </c>
      <c r="M51" s="72">
        <v>15174.9</v>
      </c>
      <c r="N51" s="72">
        <v>54654.17</v>
      </c>
      <c r="O51" s="72">
        <v>70305.570000000007</v>
      </c>
      <c r="P51" s="72">
        <v>53092.1</v>
      </c>
      <c r="Q51" s="72">
        <v>18380.36</v>
      </c>
      <c r="R51" s="72">
        <v>42917.21</v>
      </c>
      <c r="S51" s="72">
        <v>20136.580000000002</v>
      </c>
      <c r="T51" s="72">
        <v>0</v>
      </c>
      <c r="U51" s="72">
        <v>0</v>
      </c>
      <c r="V51" s="72">
        <v>0</v>
      </c>
      <c r="W51" s="72">
        <v>6108</v>
      </c>
      <c r="X51" s="72">
        <v>1201789.3</v>
      </c>
      <c r="Y51" s="72">
        <v>0</v>
      </c>
      <c r="Z51" s="72">
        <v>676704.35</v>
      </c>
      <c r="AA51" s="72">
        <v>98272.09</v>
      </c>
      <c r="AB51" s="72">
        <v>161035.23000000001</v>
      </c>
      <c r="AC51" s="72">
        <v>0</v>
      </c>
      <c r="AD51" s="72">
        <v>77220.17</v>
      </c>
      <c r="AE51" s="72">
        <v>13176.91</v>
      </c>
      <c r="AF51" s="72">
        <v>8758.91</v>
      </c>
      <c r="AG51" s="72">
        <v>26208.98</v>
      </c>
      <c r="AH51" s="72">
        <v>2245.02</v>
      </c>
      <c r="AI51" s="72">
        <v>33918.519999999997</v>
      </c>
      <c r="AJ51" s="72">
        <v>4907.1000000000004</v>
      </c>
      <c r="AK51" s="72">
        <v>5441.88</v>
      </c>
      <c r="AL51" s="72">
        <v>3764.22</v>
      </c>
      <c r="AM51" s="72">
        <v>48703.26</v>
      </c>
      <c r="AN51" s="72">
        <v>28478</v>
      </c>
      <c r="AO51" s="72">
        <v>6804.25</v>
      </c>
      <c r="AP51" s="72">
        <v>105008.86</v>
      </c>
      <c r="AQ51" s="72">
        <v>23120.63</v>
      </c>
      <c r="AR51" s="72">
        <v>0</v>
      </c>
      <c r="AS51" s="72">
        <v>9122.4699999999993</v>
      </c>
      <c r="AT51" s="72">
        <v>12992.54</v>
      </c>
      <c r="AU51" s="72">
        <v>906.64</v>
      </c>
      <c r="AV51" s="72">
        <v>105010.83</v>
      </c>
      <c r="AW51" s="72">
        <v>46839.839999999997</v>
      </c>
      <c r="AX51" s="72">
        <v>113749.75999999999</v>
      </c>
      <c r="AY51" s="72">
        <v>35115.61</v>
      </c>
      <c r="AZ51" s="72">
        <v>0</v>
      </c>
      <c r="BA51" s="72">
        <v>12976</v>
      </c>
      <c r="BB51" s="72">
        <v>0</v>
      </c>
      <c r="BC51" s="72">
        <v>0</v>
      </c>
      <c r="BD51" s="72">
        <v>9383.1200000000008</v>
      </c>
      <c r="BE51" s="72">
        <v>0</v>
      </c>
      <c r="BF51" s="72">
        <v>12976</v>
      </c>
      <c r="BG51" s="72">
        <v>0</v>
      </c>
      <c r="BH51" s="72">
        <v>0.48</v>
      </c>
      <c r="BI51" s="72">
        <v>0</v>
      </c>
      <c r="BJ51" s="72">
        <v>21667.23</v>
      </c>
      <c r="BK51" s="131">
        <v>6020</v>
      </c>
      <c r="BL51" s="131">
        <v>244808</v>
      </c>
      <c r="BM51" s="131">
        <v>-1</v>
      </c>
      <c r="BN51" s="131">
        <v>0</v>
      </c>
      <c r="BO51" s="131">
        <v>0</v>
      </c>
      <c r="BP51" s="131"/>
      <c r="BQ51" s="72">
        <f t="shared" si="2"/>
        <v>0.50999999977648258</v>
      </c>
    </row>
    <row r="52" spans="1:69">
      <c r="A52" s="131">
        <v>5948</v>
      </c>
      <c r="B52" s="131" t="s">
        <v>77</v>
      </c>
      <c r="C52" s="131">
        <v>15858</v>
      </c>
      <c r="D52" s="131"/>
      <c r="E52" s="410">
        <v>0</v>
      </c>
      <c r="F52" s="416">
        <f t="shared" si="1"/>
        <v>15858</v>
      </c>
      <c r="G52" s="413">
        <v>881895</v>
      </c>
      <c r="H52" s="72">
        <v>0</v>
      </c>
      <c r="I52" s="72">
        <v>71412</v>
      </c>
      <c r="J52" s="131">
        <v>0</v>
      </c>
      <c r="K52" s="72">
        <v>14413.76</v>
      </c>
      <c r="L52" s="72">
        <v>29921.05</v>
      </c>
      <c r="M52" s="72">
        <v>8145</v>
      </c>
      <c r="N52" s="72">
        <v>40723.33</v>
      </c>
      <c r="O52" s="72">
        <v>43749.08</v>
      </c>
      <c r="P52" s="72">
        <v>8721</v>
      </c>
      <c r="Q52" s="72">
        <v>0</v>
      </c>
      <c r="R52" s="72">
        <v>43770.94</v>
      </c>
      <c r="S52" s="72">
        <v>287859</v>
      </c>
      <c r="T52" s="72">
        <v>0</v>
      </c>
      <c r="U52" s="72">
        <v>0</v>
      </c>
      <c r="V52" s="72">
        <v>0</v>
      </c>
      <c r="W52" s="72">
        <v>5403</v>
      </c>
      <c r="X52" s="72">
        <v>649177.15</v>
      </c>
      <c r="Y52" s="72">
        <v>13761.03</v>
      </c>
      <c r="Z52" s="72">
        <v>361053.55</v>
      </c>
      <c r="AA52" s="72">
        <v>37104.800000000003</v>
      </c>
      <c r="AB52" s="72">
        <v>64467.65</v>
      </c>
      <c r="AC52" s="72">
        <v>0</v>
      </c>
      <c r="AD52" s="72">
        <v>0</v>
      </c>
      <c r="AE52" s="72">
        <v>2086.13</v>
      </c>
      <c r="AF52" s="72">
        <v>3646.4</v>
      </c>
      <c r="AG52" s="72">
        <v>5835.11</v>
      </c>
      <c r="AH52" s="72">
        <v>6826.4</v>
      </c>
      <c r="AI52" s="72">
        <v>35439.03</v>
      </c>
      <c r="AJ52" s="72">
        <v>2085.1799999999998</v>
      </c>
      <c r="AK52" s="72">
        <v>15954.6</v>
      </c>
      <c r="AL52" s="72">
        <v>4711.8900000000003</v>
      </c>
      <c r="AM52" s="72">
        <v>18842.61</v>
      </c>
      <c r="AN52" s="72">
        <v>0</v>
      </c>
      <c r="AO52" s="72">
        <v>54058.42</v>
      </c>
      <c r="AP52" s="72">
        <v>30622.09</v>
      </c>
      <c r="AQ52" s="72">
        <v>16786.490000000002</v>
      </c>
      <c r="AR52" s="72">
        <v>0</v>
      </c>
      <c r="AS52" s="72">
        <v>12077.38</v>
      </c>
      <c r="AT52" s="72">
        <v>12194.8</v>
      </c>
      <c r="AU52" s="72">
        <v>12293.18</v>
      </c>
      <c r="AV52" s="72">
        <v>45897.89</v>
      </c>
      <c r="AW52" s="72">
        <v>0</v>
      </c>
      <c r="AX52" s="72">
        <v>20983.58</v>
      </c>
      <c r="AY52" s="72">
        <v>22552.23</v>
      </c>
      <c r="AZ52" s="72">
        <v>0</v>
      </c>
      <c r="BA52" s="72">
        <v>0</v>
      </c>
      <c r="BB52" s="72">
        <v>0</v>
      </c>
      <c r="BC52" s="72">
        <v>0</v>
      </c>
      <c r="BD52" s="72">
        <v>0</v>
      </c>
      <c r="BE52" s="72">
        <v>0</v>
      </c>
      <c r="BF52" s="72">
        <v>0</v>
      </c>
      <c r="BG52" s="72">
        <v>0</v>
      </c>
      <c r="BH52" s="72">
        <v>0</v>
      </c>
      <c r="BI52" s="72">
        <v>0</v>
      </c>
      <c r="BJ52" s="72">
        <v>0</v>
      </c>
      <c r="BK52" s="131">
        <v>0</v>
      </c>
      <c r="BL52" s="131">
        <v>3414</v>
      </c>
      <c r="BM52" s="131">
        <v>0</v>
      </c>
      <c r="BN52" s="131">
        <v>0</v>
      </c>
      <c r="BO52" s="131">
        <v>0</v>
      </c>
      <c r="BP52" s="131"/>
      <c r="BQ52" s="72">
        <f t="shared" si="2"/>
        <v>-0.42999999946914613</v>
      </c>
    </row>
    <row r="53" spans="1:69">
      <c r="A53" s="131">
        <v>5949</v>
      </c>
      <c r="B53" s="131" t="s">
        <v>78</v>
      </c>
      <c r="C53" s="131">
        <v>38125</v>
      </c>
      <c r="D53" s="131"/>
      <c r="E53" s="410">
        <v>0</v>
      </c>
      <c r="F53" s="416">
        <f t="shared" si="1"/>
        <v>38125</v>
      </c>
      <c r="G53" s="413">
        <v>1074424</v>
      </c>
      <c r="H53" s="72">
        <v>0</v>
      </c>
      <c r="I53" s="72">
        <v>48644</v>
      </c>
      <c r="J53" s="131">
        <v>0</v>
      </c>
      <c r="K53" s="72">
        <v>5718</v>
      </c>
      <c r="L53" s="72">
        <v>36248.54</v>
      </c>
      <c r="M53" s="400">
        <f>470-39</f>
        <v>431</v>
      </c>
      <c r="N53" s="400">
        <f>-39+39</f>
        <v>0</v>
      </c>
      <c r="O53" s="72">
        <v>29802.09</v>
      </c>
      <c r="P53" s="72">
        <v>21648.6</v>
      </c>
      <c r="Q53" s="72">
        <v>7310.5</v>
      </c>
      <c r="R53" s="72">
        <v>16245.65</v>
      </c>
      <c r="S53" s="72">
        <v>137361.99</v>
      </c>
      <c r="T53" s="72">
        <v>0</v>
      </c>
      <c r="U53" s="72">
        <v>0</v>
      </c>
      <c r="V53" s="72">
        <v>0</v>
      </c>
      <c r="W53" s="72">
        <v>5493</v>
      </c>
      <c r="X53" s="72">
        <v>653896.64</v>
      </c>
      <c r="Y53" s="72">
        <v>3527.26</v>
      </c>
      <c r="Z53" s="72">
        <v>236813.53</v>
      </c>
      <c r="AA53" s="72">
        <v>31599.200000000001</v>
      </c>
      <c r="AB53" s="72">
        <v>110385.05</v>
      </c>
      <c r="AC53" s="72">
        <v>0</v>
      </c>
      <c r="AD53" s="72">
        <v>29599.919999999998</v>
      </c>
      <c r="AE53" s="72">
        <v>14844.5</v>
      </c>
      <c r="AF53" s="72">
        <v>12623.32</v>
      </c>
      <c r="AG53" s="400">
        <f>-570.95+570.95</f>
        <v>0</v>
      </c>
      <c r="AH53" s="400">
        <f>3637.21-570.95</f>
        <v>3066.26</v>
      </c>
      <c r="AI53" s="72">
        <v>15239.39</v>
      </c>
      <c r="AJ53" s="72">
        <v>0</v>
      </c>
      <c r="AK53" s="72">
        <v>17292.47</v>
      </c>
      <c r="AL53" s="72">
        <v>1947.8</v>
      </c>
      <c r="AM53" s="72">
        <v>15030.66</v>
      </c>
      <c r="AN53" s="72">
        <v>0</v>
      </c>
      <c r="AO53" s="72">
        <v>4935.4399999999996</v>
      </c>
      <c r="AP53" s="72">
        <v>55634.92</v>
      </c>
      <c r="AQ53" s="72">
        <v>15699.17</v>
      </c>
      <c r="AR53" s="72">
        <v>0</v>
      </c>
      <c r="AS53" s="72">
        <v>9015.68</v>
      </c>
      <c r="AT53" s="72">
        <v>6828.8</v>
      </c>
      <c r="AU53" s="72">
        <v>0</v>
      </c>
      <c r="AV53" s="72">
        <v>27179.35</v>
      </c>
      <c r="AW53" s="72">
        <v>62411.22</v>
      </c>
      <c r="AX53" s="72">
        <v>16546.900000000001</v>
      </c>
      <c r="AY53" s="72">
        <v>56794.1</v>
      </c>
      <c r="AZ53" s="72">
        <v>0</v>
      </c>
      <c r="BA53" s="72">
        <v>0</v>
      </c>
      <c r="BB53" s="72">
        <v>0</v>
      </c>
      <c r="BC53" s="72">
        <v>0</v>
      </c>
      <c r="BD53" s="72">
        <v>0</v>
      </c>
      <c r="BE53" s="72">
        <v>0</v>
      </c>
      <c r="BF53" s="72">
        <v>0</v>
      </c>
      <c r="BG53" s="72">
        <v>0</v>
      </c>
      <c r="BH53" s="72">
        <v>0</v>
      </c>
      <c r="BI53" s="72">
        <v>0</v>
      </c>
      <c r="BJ53" s="72">
        <v>0</v>
      </c>
      <c r="BK53" s="131">
        <v>7520</v>
      </c>
      <c r="BL53" s="131">
        <v>13021</v>
      </c>
      <c r="BM53" s="131">
        <v>0</v>
      </c>
      <c r="BN53" s="131">
        <v>0</v>
      </c>
      <c r="BO53" s="131">
        <v>0</v>
      </c>
      <c r="BP53" s="131"/>
      <c r="BQ53" s="72">
        <f t="shared" si="2"/>
        <v>-0.20999999972991645</v>
      </c>
    </row>
    <row r="54" spans="1:69">
      <c r="A54" s="131">
        <v>3513</v>
      </c>
      <c r="B54" s="131" t="s">
        <v>79</v>
      </c>
      <c r="C54" s="131">
        <v>177329</v>
      </c>
      <c r="D54" s="131"/>
      <c r="E54" s="410">
        <v>0</v>
      </c>
      <c r="F54" s="416">
        <f t="shared" si="1"/>
        <v>177329</v>
      </c>
      <c r="G54" s="413">
        <v>1550907.02</v>
      </c>
      <c r="H54" s="72">
        <v>0</v>
      </c>
      <c r="I54" s="72">
        <v>140584.5</v>
      </c>
      <c r="J54" s="131">
        <v>0</v>
      </c>
      <c r="K54" s="72">
        <v>20287</v>
      </c>
      <c r="L54" s="72">
        <v>1800</v>
      </c>
      <c r="M54" s="72">
        <v>0</v>
      </c>
      <c r="N54" s="72">
        <v>17</v>
      </c>
      <c r="O54" s="72">
        <v>54118.6</v>
      </c>
      <c r="P54" s="72">
        <v>31342.91</v>
      </c>
      <c r="Q54" s="72">
        <v>0</v>
      </c>
      <c r="R54" s="72">
        <v>13339.16</v>
      </c>
      <c r="S54" s="72">
        <v>47715.15</v>
      </c>
      <c r="T54" s="72">
        <v>0</v>
      </c>
      <c r="U54" s="72">
        <v>0</v>
      </c>
      <c r="V54" s="72">
        <v>0</v>
      </c>
      <c r="W54" s="72">
        <v>5913.35</v>
      </c>
      <c r="X54" s="72">
        <v>1143636.99</v>
      </c>
      <c r="Y54" s="72">
        <v>1348.25</v>
      </c>
      <c r="Z54" s="72">
        <v>191215.55</v>
      </c>
      <c r="AA54" s="72">
        <v>30307.31</v>
      </c>
      <c r="AB54" s="72">
        <v>76980.509999999995</v>
      </c>
      <c r="AC54" s="72">
        <v>0</v>
      </c>
      <c r="AD54" s="72">
        <v>9312.6299999999992</v>
      </c>
      <c r="AE54" s="72">
        <v>11274.71</v>
      </c>
      <c r="AF54" s="72">
        <v>14054.73</v>
      </c>
      <c r="AG54" s="72">
        <v>12996.37</v>
      </c>
      <c r="AH54" s="72">
        <v>0</v>
      </c>
      <c r="AI54" s="72">
        <v>34757.75</v>
      </c>
      <c r="AJ54" s="72">
        <v>750</v>
      </c>
      <c r="AK54" s="72">
        <v>67424.25</v>
      </c>
      <c r="AL54" s="72">
        <v>6546.07</v>
      </c>
      <c r="AM54" s="72">
        <v>34775.599999999999</v>
      </c>
      <c r="AN54" s="72">
        <v>0</v>
      </c>
      <c r="AO54" s="72">
        <v>27047.87</v>
      </c>
      <c r="AP54" s="72">
        <v>83762.25</v>
      </c>
      <c r="AQ54" s="72">
        <v>19075.27</v>
      </c>
      <c r="AR54" s="72">
        <v>0</v>
      </c>
      <c r="AS54" s="72">
        <v>12427.29</v>
      </c>
      <c r="AT54" s="72">
        <v>0</v>
      </c>
      <c r="AU54" s="72">
        <v>0</v>
      </c>
      <c r="AV54" s="72">
        <v>58709.599999999999</v>
      </c>
      <c r="AW54" s="72">
        <v>0</v>
      </c>
      <c r="AX54" s="72">
        <v>88120.54</v>
      </c>
      <c r="AY54" s="72">
        <v>16814.98</v>
      </c>
      <c r="AZ54" s="72">
        <v>0</v>
      </c>
      <c r="BA54" s="72">
        <v>68200</v>
      </c>
      <c r="BB54" s="72">
        <v>0</v>
      </c>
      <c r="BC54" s="72">
        <v>0</v>
      </c>
      <c r="BD54" s="72">
        <v>0</v>
      </c>
      <c r="BE54" s="72">
        <v>0</v>
      </c>
      <c r="BF54" s="72">
        <v>68200</v>
      </c>
      <c r="BG54" s="72">
        <v>0</v>
      </c>
      <c r="BH54" s="72">
        <v>0</v>
      </c>
      <c r="BI54" s="72">
        <v>24200</v>
      </c>
      <c r="BJ54" s="72">
        <v>44000</v>
      </c>
      <c r="BK54" s="131">
        <v>0</v>
      </c>
      <c r="BL54" s="131">
        <v>33815</v>
      </c>
      <c r="BM54" s="131">
        <v>0</v>
      </c>
      <c r="BN54" s="131">
        <v>0</v>
      </c>
      <c r="BO54" s="131">
        <v>0</v>
      </c>
      <c r="BP54" s="131"/>
      <c r="BQ54" s="72">
        <f t="shared" si="2"/>
        <v>0.16999999945983291</v>
      </c>
    </row>
    <row r="55" spans="1:69">
      <c r="A55" s="131">
        <v>3305</v>
      </c>
      <c r="B55" s="131" t="s">
        <v>80</v>
      </c>
      <c r="C55" s="131">
        <v>28</v>
      </c>
      <c r="D55" s="131"/>
      <c r="E55" s="410">
        <v>0</v>
      </c>
      <c r="F55" s="416">
        <f t="shared" si="1"/>
        <v>28</v>
      </c>
      <c r="G55" s="413">
        <v>625727</v>
      </c>
      <c r="H55" s="72">
        <v>0</v>
      </c>
      <c r="I55" s="72">
        <v>23726.5</v>
      </c>
      <c r="J55" s="131">
        <v>0</v>
      </c>
      <c r="K55" s="72">
        <v>3375</v>
      </c>
      <c r="L55" s="72">
        <v>20180</v>
      </c>
      <c r="M55" s="72">
        <v>2438.27</v>
      </c>
      <c r="N55" s="72">
        <v>8624.98</v>
      </c>
      <c r="O55" s="72">
        <v>32561.33</v>
      </c>
      <c r="P55" s="72">
        <v>0</v>
      </c>
      <c r="Q55" s="72">
        <v>0</v>
      </c>
      <c r="R55" s="72">
        <v>20135.28</v>
      </c>
      <c r="S55" s="72">
        <v>13841.65</v>
      </c>
      <c r="T55" s="72">
        <v>0</v>
      </c>
      <c r="U55" s="72">
        <v>0</v>
      </c>
      <c r="V55" s="72">
        <v>0</v>
      </c>
      <c r="W55" s="72">
        <v>5280</v>
      </c>
      <c r="X55" s="72">
        <v>362922.79</v>
      </c>
      <c r="Y55" s="72">
        <v>-0.31</v>
      </c>
      <c r="Z55" s="72">
        <v>133601.26</v>
      </c>
      <c r="AA55" s="72">
        <v>25605.9</v>
      </c>
      <c r="AB55" s="72">
        <v>26122.66</v>
      </c>
      <c r="AC55" s="72">
        <v>0</v>
      </c>
      <c r="AD55" s="72">
        <v>22226.52</v>
      </c>
      <c r="AE55" s="72">
        <v>4472.6099999999997</v>
      </c>
      <c r="AF55" s="72">
        <v>8118</v>
      </c>
      <c r="AG55" s="72">
        <v>5707.03</v>
      </c>
      <c r="AH55" s="72">
        <v>1413.15</v>
      </c>
      <c r="AI55" s="72">
        <v>8646.31</v>
      </c>
      <c r="AJ55" s="72">
        <v>95</v>
      </c>
      <c r="AK55" s="72">
        <v>682.9</v>
      </c>
      <c r="AL55" s="72">
        <v>273.47000000000003</v>
      </c>
      <c r="AM55" s="72">
        <v>10430.4</v>
      </c>
      <c r="AN55" s="72">
        <v>0</v>
      </c>
      <c r="AO55" s="72">
        <v>3819.42</v>
      </c>
      <c r="AP55" s="72">
        <v>48150.33</v>
      </c>
      <c r="AQ55" s="72">
        <v>9993.9599999999991</v>
      </c>
      <c r="AR55" s="72">
        <v>0</v>
      </c>
      <c r="AS55" s="72">
        <v>6503.24</v>
      </c>
      <c r="AT55" s="72">
        <v>2915.81</v>
      </c>
      <c r="AU55" s="72">
        <v>4577.53</v>
      </c>
      <c r="AV55" s="72">
        <v>31269.24</v>
      </c>
      <c r="AW55" s="72">
        <v>1664.35</v>
      </c>
      <c r="AX55" s="72">
        <v>16493.73</v>
      </c>
      <c r="AY55" s="72">
        <v>18658.55</v>
      </c>
      <c r="AZ55" s="72">
        <v>0</v>
      </c>
      <c r="BA55" s="72">
        <v>626</v>
      </c>
      <c r="BB55" s="72">
        <v>0</v>
      </c>
      <c r="BC55" s="72">
        <v>0</v>
      </c>
      <c r="BD55" s="72">
        <v>0</v>
      </c>
      <c r="BE55" s="72">
        <v>18156</v>
      </c>
      <c r="BF55" s="72">
        <v>626</v>
      </c>
      <c r="BG55" s="72">
        <v>0</v>
      </c>
      <c r="BH55" s="72">
        <v>12641.82</v>
      </c>
      <c r="BI55" s="72">
        <v>0</v>
      </c>
      <c r="BJ55" s="72">
        <v>6140.26</v>
      </c>
      <c r="BK55" s="131">
        <v>0</v>
      </c>
      <c r="BL55" s="131">
        <v>928</v>
      </c>
      <c r="BM55" s="131">
        <v>0</v>
      </c>
      <c r="BN55" s="131">
        <v>0</v>
      </c>
      <c r="BO55" s="131">
        <v>0</v>
      </c>
      <c r="BP55" s="131"/>
      <c r="BQ55" s="72">
        <f t="shared" si="2"/>
        <v>7.9999999841675162E-2</v>
      </c>
    </row>
    <row r="56" spans="1:69">
      <c r="A56" s="131">
        <v>2042</v>
      </c>
      <c r="B56" s="131" t="s">
        <v>81</v>
      </c>
      <c r="C56" s="131">
        <v>128994</v>
      </c>
      <c r="D56" s="131"/>
      <c r="E56" s="410">
        <v>317</v>
      </c>
      <c r="F56" s="416">
        <f t="shared" si="1"/>
        <v>129311</v>
      </c>
      <c r="G56" s="413">
        <v>998211</v>
      </c>
      <c r="H56" s="400">
        <v>0</v>
      </c>
      <c r="I56" s="400">
        <v>86524</v>
      </c>
      <c r="J56" s="131">
        <v>0</v>
      </c>
      <c r="K56" s="72">
        <v>31449</v>
      </c>
      <c r="L56" s="72">
        <v>9670</v>
      </c>
      <c r="M56" s="72">
        <v>1968.15</v>
      </c>
      <c r="N56" s="72">
        <v>38616.559999999998</v>
      </c>
      <c r="O56" s="72">
        <v>63438.77</v>
      </c>
      <c r="P56" s="72">
        <v>1353</v>
      </c>
      <c r="Q56" s="72">
        <v>882</v>
      </c>
      <c r="R56" s="72">
        <v>22456.45</v>
      </c>
      <c r="S56" s="72">
        <v>6948.15</v>
      </c>
      <c r="T56" s="72">
        <v>0</v>
      </c>
      <c r="U56" s="72">
        <v>0</v>
      </c>
      <c r="V56" s="72">
        <v>0</v>
      </c>
      <c r="W56" s="72">
        <v>16118.63</v>
      </c>
      <c r="X56" s="72">
        <v>504440.53</v>
      </c>
      <c r="Y56" s="72">
        <v>0</v>
      </c>
      <c r="Z56" s="72">
        <v>279261.82</v>
      </c>
      <c r="AA56" s="72">
        <v>33477.51</v>
      </c>
      <c r="AB56" s="72">
        <v>66021.77</v>
      </c>
      <c r="AC56" s="72">
        <v>0</v>
      </c>
      <c r="AD56" s="72">
        <v>56530.7</v>
      </c>
      <c r="AE56" s="72">
        <v>9361.32</v>
      </c>
      <c r="AF56" s="72">
        <v>2878.4</v>
      </c>
      <c r="AG56" s="72">
        <v>4736.49</v>
      </c>
      <c r="AH56" s="72">
        <v>1708.15</v>
      </c>
      <c r="AI56" s="72">
        <v>12391.18</v>
      </c>
      <c r="AJ56" s="72">
        <v>3862</v>
      </c>
      <c r="AK56" s="72">
        <v>294.83</v>
      </c>
      <c r="AL56" s="72">
        <v>2121.0300000000002</v>
      </c>
      <c r="AM56" s="72">
        <v>11900.07</v>
      </c>
      <c r="AN56" s="72">
        <v>14954.25</v>
      </c>
      <c r="AO56" s="72">
        <v>5291.82</v>
      </c>
      <c r="AP56" s="72">
        <v>49930.93</v>
      </c>
      <c r="AQ56" s="72">
        <v>10838.67</v>
      </c>
      <c r="AR56" s="72">
        <v>0</v>
      </c>
      <c r="AS56" s="72">
        <v>3974.86</v>
      </c>
      <c r="AT56" s="72">
        <v>8437.8700000000008</v>
      </c>
      <c r="AU56" s="72">
        <v>6063.56</v>
      </c>
      <c r="AV56" s="72">
        <v>72221.8</v>
      </c>
      <c r="AW56" s="72">
        <v>23648.799999999999</v>
      </c>
      <c r="AX56" s="72">
        <v>33647.800000000003</v>
      </c>
      <c r="AY56" s="72">
        <v>35727.86</v>
      </c>
      <c r="AZ56" s="72">
        <v>0</v>
      </c>
      <c r="BA56" s="72">
        <v>35284</v>
      </c>
      <c r="BB56" s="72">
        <v>0</v>
      </c>
      <c r="BC56" s="72">
        <v>0</v>
      </c>
      <c r="BD56" s="72">
        <v>6745</v>
      </c>
      <c r="BE56" s="72">
        <v>8062</v>
      </c>
      <c r="BF56" s="72">
        <v>35284</v>
      </c>
      <c r="BG56" s="72">
        <v>0</v>
      </c>
      <c r="BH56" s="72">
        <v>46028</v>
      </c>
      <c r="BI56" s="72">
        <v>0</v>
      </c>
      <c r="BJ56" s="72">
        <v>4380</v>
      </c>
      <c r="BK56" s="131">
        <v>6655</v>
      </c>
      <c r="BL56" s="131">
        <v>110967</v>
      </c>
      <c r="BM56" s="131">
        <v>0</v>
      </c>
      <c r="BN56" s="131">
        <v>0</v>
      </c>
      <c r="BO56" s="131">
        <v>0</v>
      </c>
      <c r="BP56" s="131"/>
      <c r="BQ56" s="72">
        <f t="shared" si="2"/>
        <v>-0.31000000075437129</v>
      </c>
    </row>
    <row r="57" spans="1:69">
      <c r="A57" s="131">
        <v>2044</v>
      </c>
      <c r="B57" s="131" t="s">
        <v>82</v>
      </c>
      <c r="C57" s="131">
        <v>85981</v>
      </c>
      <c r="D57" s="131"/>
      <c r="E57" s="410">
        <v>-4</v>
      </c>
      <c r="F57" s="416">
        <f t="shared" si="1"/>
        <v>85977</v>
      </c>
      <c r="G57" s="413">
        <v>1337426</v>
      </c>
      <c r="H57" s="72">
        <v>0</v>
      </c>
      <c r="I57" s="72">
        <v>145995</v>
      </c>
      <c r="J57" s="131">
        <v>0</v>
      </c>
      <c r="K57" s="72">
        <v>43185.01</v>
      </c>
      <c r="L57" s="72">
        <v>13260</v>
      </c>
      <c r="M57" s="72">
        <v>6450.1</v>
      </c>
      <c r="N57" s="72">
        <v>26185.98</v>
      </c>
      <c r="O57" s="72">
        <v>61596.28</v>
      </c>
      <c r="P57" s="72">
        <v>8232.4699999999993</v>
      </c>
      <c r="Q57" s="72">
        <v>0</v>
      </c>
      <c r="R57" s="72">
        <v>11689</v>
      </c>
      <c r="S57" s="72">
        <v>11146.32</v>
      </c>
      <c r="T57" s="72">
        <v>0</v>
      </c>
      <c r="U57" s="72">
        <v>0</v>
      </c>
      <c r="V57" s="72">
        <v>0</v>
      </c>
      <c r="W57" s="72">
        <v>5445</v>
      </c>
      <c r="X57" s="72">
        <v>752242.92</v>
      </c>
      <c r="Y57" s="72">
        <v>175</v>
      </c>
      <c r="Z57" s="72">
        <v>310303.81</v>
      </c>
      <c r="AA57" s="72">
        <v>36441.230000000003</v>
      </c>
      <c r="AB57" s="72">
        <v>88521.65</v>
      </c>
      <c r="AC57" s="72">
        <v>0</v>
      </c>
      <c r="AD57" s="72">
        <v>55165.39</v>
      </c>
      <c r="AE57" s="72">
        <v>14835.61</v>
      </c>
      <c r="AF57" s="72">
        <v>3889.56</v>
      </c>
      <c r="AG57" s="72">
        <v>9363.7900000000009</v>
      </c>
      <c r="AH57" s="72">
        <v>5669.41</v>
      </c>
      <c r="AI57" s="72">
        <v>38963.93</v>
      </c>
      <c r="AJ57" s="72">
        <v>3480</v>
      </c>
      <c r="AK57" s="72">
        <v>25664.01</v>
      </c>
      <c r="AL57" s="72">
        <v>4002.3</v>
      </c>
      <c r="AM57" s="72">
        <v>25871.42</v>
      </c>
      <c r="AN57" s="72">
        <v>12010.5</v>
      </c>
      <c r="AO57" s="72">
        <v>7001.85</v>
      </c>
      <c r="AP57" s="72">
        <v>52237.61</v>
      </c>
      <c r="AQ57" s="72">
        <v>14635.94</v>
      </c>
      <c r="AR57" s="72">
        <v>0</v>
      </c>
      <c r="AS57" s="72">
        <v>10075.32</v>
      </c>
      <c r="AT57" s="72">
        <v>9330.98</v>
      </c>
      <c r="AU57" s="72">
        <v>1402.56</v>
      </c>
      <c r="AV57" s="72">
        <v>69094.009999999995</v>
      </c>
      <c r="AW57" s="72">
        <v>340</v>
      </c>
      <c r="AX57" s="72">
        <v>45695.73</v>
      </c>
      <c r="AY57" s="72">
        <v>20778.509999999998</v>
      </c>
      <c r="AZ57" s="72">
        <v>0</v>
      </c>
      <c r="BA57" s="72">
        <v>11602</v>
      </c>
      <c r="BB57" s="72">
        <v>0</v>
      </c>
      <c r="BC57" s="72">
        <v>0</v>
      </c>
      <c r="BD57" s="72">
        <v>7363.76</v>
      </c>
      <c r="BE57" s="72">
        <v>0</v>
      </c>
      <c r="BF57" s="72">
        <v>11602</v>
      </c>
      <c r="BG57" s="72">
        <v>0</v>
      </c>
      <c r="BH57" s="72">
        <v>0.26</v>
      </c>
      <c r="BI57" s="72">
        <v>0</v>
      </c>
      <c r="BJ57" s="72">
        <v>18961.560000000001</v>
      </c>
      <c r="BK57" s="131">
        <v>35792</v>
      </c>
      <c r="BL57" s="131">
        <v>92005</v>
      </c>
      <c r="BM57" s="131">
        <v>0</v>
      </c>
      <c r="BN57" s="131">
        <v>0</v>
      </c>
      <c r="BO57" s="131">
        <v>0</v>
      </c>
      <c r="BP57" s="131"/>
      <c r="BQ57" s="72">
        <f t="shared" si="2"/>
        <v>6.0000000055879354E-2</v>
      </c>
    </row>
    <row r="58" spans="1:69">
      <c r="A58" s="131">
        <v>2043</v>
      </c>
      <c r="B58" s="131" t="s">
        <v>83</v>
      </c>
      <c r="C58" s="131">
        <v>202709</v>
      </c>
      <c r="D58" s="131"/>
      <c r="E58" s="410">
        <v>0</v>
      </c>
      <c r="F58" s="416">
        <f t="shared" si="1"/>
        <v>202709</v>
      </c>
      <c r="G58" s="413">
        <v>1583739</v>
      </c>
      <c r="H58" s="72">
        <v>0</v>
      </c>
      <c r="I58" s="72">
        <v>136962</v>
      </c>
      <c r="J58" s="131">
        <v>0</v>
      </c>
      <c r="K58" s="72">
        <v>90204.01</v>
      </c>
      <c r="L58" s="72">
        <v>4900</v>
      </c>
      <c r="M58" s="72">
        <v>0</v>
      </c>
      <c r="N58" s="72">
        <v>71774.960000000006</v>
      </c>
      <c r="O58" s="72">
        <v>62959.03</v>
      </c>
      <c r="P58" s="72">
        <v>1368</v>
      </c>
      <c r="Q58" s="72">
        <v>1213.3499999999999</v>
      </c>
      <c r="R58" s="72">
        <v>69436.649999999994</v>
      </c>
      <c r="S58" s="72">
        <v>17618.78</v>
      </c>
      <c r="T58" s="72">
        <v>0</v>
      </c>
      <c r="U58" s="72">
        <v>0</v>
      </c>
      <c r="V58" s="72">
        <v>0</v>
      </c>
      <c r="W58" s="72">
        <v>6111</v>
      </c>
      <c r="X58" s="72">
        <v>889006.55</v>
      </c>
      <c r="Y58" s="72">
        <v>0</v>
      </c>
      <c r="Z58" s="72">
        <v>299280.73</v>
      </c>
      <c r="AA58" s="72">
        <v>46516.15</v>
      </c>
      <c r="AB58" s="72">
        <v>62936.86</v>
      </c>
      <c r="AC58" s="72">
        <v>0</v>
      </c>
      <c r="AD58" s="72">
        <v>48092.29</v>
      </c>
      <c r="AE58" s="72">
        <v>31592.5</v>
      </c>
      <c r="AF58" s="72">
        <v>9125.99</v>
      </c>
      <c r="AG58" s="72">
        <v>10259.44</v>
      </c>
      <c r="AH58" s="72">
        <v>6832.75</v>
      </c>
      <c r="AI58" s="72">
        <v>61675.91</v>
      </c>
      <c r="AJ58" s="72">
        <v>7906.64</v>
      </c>
      <c r="AK58" s="72">
        <v>31178.32</v>
      </c>
      <c r="AL58" s="72">
        <v>6779.67</v>
      </c>
      <c r="AM58" s="72">
        <v>47602.64</v>
      </c>
      <c r="AN58" s="72">
        <v>12010.5</v>
      </c>
      <c r="AO58" s="72">
        <v>7228.05</v>
      </c>
      <c r="AP58" s="72">
        <v>110036.24</v>
      </c>
      <c r="AQ58" s="72">
        <v>30566.38</v>
      </c>
      <c r="AR58" s="72">
        <v>0</v>
      </c>
      <c r="AS58" s="72">
        <v>15750.02</v>
      </c>
      <c r="AT58" s="72">
        <v>15016.7</v>
      </c>
      <c r="AU58" s="72">
        <v>244.42</v>
      </c>
      <c r="AV58" s="72">
        <v>76987.539999999994</v>
      </c>
      <c r="AW58" s="72">
        <v>66287.5</v>
      </c>
      <c r="AX58" s="72">
        <v>18072.439999999999</v>
      </c>
      <c r="AY58" s="72">
        <v>40139.69</v>
      </c>
      <c r="AZ58" s="72">
        <v>0</v>
      </c>
      <c r="BA58" s="72">
        <v>87023.46</v>
      </c>
      <c r="BB58" s="72">
        <v>0</v>
      </c>
      <c r="BC58" s="72">
        <v>0</v>
      </c>
      <c r="BD58" s="72">
        <v>0</v>
      </c>
      <c r="BE58" s="72">
        <v>0</v>
      </c>
      <c r="BF58" s="72">
        <v>87023.46</v>
      </c>
      <c r="BG58" s="72">
        <v>0</v>
      </c>
      <c r="BH58" s="72">
        <v>76315.210000000006</v>
      </c>
      <c r="BI58" s="72">
        <v>0</v>
      </c>
      <c r="BJ58" s="72">
        <v>10708.58</v>
      </c>
      <c r="BK58" s="131">
        <v>38579</v>
      </c>
      <c r="BL58" s="131">
        <v>172267</v>
      </c>
      <c r="BM58" s="131">
        <v>0</v>
      </c>
      <c r="BN58" s="131">
        <v>0</v>
      </c>
      <c r="BO58" s="131">
        <v>0</v>
      </c>
      <c r="BP58" s="131"/>
      <c r="BQ58" s="72">
        <f t="shared" si="2"/>
        <v>7.0000000298023224E-2</v>
      </c>
    </row>
    <row r="59" spans="1:69">
      <c r="A59" s="131">
        <v>2045</v>
      </c>
      <c r="B59" s="131" t="s">
        <v>84</v>
      </c>
      <c r="C59" s="131">
        <v>227772</v>
      </c>
      <c r="D59" s="131"/>
      <c r="E59" s="410">
        <v>25060</v>
      </c>
      <c r="F59" s="416">
        <f t="shared" si="1"/>
        <v>252832</v>
      </c>
      <c r="G59" s="413">
        <v>1265626</v>
      </c>
      <c r="H59" s="72">
        <v>0</v>
      </c>
      <c r="I59" s="72">
        <v>43400</v>
      </c>
      <c r="J59" s="131">
        <v>0</v>
      </c>
      <c r="K59" s="72">
        <v>66079.009999999995</v>
      </c>
      <c r="L59" s="72">
        <v>7486</v>
      </c>
      <c r="M59" s="72">
        <v>19810</v>
      </c>
      <c r="N59" s="72">
        <v>27445.599999999999</v>
      </c>
      <c r="O59" s="72">
        <v>31469.9</v>
      </c>
      <c r="P59" s="72">
        <v>5876.28</v>
      </c>
      <c r="Q59" s="72">
        <v>1562.36</v>
      </c>
      <c r="R59" s="72">
        <v>15231.1</v>
      </c>
      <c r="S59" s="72">
        <v>0</v>
      </c>
      <c r="T59" s="72">
        <v>0</v>
      </c>
      <c r="U59" s="72">
        <v>0</v>
      </c>
      <c r="V59" s="72">
        <v>0</v>
      </c>
      <c r="W59" s="72">
        <v>5442</v>
      </c>
      <c r="X59" s="72">
        <v>616356.59</v>
      </c>
      <c r="Y59" s="72">
        <v>5461.9</v>
      </c>
      <c r="Z59" s="72">
        <v>308849.25</v>
      </c>
      <c r="AA59" s="72">
        <v>24286.95</v>
      </c>
      <c r="AB59" s="72">
        <v>41633.79</v>
      </c>
      <c r="AC59" s="72">
        <v>0</v>
      </c>
      <c r="AD59" s="72">
        <v>55586.68</v>
      </c>
      <c r="AE59" s="72">
        <v>7759.66</v>
      </c>
      <c r="AF59" s="72">
        <v>18359.36</v>
      </c>
      <c r="AG59" s="72">
        <v>13006.72</v>
      </c>
      <c r="AH59" s="72">
        <v>848.16</v>
      </c>
      <c r="AI59" s="72">
        <v>15612.68</v>
      </c>
      <c r="AJ59" s="72">
        <v>7582.9</v>
      </c>
      <c r="AK59" s="72">
        <v>16447.939999999999</v>
      </c>
      <c r="AL59" s="72">
        <v>2402.36</v>
      </c>
      <c r="AM59" s="72">
        <v>20139.759999999998</v>
      </c>
      <c r="AN59" s="72">
        <v>17309.25</v>
      </c>
      <c r="AO59" s="72">
        <v>5913.87</v>
      </c>
      <c r="AP59" s="72">
        <v>70310.48</v>
      </c>
      <c r="AQ59" s="72">
        <v>15012.84</v>
      </c>
      <c r="AR59" s="72">
        <v>0</v>
      </c>
      <c r="AS59" s="72">
        <v>7050.94</v>
      </c>
      <c r="AT59" s="72">
        <v>7535.9</v>
      </c>
      <c r="AU59" s="72">
        <v>14259.57</v>
      </c>
      <c r="AV59" s="72">
        <v>44305.5</v>
      </c>
      <c r="AW59" s="72">
        <v>6133</v>
      </c>
      <c r="AX59" s="72">
        <v>16708.34</v>
      </c>
      <c r="AY59" s="72">
        <v>31954.69</v>
      </c>
      <c r="AZ59" s="72">
        <v>0</v>
      </c>
      <c r="BA59" s="72">
        <v>0</v>
      </c>
      <c r="BB59" s="72">
        <v>0</v>
      </c>
      <c r="BC59" s="72">
        <v>0</v>
      </c>
      <c r="BD59" s="72">
        <v>6655</v>
      </c>
      <c r="BE59" s="72">
        <v>0</v>
      </c>
      <c r="BF59" s="72">
        <v>0</v>
      </c>
      <c r="BG59" s="72">
        <v>0</v>
      </c>
      <c r="BH59" s="72">
        <v>0</v>
      </c>
      <c r="BI59" s="72">
        <v>0</v>
      </c>
      <c r="BJ59" s="72">
        <v>0</v>
      </c>
      <c r="BK59" s="131">
        <v>0</v>
      </c>
      <c r="BL59" s="131">
        <v>326371</v>
      </c>
      <c r="BM59" s="131">
        <v>31715</v>
      </c>
      <c r="BN59" s="131">
        <v>0</v>
      </c>
      <c r="BO59" s="131">
        <v>0</v>
      </c>
      <c r="BP59" s="131"/>
      <c r="BQ59" s="72">
        <f t="shared" si="2"/>
        <v>0.17000000039115548</v>
      </c>
    </row>
    <row r="60" spans="1:69">
      <c r="A60" s="131">
        <v>2077</v>
      </c>
      <c r="B60" s="131" t="s">
        <v>85</v>
      </c>
      <c r="C60" s="131">
        <v>386550</v>
      </c>
      <c r="D60" s="131"/>
      <c r="E60" s="410">
        <v>-4646</v>
      </c>
      <c r="F60" s="416">
        <f t="shared" si="1"/>
        <v>381904</v>
      </c>
      <c r="G60" s="413">
        <v>2729951</v>
      </c>
      <c r="H60" s="72">
        <v>0</v>
      </c>
      <c r="I60" s="72">
        <v>239442</v>
      </c>
      <c r="J60" s="131">
        <v>0</v>
      </c>
      <c r="K60" s="72">
        <v>244921</v>
      </c>
      <c r="L60" s="72">
        <v>3500</v>
      </c>
      <c r="M60" s="72">
        <v>680</v>
      </c>
      <c r="N60" s="72">
        <v>25312.22</v>
      </c>
      <c r="O60" s="72">
        <v>43565.7</v>
      </c>
      <c r="P60" s="72">
        <v>22768.639999999999</v>
      </c>
      <c r="Q60" s="72">
        <v>10500</v>
      </c>
      <c r="R60" s="72">
        <v>16715.84</v>
      </c>
      <c r="S60" s="72">
        <v>8745.01</v>
      </c>
      <c r="T60" s="72">
        <v>0</v>
      </c>
      <c r="U60" s="72">
        <v>0</v>
      </c>
      <c r="V60" s="72">
        <v>0</v>
      </c>
      <c r="W60" s="72">
        <v>6124</v>
      </c>
      <c r="X60" s="72">
        <v>1209572.56</v>
      </c>
      <c r="Y60" s="72">
        <v>0</v>
      </c>
      <c r="Z60" s="72">
        <v>709734.05</v>
      </c>
      <c r="AA60" s="72">
        <v>33402.35</v>
      </c>
      <c r="AB60" s="72">
        <v>35906.22</v>
      </c>
      <c r="AC60" s="72">
        <v>0</v>
      </c>
      <c r="AD60" s="72">
        <v>77147.17</v>
      </c>
      <c r="AE60" s="72">
        <v>23459.64</v>
      </c>
      <c r="AF60" s="72">
        <v>14491.66</v>
      </c>
      <c r="AG60" s="72">
        <v>27541.65</v>
      </c>
      <c r="AH60" s="72">
        <v>2424.4</v>
      </c>
      <c r="AI60" s="72">
        <v>12114.87</v>
      </c>
      <c r="AJ60" s="72">
        <v>4597.1000000000004</v>
      </c>
      <c r="AK60" s="72">
        <v>33927.339999999997</v>
      </c>
      <c r="AL60" s="72">
        <v>6482.3</v>
      </c>
      <c r="AM60" s="72">
        <v>24821.32</v>
      </c>
      <c r="AN60" s="72">
        <v>24256.5</v>
      </c>
      <c r="AO60" s="72">
        <v>10020.969999999999</v>
      </c>
      <c r="AP60" s="72">
        <v>172757.59</v>
      </c>
      <c r="AQ60" s="72">
        <v>27120.2</v>
      </c>
      <c r="AR60" s="72">
        <v>0</v>
      </c>
      <c r="AS60" s="72">
        <v>34524.58</v>
      </c>
      <c r="AT60" s="72">
        <v>8976</v>
      </c>
      <c r="AU60" s="72">
        <v>38771.360000000001</v>
      </c>
      <c r="AV60" s="72">
        <v>104887.93</v>
      </c>
      <c r="AW60" s="72">
        <v>180373.45</v>
      </c>
      <c r="AX60" s="72">
        <v>240574.78</v>
      </c>
      <c r="AY60" s="72">
        <v>156959.60999999999</v>
      </c>
      <c r="AZ60" s="72">
        <v>0</v>
      </c>
      <c r="BA60" s="72">
        <v>174690.47</v>
      </c>
      <c r="BB60" s="72">
        <v>0</v>
      </c>
      <c r="BC60" s="72">
        <v>0</v>
      </c>
      <c r="BD60" s="72">
        <v>44094.879999999997</v>
      </c>
      <c r="BE60" s="72">
        <v>0</v>
      </c>
      <c r="BF60" s="72">
        <v>174690.47</v>
      </c>
      <c r="BG60" s="72">
        <v>0</v>
      </c>
      <c r="BH60" s="72">
        <v>126210.88</v>
      </c>
      <c r="BI60" s="72">
        <v>16490</v>
      </c>
      <c r="BJ60" s="72">
        <v>71437.47</v>
      </c>
      <c r="BK60" s="131">
        <v>148609</v>
      </c>
      <c r="BL60" s="131">
        <v>200630</v>
      </c>
      <c r="BM60" s="131">
        <v>1</v>
      </c>
      <c r="BN60" s="131">
        <v>0</v>
      </c>
      <c r="BO60" s="131">
        <v>0</v>
      </c>
      <c r="BP60" s="131"/>
      <c r="BQ60" s="72">
        <f t="shared" si="2"/>
        <v>0.34000000031664968</v>
      </c>
    </row>
    <row r="61" spans="1:69">
      <c r="A61" s="131">
        <v>5201</v>
      </c>
      <c r="B61" s="131" t="s">
        <v>86</v>
      </c>
      <c r="C61" s="131">
        <v>148390</v>
      </c>
      <c r="D61" s="131"/>
      <c r="E61" s="410">
        <v>5378</v>
      </c>
      <c r="F61" s="416">
        <f t="shared" si="1"/>
        <v>153768</v>
      </c>
      <c r="G61" s="413">
        <v>1642230</v>
      </c>
      <c r="H61" s="72">
        <v>0</v>
      </c>
      <c r="I61" s="72">
        <v>82219</v>
      </c>
      <c r="J61" s="131">
        <v>0</v>
      </c>
      <c r="K61" s="72">
        <v>66710</v>
      </c>
      <c r="L61" s="72">
        <v>13070</v>
      </c>
      <c r="M61" s="72">
        <v>200</v>
      </c>
      <c r="N61" s="72">
        <v>87286.31</v>
      </c>
      <c r="O61" s="72">
        <v>92847.93</v>
      </c>
      <c r="P61" s="72">
        <v>12141</v>
      </c>
      <c r="Q61" s="72">
        <v>7059.71</v>
      </c>
      <c r="R61" s="72">
        <v>70390.509999999995</v>
      </c>
      <c r="S61" s="72">
        <v>6911.93</v>
      </c>
      <c r="T61" s="72">
        <v>0</v>
      </c>
      <c r="U61" s="72">
        <v>0</v>
      </c>
      <c r="V61" s="72">
        <v>0</v>
      </c>
      <c r="W61" s="72">
        <v>6024</v>
      </c>
      <c r="X61" s="72">
        <v>908992.6</v>
      </c>
      <c r="Y61" s="72">
        <v>14089.44</v>
      </c>
      <c r="Z61" s="72">
        <v>277376.76</v>
      </c>
      <c r="AA61" s="72">
        <v>62861.54</v>
      </c>
      <c r="AB61" s="72">
        <v>142983.81</v>
      </c>
      <c r="AC61" s="72">
        <v>67628.22</v>
      </c>
      <c r="AD61" s="72">
        <v>67930.259999999995</v>
      </c>
      <c r="AE61" s="72">
        <v>16301.66</v>
      </c>
      <c r="AF61" s="72">
        <v>5642.99</v>
      </c>
      <c r="AG61" s="72">
        <v>917.4</v>
      </c>
      <c r="AH61" s="72">
        <v>19787.75</v>
      </c>
      <c r="AI61" s="72">
        <v>21931.86</v>
      </c>
      <c r="AJ61" s="72">
        <v>10023</v>
      </c>
      <c r="AK61" s="72">
        <v>3793.9</v>
      </c>
      <c r="AL61" s="72">
        <v>6269.24</v>
      </c>
      <c r="AM61" s="72">
        <v>27912.22</v>
      </c>
      <c r="AN61" s="72">
        <v>0</v>
      </c>
      <c r="AO61" s="72">
        <v>12104.81</v>
      </c>
      <c r="AP61" s="72">
        <v>153510.60999999999</v>
      </c>
      <c r="AQ61" s="72">
        <v>20317.64</v>
      </c>
      <c r="AR61" s="72">
        <v>0</v>
      </c>
      <c r="AS61" s="72">
        <v>7797.14</v>
      </c>
      <c r="AT61" s="72">
        <v>11273.54</v>
      </c>
      <c r="AU61" s="72">
        <v>8108.46</v>
      </c>
      <c r="AV61" s="72">
        <v>59789.73</v>
      </c>
      <c r="AW61" s="72">
        <v>35919.46</v>
      </c>
      <c r="AX61" s="72">
        <v>33924.46</v>
      </c>
      <c r="AY61" s="72">
        <v>22382.16</v>
      </c>
      <c r="AZ61" s="72">
        <v>0</v>
      </c>
      <c r="BA61" s="72">
        <v>0</v>
      </c>
      <c r="BB61" s="72">
        <v>0</v>
      </c>
      <c r="BC61" s="72">
        <v>0</v>
      </c>
      <c r="BD61" s="72">
        <v>8713.76</v>
      </c>
      <c r="BE61" s="72">
        <v>0</v>
      </c>
      <c r="BF61" s="72">
        <v>0</v>
      </c>
      <c r="BG61" s="72">
        <v>0</v>
      </c>
      <c r="BH61" s="72">
        <v>0</v>
      </c>
      <c r="BI61" s="72">
        <v>0</v>
      </c>
      <c r="BJ61" s="72">
        <v>0</v>
      </c>
      <c r="BK61" s="131">
        <v>404</v>
      </c>
      <c r="BL61" s="131">
        <v>215506</v>
      </c>
      <c r="BM61" s="131">
        <v>14092</v>
      </c>
      <c r="BN61" s="131">
        <v>0</v>
      </c>
      <c r="BO61" s="131">
        <v>0</v>
      </c>
      <c r="BP61" s="131"/>
      <c r="BQ61" s="72">
        <f t="shared" si="2"/>
        <v>-0.50999999954365194</v>
      </c>
    </row>
    <row r="62" spans="1:69">
      <c r="A62" s="131">
        <v>3501</v>
      </c>
      <c r="B62" s="131" t="s">
        <v>87</v>
      </c>
      <c r="C62" s="131">
        <v>61648</v>
      </c>
      <c r="D62" s="131"/>
      <c r="E62" s="410">
        <v>1</v>
      </c>
      <c r="F62" s="416">
        <f t="shared" si="1"/>
        <v>61649</v>
      </c>
      <c r="G62" s="413">
        <v>1007940</v>
      </c>
      <c r="H62" s="72">
        <v>0</v>
      </c>
      <c r="I62" s="72">
        <v>51972</v>
      </c>
      <c r="J62" s="131">
        <v>0</v>
      </c>
      <c r="K62" s="72">
        <v>42885</v>
      </c>
      <c r="L62" s="72">
        <v>0</v>
      </c>
      <c r="M62" s="72">
        <v>15037.5</v>
      </c>
      <c r="N62" s="72">
        <v>27108.06</v>
      </c>
      <c r="O62" s="72">
        <v>43152.36</v>
      </c>
      <c r="P62" s="72">
        <v>7666</v>
      </c>
      <c r="Q62" s="72">
        <v>4959</v>
      </c>
      <c r="R62" s="72">
        <v>28901.11</v>
      </c>
      <c r="S62" s="72">
        <v>27163.47</v>
      </c>
      <c r="T62" s="72">
        <v>0</v>
      </c>
      <c r="U62" s="72">
        <v>0</v>
      </c>
      <c r="V62" s="72">
        <v>0</v>
      </c>
      <c r="W62" s="72">
        <v>5442</v>
      </c>
      <c r="X62" s="72">
        <v>542003.81000000006</v>
      </c>
      <c r="Y62" s="72">
        <v>1848</v>
      </c>
      <c r="Z62" s="72">
        <v>193013.81</v>
      </c>
      <c r="AA62" s="72">
        <v>45800.05</v>
      </c>
      <c r="AB62" s="72">
        <v>46268.7</v>
      </c>
      <c r="AC62" s="72">
        <v>0</v>
      </c>
      <c r="AD62" s="72">
        <v>10552.68</v>
      </c>
      <c r="AE62" s="72">
        <v>8016.4</v>
      </c>
      <c r="AF62" s="72">
        <v>8692.4500000000007</v>
      </c>
      <c r="AG62" s="72">
        <v>8577.5300000000007</v>
      </c>
      <c r="AH62" s="72">
        <v>591.58000000000004</v>
      </c>
      <c r="AI62" s="72">
        <v>20705.03</v>
      </c>
      <c r="AJ62" s="72">
        <v>363</v>
      </c>
      <c r="AK62" s="72">
        <v>5301.95</v>
      </c>
      <c r="AL62" s="72">
        <v>2192.09</v>
      </c>
      <c r="AM62" s="72">
        <v>4656.4799999999996</v>
      </c>
      <c r="AN62" s="72">
        <v>0</v>
      </c>
      <c r="AO62" s="72">
        <v>8484.2900000000009</v>
      </c>
      <c r="AP62" s="72">
        <v>61466.48</v>
      </c>
      <c r="AQ62" s="72">
        <v>19675.5</v>
      </c>
      <c r="AR62" s="72">
        <v>4449.3</v>
      </c>
      <c r="AS62" s="72">
        <v>13609.46</v>
      </c>
      <c r="AT62" s="72">
        <v>6170.77</v>
      </c>
      <c r="AU62" s="72">
        <v>5968.35</v>
      </c>
      <c r="AV62" s="72">
        <v>52712.800000000003</v>
      </c>
      <c r="AW62" s="72">
        <v>25049.25</v>
      </c>
      <c r="AX62" s="72">
        <v>60329.85</v>
      </c>
      <c r="AY62" s="72">
        <v>25197.38</v>
      </c>
      <c r="AZ62" s="72">
        <v>0</v>
      </c>
      <c r="BA62" s="72">
        <v>0</v>
      </c>
      <c r="BB62" s="72">
        <v>0</v>
      </c>
      <c r="BC62" s="72">
        <v>0</v>
      </c>
      <c r="BD62" s="72">
        <v>0</v>
      </c>
      <c r="BE62" s="72">
        <v>28312</v>
      </c>
      <c r="BF62" s="72">
        <v>0</v>
      </c>
      <c r="BG62" s="72">
        <v>0</v>
      </c>
      <c r="BH62" s="72">
        <v>10028.969999999999</v>
      </c>
      <c r="BI62" s="72">
        <v>0</v>
      </c>
      <c r="BJ62" s="72">
        <v>18283</v>
      </c>
      <c r="BK62" s="131">
        <v>0</v>
      </c>
      <c r="BL62" s="131">
        <v>142178</v>
      </c>
      <c r="BM62" s="131">
        <v>0</v>
      </c>
      <c r="BN62" s="131">
        <v>1</v>
      </c>
      <c r="BO62" s="131">
        <v>0</v>
      </c>
      <c r="BP62" s="131"/>
      <c r="BQ62" s="72">
        <f t="shared" si="2"/>
        <v>-0.45999999972991645</v>
      </c>
    </row>
    <row r="63" spans="1:69">
      <c r="A63" s="131">
        <v>2078</v>
      </c>
      <c r="B63" s="131" t="s">
        <v>88</v>
      </c>
      <c r="C63" s="131">
        <v>10893</v>
      </c>
      <c r="D63" s="131"/>
      <c r="E63" s="410">
        <v>0</v>
      </c>
      <c r="F63" s="416">
        <f t="shared" si="1"/>
        <v>10893</v>
      </c>
      <c r="G63" s="413">
        <v>859011</v>
      </c>
      <c r="H63" s="72">
        <v>0</v>
      </c>
      <c r="I63" s="72">
        <v>9454</v>
      </c>
      <c r="J63" s="131">
        <v>0</v>
      </c>
      <c r="K63" s="72">
        <v>25731</v>
      </c>
      <c r="L63" s="72">
        <v>1000</v>
      </c>
      <c r="M63" s="72">
        <v>1241.3800000000001</v>
      </c>
      <c r="N63" s="72">
        <v>14393.85</v>
      </c>
      <c r="O63" s="72">
        <v>19049.650000000001</v>
      </c>
      <c r="P63" s="72">
        <v>9986.4</v>
      </c>
      <c r="Q63" s="72">
        <v>1597.77</v>
      </c>
      <c r="R63" s="72">
        <v>6412.07</v>
      </c>
      <c r="S63" s="72">
        <v>84074</v>
      </c>
      <c r="T63" s="72">
        <v>0</v>
      </c>
      <c r="U63" s="72">
        <v>0</v>
      </c>
      <c r="V63" s="72">
        <v>0</v>
      </c>
      <c r="W63" s="72">
        <v>5390</v>
      </c>
      <c r="X63" s="72">
        <v>415644.38</v>
      </c>
      <c r="Y63" s="72">
        <v>542.75</v>
      </c>
      <c r="Z63" s="72">
        <v>160816.06</v>
      </c>
      <c r="AA63" s="72">
        <v>22772.61</v>
      </c>
      <c r="AB63" s="72">
        <v>77556.38</v>
      </c>
      <c r="AC63" s="72">
        <v>0</v>
      </c>
      <c r="AD63" s="72">
        <v>17601.990000000002</v>
      </c>
      <c r="AE63" s="72">
        <v>7932.46</v>
      </c>
      <c r="AF63" s="72">
        <v>9009.18</v>
      </c>
      <c r="AG63" s="72">
        <v>6824.47</v>
      </c>
      <c r="AH63" s="72">
        <v>0</v>
      </c>
      <c r="AI63" s="72">
        <v>15332.93</v>
      </c>
      <c r="AJ63" s="72">
        <v>0</v>
      </c>
      <c r="AK63" s="72">
        <v>25612.45</v>
      </c>
      <c r="AL63" s="72">
        <v>3054.09</v>
      </c>
      <c r="AM63" s="72">
        <v>2739.77</v>
      </c>
      <c r="AN63" s="72">
        <v>0</v>
      </c>
      <c r="AO63" s="72">
        <v>32673.72</v>
      </c>
      <c r="AP63" s="72">
        <v>73616.710000000006</v>
      </c>
      <c r="AQ63" s="72">
        <v>8989.1299999999992</v>
      </c>
      <c r="AR63" s="72">
        <v>0</v>
      </c>
      <c r="AS63" s="72">
        <v>8382.99</v>
      </c>
      <c r="AT63" s="72">
        <v>0</v>
      </c>
      <c r="AU63" s="72">
        <v>6766.02</v>
      </c>
      <c r="AV63" s="72">
        <v>26866.799999999999</v>
      </c>
      <c r="AW63" s="72">
        <v>51886</v>
      </c>
      <c r="AX63" s="72">
        <v>27919.119999999999</v>
      </c>
      <c r="AY63" s="72">
        <v>21925.919999999998</v>
      </c>
      <c r="AZ63" s="72">
        <v>0</v>
      </c>
      <c r="BA63" s="72">
        <v>0</v>
      </c>
      <c r="BB63" s="72">
        <v>0</v>
      </c>
      <c r="BC63" s="72">
        <v>0</v>
      </c>
      <c r="BD63" s="72">
        <v>0</v>
      </c>
      <c r="BE63" s="72">
        <v>0</v>
      </c>
      <c r="BF63" s="72">
        <v>0</v>
      </c>
      <c r="BG63" s="72">
        <v>0</v>
      </c>
      <c r="BH63" s="72">
        <v>0</v>
      </c>
      <c r="BI63" s="72">
        <v>0</v>
      </c>
      <c r="BJ63" s="72">
        <v>0</v>
      </c>
      <c r="BK63" s="131">
        <v>0</v>
      </c>
      <c r="BL63" s="131">
        <v>23768</v>
      </c>
      <c r="BM63" s="131">
        <v>0</v>
      </c>
      <c r="BN63" s="131">
        <v>0</v>
      </c>
      <c r="BO63" s="131">
        <v>0</v>
      </c>
      <c r="BP63" s="131"/>
      <c r="BQ63" s="72">
        <f t="shared" si="2"/>
        <v>0.19000000006053597</v>
      </c>
    </row>
    <row r="64" spans="1:69">
      <c r="A64" s="402">
        <v>2000</v>
      </c>
      <c r="B64" s="402" t="s">
        <v>89</v>
      </c>
      <c r="C64" s="402">
        <v>68534</v>
      </c>
      <c r="D64" s="402"/>
      <c r="E64" s="411">
        <v>0</v>
      </c>
      <c r="F64" s="416">
        <f t="shared" si="1"/>
        <v>68534</v>
      </c>
      <c r="G64" s="414">
        <v>607325.22</v>
      </c>
      <c r="H64" s="403">
        <v>0</v>
      </c>
      <c r="I64" s="403">
        <v>9039</v>
      </c>
      <c r="J64" s="402">
        <v>0</v>
      </c>
      <c r="K64" s="403">
        <v>35123.949999999997</v>
      </c>
      <c r="L64" s="403">
        <v>0</v>
      </c>
      <c r="M64" s="403">
        <v>38288</v>
      </c>
      <c r="N64" s="403">
        <v>1619.6</v>
      </c>
      <c r="O64" s="403">
        <v>19366.98</v>
      </c>
      <c r="P64" s="403">
        <v>6460.84</v>
      </c>
      <c r="Q64" s="403">
        <v>0</v>
      </c>
      <c r="R64" s="403">
        <v>3607.65</v>
      </c>
      <c r="S64" s="403">
        <v>1280.8599999999999</v>
      </c>
      <c r="T64" s="403">
        <v>0</v>
      </c>
      <c r="U64" s="403">
        <v>0</v>
      </c>
      <c r="V64" s="403">
        <v>-7.0000000000000007E-2</v>
      </c>
      <c r="W64" s="403">
        <v>0</v>
      </c>
      <c r="X64" s="403">
        <v>318230.75</v>
      </c>
      <c r="Y64" s="403">
        <v>0</v>
      </c>
      <c r="Z64" s="403">
        <v>117339.38</v>
      </c>
      <c r="AA64" s="403">
        <v>8773.5</v>
      </c>
      <c r="AB64" s="403">
        <v>36731.120000000003</v>
      </c>
      <c r="AC64" s="403">
        <v>0</v>
      </c>
      <c r="AD64" s="403">
        <v>8444.48</v>
      </c>
      <c r="AE64" s="403">
        <v>10603.92</v>
      </c>
      <c r="AF64" s="403">
        <v>4497.6499999999996</v>
      </c>
      <c r="AG64" s="403">
        <v>14724.5</v>
      </c>
      <c r="AH64" s="403">
        <v>596.67999999999995</v>
      </c>
      <c r="AI64" s="403">
        <f>6501.42-2747.08</f>
        <v>3754.34</v>
      </c>
      <c r="AJ64" s="403">
        <v>12625</v>
      </c>
      <c r="AK64" s="403">
        <v>9899.6200000000008</v>
      </c>
      <c r="AL64" s="403">
        <v>0</v>
      </c>
      <c r="AM64" s="403">
        <v>5873.34</v>
      </c>
      <c r="AN64" s="403">
        <v>23371</v>
      </c>
      <c r="AO64" s="403">
        <v>3826.17</v>
      </c>
      <c r="AP64" s="403">
        <v>36726.910000000003</v>
      </c>
      <c r="AQ64" s="403">
        <v>12953.18</v>
      </c>
      <c r="AR64" s="403">
        <v>0</v>
      </c>
      <c r="AS64" s="403">
        <v>2130.1999999999998</v>
      </c>
      <c r="AT64" s="403">
        <v>448.66</v>
      </c>
      <c r="AU64" s="403">
        <v>63362.5</v>
      </c>
      <c r="AV64" s="403">
        <v>27578.14</v>
      </c>
      <c r="AW64" s="403">
        <v>35732</v>
      </c>
      <c r="AX64" s="403">
        <v>25157.200000000001</v>
      </c>
      <c r="AY64" s="403">
        <v>7432</v>
      </c>
      <c r="AZ64" s="403">
        <v>0</v>
      </c>
      <c r="BA64" s="403">
        <v>0</v>
      </c>
      <c r="BB64" s="403">
        <v>0</v>
      </c>
      <c r="BC64" s="403">
        <v>0</v>
      </c>
      <c r="BD64" s="133">
        <f>2747.08-2747.08</f>
        <v>0</v>
      </c>
      <c r="BE64" s="403">
        <v>0</v>
      </c>
      <c r="BF64" s="403">
        <v>0</v>
      </c>
      <c r="BG64" s="403">
        <v>0</v>
      </c>
      <c r="BH64" s="403">
        <v>0</v>
      </c>
      <c r="BI64" s="403">
        <v>0</v>
      </c>
      <c r="BJ64" s="403">
        <v>0</v>
      </c>
      <c r="BK64" s="402">
        <v>0</v>
      </c>
      <c r="BL64" s="402">
        <v>-166</v>
      </c>
      <c r="BM64" s="402">
        <v>0</v>
      </c>
      <c r="BN64" s="402">
        <v>0</v>
      </c>
      <c r="BO64" s="402">
        <v>0</v>
      </c>
      <c r="BP64" s="402"/>
      <c r="BQ64" s="403">
        <f t="shared" si="2"/>
        <v>-0.21000000019557774</v>
      </c>
    </row>
    <row r="65" spans="1:69">
      <c r="A65" s="131">
        <v>2071</v>
      </c>
      <c r="B65" s="131" t="s">
        <v>90</v>
      </c>
      <c r="C65" s="131">
        <v>83125</v>
      </c>
      <c r="D65" s="131"/>
      <c r="E65" s="410">
        <v>3437</v>
      </c>
      <c r="F65" s="416">
        <f t="shared" si="1"/>
        <v>86562</v>
      </c>
      <c r="G65" s="413">
        <v>1560173</v>
      </c>
      <c r="H65" s="72">
        <v>0</v>
      </c>
      <c r="I65" s="72">
        <v>78166</v>
      </c>
      <c r="J65" s="131">
        <v>0</v>
      </c>
      <c r="K65" s="72">
        <v>112701</v>
      </c>
      <c r="L65" s="72">
        <v>4800</v>
      </c>
      <c r="M65" s="72">
        <v>5264.49</v>
      </c>
      <c r="N65" s="72">
        <v>44107.42</v>
      </c>
      <c r="O65" s="72">
        <v>42193.36</v>
      </c>
      <c r="P65" s="72">
        <v>0</v>
      </c>
      <c r="Q65" s="72">
        <v>155</v>
      </c>
      <c r="R65" s="72">
        <v>10128.26</v>
      </c>
      <c r="S65" s="72">
        <v>3408.67</v>
      </c>
      <c r="T65" s="72">
        <v>0</v>
      </c>
      <c r="U65" s="72">
        <v>0</v>
      </c>
      <c r="V65" s="72">
        <v>0</v>
      </c>
      <c r="W65" s="72">
        <v>5435</v>
      </c>
      <c r="X65" s="72">
        <v>645183.15</v>
      </c>
      <c r="Y65" s="72">
        <v>0</v>
      </c>
      <c r="Z65" s="72">
        <v>600644.07999999996</v>
      </c>
      <c r="AA65" s="72">
        <v>25128.38</v>
      </c>
      <c r="AB65" s="72">
        <v>99585.04</v>
      </c>
      <c r="AC65" s="72">
        <v>0</v>
      </c>
      <c r="AD65" s="72">
        <v>14005.3</v>
      </c>
      <c r="AE65" s="72">
        <v>8699.01</v>
      </c>
      <c r="AF65" s="72">
        <v>15074.72</v>
      </c>
      <c r="AG65" s="72">
        <v>1007.16</v>
      </c>
      <c r="AH65" s="72">
        <v>1047.99</v>
      </c>
      <c r="AI65" s="72">
        <v>41310.720000000001</v>
      </c>
      <c r="AJ65" s="72">
        <v>15301.34</v>
      </c>
      <c r="AK65" s="72">
        <v>31236.12</v>
      </c>
      <c r="AL65" s="72">
        <v>3286.4</v>
      </c>
      <c r="AM65" s="72">
        <v>23467.74</v>
      </c>
      <c r="AN65" s="72">
        <v>18604.5</v>
      </c>
      <c r="AO65" s="72">
        <v>4282.8100000000004</v>
      </c>
      <c r="AP65" s="72">
        <v>63570.79</v>
      </c>
      <c r="AQ65" s="72">
        <v>22747.1</v>
      </c>
      <c r="AR65" s="72">
        <v>0</v>
      </c>
      <c r="AS65" s="72">
        <v>19286.490000000002</v>
      </c>
      <c r="AT65" s="72">
        <v>4918.5600000000004</v>
      </c>
      <c r="AU65" s="72">
        <v>11448.58</v>
      </c>
      <c r="AV65" s="72">
        <v>72717.429999999993</v>
      </c>
      <c r="AW65" s="72">
        <v>40885</v>
      </c>
      <c r="AX65" s="72">
        <v>98291.93</v>
      </c>
      <c r="AY65" s="72">
        <v>12037</v>
      </c>
      <c r="AZ65" s="72">
        <v>0</v>
      </c>
      <c r="BA65" s="72">
        <v>30858</v>
      </c>
      <c r="BB65" s="72">
        <v>0</v>
      </c>
      <c r="BC65" s="72">
        <v>0</v>
      </c>
      <c r="BD65" s="72">
        <v>7375</v>
      </c>
      <c r="BE65" s="72">
        <v>0</v>
      </c>
      <c r="BF65" s="72">
        <v>30858</v>
      </c>
      <c r="BG65" s="72">
        <v>0</v>
      </c>
      <c r="BH65" s="72">
        <v>24777.78</v>
      </c>
      <c r="BI65" s="72">
        <v>0</v>
      </c>
      <c r="BJ65" s="72">
        <v>16892.5</v>
      </c>
      <c r="BK65" s="131">
        <v>0</v>
      </c>
      <c r="BL65" s="131">
        <v>25032</v>
      </c>
      <c r="BM65" s="131">
        <v>0</v>
      </c>
      <c r="BN65" s="131">
        <v>0</v>
      </c>
      <c r="BO65" s="131">
        <v>0</v>
      </c>
      <c r="BP65" s="131"/>
      <c r="BQ65" s="72">
        <f t="shared" si="2"/>
        <v>-0.42000000015832484</v>
      </c>
    </row>
    <row r="66" spans="1:69">
      <c r="A66" s="131">
        <v>2072</v>
      </c>
      <c r="B66" s="131" t="s">
        <v>91</v>
      </c>
      <c r="C66" s="131">
        <v>61514</v>
      </c>
      <c r="D66" s="131"/>
      <c r="E66" s="410">
        <v>1</v>
      </c>
      <c r="F66" s="416">
        <f t="shared" si="1"/>
        <v>61515</v>
      </c>
      <c r="G66" s="413">
        <v>1431423.07</v>
      </c>
      <c r="H66" s="72">
        <v>0</v>
      </c>
      <c r="I66" s="72">
        <v>101677</v>
      </c>
      <c r="J66" s="131">
        <v>0</v>
      </c>
      <c r="K66" s="72">
        <v>153949</v>
      </c>
      <c r="L66" s="72">
        <v>23322</v>
      </c>
      <c r="M66" s="72">
        <v>8103.34</v>
      </c>
      <c r="N66" s="72">
        <v>367.5</v>
      </c>
      <c r="O66" s="72">
        <v>42347.02</v>
      </c>
      <c r="P66" s="72">
        <v>855</v>
      </c>
      <c r="Q66" s="72">
        <v>7290.71</v>
      </c>
      <c r="R66" s="72">
        <v>25928.46</v>
      </c>
      <c r="S66" s="72">
        <v>1797.89</v>
      </c>
      <c r="T66" s="72">
        <v>0</v>
      </c>
      <c r="U66" s="72">
        <v>0</v>
      </c>
      <c r="V66" s="72">
        <v>0</v>
      </c>
      <c r="W66" s="72">
        <v>5869</v>
      </c>
      <c r="X66" s="72">
        <v>819147.08</v>
      </c>
      <c r="Y66" s="72">
        <v>6373.27</v>
      </c>
      <c r="Z66" s="72">
        <v>490339.34</v>
      </c>
      <c r="AA66" s="72">
        <v>23467.95</v>
      </c>
      <c r="AB66" s="72">
        <v>58870.57</v>
      </c>
      <c r="AC66" s="72">
        <v>0</v>
      </c>
      <c r="AD66" s="72">
        <v>16211.97</v>
      </c>
      <c r="AE66" s="72">
        <v>10911.58</v>
      </c>
      <c r="AF66" s="72">
        <v>5779.21</v>
      </c>
      <c r="AG66" s="72">
        <v>10839.94</v>
      </c>
      <c r="AH66" s="72">
        <v>9110.9599999999991</v>
      </c>
      <c r="AI66" s="72">
        <v>27065.11</v>
      </c>
      <c r="AJ66" s="72">
        <v>6268.79</v>
      </c>
      <c r="AK66" s="72">
        <v>21134.21</v>
      </c>
      <c r="AL66" s="72">
        <v>3692.99</v>
      </c>
      <c r="AM66" s="72">
        <v>14533.45</v>
      </c>
      <c r="AN66" s="72">
        <v>10279.5</v>
      </c>
      <c r="AO66" s="72">
        <v>8640.01</v>
      </c>
      <c r="AP66" s="72">
        <v>78995.570000000007</v>
      </c>
      <c r="AQ66" s="72">
        <v>19795.240000000002</v>
      </c>
      <c r="AR66" s="72">
        <v>0</v>
      </c>
      <c r="AS66" s="72">
        <v>10062.61</v>
      </c>
      <c r="AT66" s="72">
        <v>6047.91</v>
      </c>
      <c r="AU66" s="72">
        <v>0</v>
      </c>
      <c r="AV66" s="72">
        <v>73008.53</v>
      </c>
      <c r="AW66" s="72">
        <v>507</v>
      </c>
      <c r="AX66" s="72">
        <v>40327.89</v>
      </c>
      <c r="AY66" s="72">
        <v>37328.9</v>
      </c>
      <c r="AZ66" s="72">
        <v>0</v>
      </c>
      <c r="BA66" s="72">
        <v>0</v>
      </c>
      <c r="BB66" s="72">
        <v>0</v>
      </c>
      <c r="BC66" s="72">
        <v>0</v>
      </c>
      <c r="BD66" s="72">
        <v>7352.51</v>
      </c>
      <c r="BE66" s="72">
        <v>0</v>
      </c>
      <c r="BF66" s="72">
        <v>0</v>
      </c>
      <c r="BG66" s="72">
        <v>0</v>
      </c>
      <c r="BH66" s="72">
        <v>0.16</v>
      </c>
      <c r="BI66" s="72">
        <v>0</v>
      </c>
      <c r="BJ66" s="72">
        <v>0</v>
      </c>
      <c r="BK66" s="131">
        <v>5602</v>
      </c>
      <c r="BL66" s="131">
        <v>50102</v>
      </c>
      <c r="BM66" s="131">
        <v>7353</v>
      </c>
      <c r="BN66" s="131">
        <v>0</v>
      </c>
      <c r="BO66" s="131">
        <v>0</v>
      </c>
      <c r="BP66" s="131"/>
      <c r="BQ66" s="72">
        <f t="shared" si="2"/>
        <v>0.76000000024214387</v>
      </c>
    </row>
    <row r="67" spans="1:69">
      <c r="A67" s="131">
        <v>3512</v>
      </c>
      <c r="B67" s="131" t="s">
        <v>92</v>
      </c>
      <c r="C67" s="131">
        <v>151952</v>
      </c>
      <c r="D67" s="131"/>
      <c r="E67" s="410">
        <v>0</v>
      </c>
      <c r="F67" s="416">
        <f t="shared" si="1"/>
        <v>151952</v>
      </c>
      <c r="G67" s="413">
        <v>1770658</v>
      </c>
      <c r="H67" s="72">
        <v>0</v>
      </c>
      <c r="I67" s="72">
        <v>122144</v>
      </c>
      <c r="J67" s="131">
        <v>0</v>
      </c>
      <c r="K67" s="72">
        <v>14295</v>
      </c>
      <c r="L67" s="72">
        <v>2900</v>
      </c>
      <c r="M67" s="72">
        <v>668.96</v>
      </c>
      <c r="N67" s="72">
        <v>16654.099999999999</v>
      </c>
      <c r="O67" s="72">
        <v>0</v>
      </c>
      <c r="P67" s="72">
        <v>22418.880000000001</v>
      </c>
      <c r="Q67" s="72">
        <v>5898.3</v>
      </c>
      <c r="R67" s="72">
        <v>14152.2</v>
      </c>
      <c r="S67" s="72">
        <v>16106.49</v>
      </c>
      <c r="T67" s="72">
        <v>0</v>
      </c>
      <c r="U67" s="72">
        <v>0</v>
      </c>
      <c r="V67" s="72">
        <v>0</v>
      </c>
      <c r="W67" s="72">
        <v>6075</v>
      </c>
      <c r="X67" s="72">
        <v>968867.94</v>
      </c>
      <c r="Y67" s="72">
        <v>17886.12</v>
      </c>
      <c r="Z67" s="72">
        <v>422295.22</v>
      </c>
      <c r="AA67" s="72">
        <v>36620.06</v>
      </c>
      <c r="AB67" s="72">
        <v>73518.399999999994</v>
      </c>
      <c r="AC67" s="72">
        <v>568</v>
      </c>
      <c r="AD67" s="72">
        <v>44801.58</v>
      </c>
      <c r="AE67" s="72">
        <v>29544.18</v>
      </c>
      <c r="AF67" s="72">
        <v>33238.46</v>
      </c>
      <c r="AG67" s="72">
        <v>23927.07</v>
      </c>
      <c r="AH67" s="72">
        <v>1903.18</v>
      </c>
      <c r="AI67" s="72">
        <v>7841.81</v>
      </c>
      <c r="AJ67" s="72">
        <v>2329.16</v>
      </c>
      <c r="AK67" s="72">
        <v>34971.230000000003</v>
      </c>
      <c r="AL67" s="72">
        <v>4133.28</v>
      </c>
      <c r="AM67" s="72">
        <v>34646.050000000003</v>
      </c>
      <c r="AN67" s="72">
        <v>0</v>
      </c>
      <c r="AO67" s="72">
        <v>10782.68</v>
      </c>
      <c r="AP67" s="72">
        <v>44414.02</v>
      </c>
      <c r="AQ67" s="72">
        <v>14283.48</v>
      </c>
      <c r="AR67" s="72">
        <v>0</v>
      </c>
      <c r="AS67" s="72">
        <v>10865.32</v>
      </c>
      <c r="AT67" s="72">
        <v>19038.02</v>
      </c>
      <c r="AU67" s="72">
        <v>9777.83</v>
      </c>
      <c r="AV67" s="72">
        <v>4000</v>
      </c>
      <c r="AW67" s="72">
        <v>151921.5</v>
      </c>
      <c r="AX67" s="72">
        <v>31579.31</v>
      </c>
      <c r="AY67" s="72">
        <v>37754.54</v>
      </c>
      <c r="AZ67" s="72">
        <v>0</v>
      </c>
      <c r="BA67" s="72">
        <v>11877.21</v>
      </c>
      <c r="BB67" s="72">
        <v>0</v>
      </c>
      <c r="BC67" s="72">
        <v>0</v>
      </c>
      <c r="BD67" s="72">
        <v>0</v>
      </c>
      <c r="BE67" s="72">
        <v>11000</v>
      </c>
      <c r="BF67" s="72">
        <v>11877.21</v>
      </c>
      <c r="BG67" s="72">
        <v>0</v>
      </c>
      <c r="BH67" s="72">
        <v>0</v>
      </c>
      <c r="BI67" s="72">
        <v>0</v>
      </c>
      <c r="BJ67" s="72">
        <v>22877.21</v>
      </c>
      <c r="BK67" s="131">
        <v>0</v>
      </c>
      <c r="BL67" s="131">
        <v>60537</v>
      </c>
      <c r="BM67" s="131">
        <v>0</v>
      </c>
      <c r="BN67" s="131">
        <v>0</v>
      </c>
      <c r="BO67" s="131">
        <v>0</v>
      </c>
      <c r="BP67" s="131"/>
      <c r="BQ67" s="72">
        <f t="shared" si="2"/>
        <v>0.28000000026077032</v>
      </c>
    </row>
    <row r="68" spans="1:69">
      <c r="A68" s="131">
        <v>2041</v>
      </c>
      <c r="B68" s="398" t="s">
        <v>675</v>
      </c>
      <c r="C68" s="131">
        <v>0</v>
      </c>
      <c r="D68" s="131"/>
      <c r="E68" s="410">
        <v>0</v>
      </c>
      <c r="F68" s="416">
        <f t="shared" si="1"/>
        <v>0</v>
      </c>
      <c r="G68" s="413">
        <v>572711</v>
      </c>
      <c r="H68" s="72">
        <v>0</v>
      </c>
      <c r="I68" s="72">
        <v>0</v>
      </c>
      <c r="J68" s="131">
        <v>0</v>
      </c>
      <c r="K68" s="72">
        <v>1668</v>
      </c>
      <c r="L68" s="72">
        <v>0</v>
      </c>
      <c r="M68" s="72">
        <v>0</v>
      </c>
      <c r="N68" s="72">
        <v>27.59</v>
      </c>
      <c r="O68" s="72">
        <v>55743.83</v>
      </c>
      <c r="P68" s="72">
        <v>0</v>
      </c>
      <c r="Q68" s="72">
        <v>0</v>
      </c>
      <c r="R68" s="72">
        <v>830</v>
      </c>
      <c r="S68" s="72">
        <v>71815.22</v>
      </c>
      <c r="T68" s="72">
        <v>0</v>
      </c>
      <c r="U68" s="72">
        <v>0</v>
      </c>
      <c r="V68" s="72">
        <v>0</v>
      </c>
      <c r="W68" s="72">
        <v>0</v>
      </c>
      <c r="X68" s="72">
        <v>309738.13</v>
      </c>
      <c r="Y68" s="72">
        <v>4270.0600000000004</v>
      </c>
      <c r="Z68" s="72">
        <v>98904.639999999999</v>
      </c>
      <c r="AA68" s="72">
        <v>17644.439999999999</v>
      </c>
      <c r="AB68" s="72">
        <v>34114.81</v>
      </c>
      <c r="AC68" s="72">
        <v>0</v>
      </c>
      <c r="AD68" s="72">
        <v>3820.08</v>
      </c>
      <c r="AE68" s="72">
        <v>9022.6299999999992</v>
      </c>
      <c r="AF68" s="72">
        <v>3181.28</v>
      </c>
      <c r="AG68" s="72">
        <v>10169.719999999999</v>
      </c>
      <c r="AH68" s="72">
        <v>0</v>
      </c>
      <c r="AI68" s="72">
        <v>6205.9</v>
      </c>
      <c r="AJ68" s="72">
        <v>0</v>
      </c>
      <c r="AK68" s="72">
        <v>22863.77</v>
      </c>
      <c r="AL68" s="72">
        <v>1356.89</v>
      </c>
      <c r="AM68" s="72">
        <v>9540.33</v>
      </c>
      <c r="AN68" s="72">
        <v>0</v>
      </c>
      <c r="AO68" s="72">
        <v>1597.48</v>
      </c>
      <c r="AP68" s="72">
        <v>46013.94</v>
      </c>
      <c r="AQ68" s="72">
        <v>10433.950000000001</v>
      </c>
      <c r="AR68" s="72">
        <v>0.34</v>
      </c>
      <c r="AS68" s="72">
        <v>5794.85</v>
      </c>
      <c r="AT68" s="72">
        <v>11573.49</v>
      </c>
      <c r="AU68" s="72">
        <v>69.540000000000006</v>
      </c>
      <c r="AV68" s="72">
        <v>58155.05</v>
      </c>
      <c r="AW68" s="72">
        <v>18500.95</v>
      </c>
      <c r="AX68" s="72">
        <v>7951.87</v>
      </c>
      <c r="AY68" s="72">
        <v>19413.990000000002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131">
        <v>0</v>
      </c>
      <c r="BL68" s="131">
        <v>-7542</v>
      </c>
      <c r="BM68" s="131">
        <v>0</v>
      </c>
      <c r="BN68" s="131">
        <v>0</v>
      </c>
      <c r="BO68" s="131">
        <v>0</v>
      </c>
      <c r="BP68" s="131"/>
      <c r="BQ68" s="72">
        <f t="shared" ref="BQ68:BQ99" si="3">(SUM(C68:E68,G68:W68,BD68:BF68)-SUM(X68:BC68,BG68:BJ68))-SUM(BK68:BO68)</f>
        <v>-0.4900000001071021</v>
      </c>
    </row>
    <row r="69" spans="1:69">
      <c r="A69" s="131">
        <v>3510</v>
      </c>
      <c r="B69" s="131" t="s">
        <v>93</v>
      </c>
      <c r="C69" s="131">
        <v>122649</v>
      </c>
      <c r="D69" s="131"/>
      <c r="E69" s="410">
        <v>0</v>
      </c>
      <c r="F69" s="416">
        <f t="shared" ref="F69:F107" si="4">SUM(C69:E69)</f>
        <v>122649</v>
      </c>
      <c r="G69" s="413">
        <v>1582847</v>
      </c>
      <c r="H69" s="72">
        <v>0</v>
      </c>
      <c r="I69" s="72">
        <v>62141</v>
      </c>
      <c r="J69" s="131">
        <v>0</v>
      </c>
      <c r="K69" s="72">
        <v>37167</v>
      </c>
      <c r="L69" s="72">
        <v>14600.26</v>
      </c>
      <c r="M69" s="72">
        <v>14554</v>
      </c>
      <c r="N69" s="72">
        <v>39840.879999999997</v>
      </c>
      <c r="O69" s="72">
        <v>95776.57</v>
      </c>
      <c r="P69" s="72">
        <v>14066</v>
      </c>
      <c r="Q69" s="72">
        <v>356</v>
      </c>
      <c r="R69" s="72">
        <v>37322.410000000003</v>
      </c>
      <c r="S69" s="72">
        <v>3985.64</v>
      </c>
      <c r="T69" s="72">
        <v>0</v>
      </c>
      <c r="U69" s="72">
        <v>0</v>
      </c>
      <c r="V69" s="72">
        <v>0</v>
      </c>
      <c r="W69" s="72">
        <v>6024</v>
      </c>
      <c r="X69" s="72">
        <v>949666.62</v>
      </c>
      <c r="Y69" s="72">
        <v>19336.650000000001</v>
      </c>
      <c r="Z69" s="72">
        <v>305633.26</v>
      </c>
      <c r="AA69" s="72">
        <v>30755.62</v>
      </c>
      <c r="AB69" s="72">
        <v>74095.06</v>
      </c>
      <c r="AC69" s="72">
        <v>0</v>
      </c>
      <c r="AD69" s="72">
        <v>14347.46</v>
      </c>
      <c r="AE69" s="72">
        <v>15146.53</v>
      </c>
      <c r="AF69" s="72">
        <v>6736.59</v>
      </c>
      <c r="AG69" s="72">
        <v>22497.17</v>
      </c>
      <c r="AH69" s="72">
        <v>2887.09</v>
      </c>
      <c r="AI69" s="72">
        <v>19519.349999999999</v>
      </c>
      <c r="AJ69" s="72">
        <v>1598.16</v>
      </c>
      <c r="AK69" s="72">
        <v>20845.05</v>
      </c>
      <c r="AL69" s="72">
        <v>2619.41</v>
      </c>
      <c r="AM69" s="72">
        <v>21738.94</v>
      </c>
      <c r="AN69" s="72">
        <v>0</v>
      </c>
      <c r="AO69" s="72">
        <v>6950.69</v>
      </c>
      <c r="AP69" s="72">
        <v>66220.22</v>
      </c>
      <c r="AQ69" s="72">
        <v>13826.5</v>
      </c>
      <c r="AR69" s="72">
        <v>0</v>
      </c>
      <c r="AS69" s="72">
        <v>14426.73</v>
      </c>
      <c r="AT69" s="72">
        <v>11527.87</v>
      </c>
      <c r="AU69" s="72">
        <v>559.13</v>
      </c>
      <c r="AV69" s="72">
        <v>108222.9</v>
      </c>
      <c r="AW69" s="72">
        <v>15215</v>
      </c>
      <c r="AX69" s="72">
        <v>51814.55</v>
      </c>
      <c r="AY69" s="72">
        <v>36856.730000000003</v>
      </c>
      <c r="AZ69" s="72">
        <v>0</v>
      </c>
      <c r="BA69" s="72">
        <v>10819</v>
      </c>
      <c r="BB69" s="72">
        <v>0</v>
      </c>
      <c r="BC69" s="72">
        <v>0</v>
      </c>
      <c r="BD69" s="72">
        <v>0</v>
      </c>
      <c r="BE69" s="72">
        <v>0</v>
      </c>
      <c r="BF69" s="72">
        <v>10819</v>
      </c>
      <c r="BG69" s="72">
        <v>0</v>
      </c>
      <c r="BH69" s="72">
        <v>0</v>
      </c>
      <c r="BI69" s="72">
        <v>0</v>
      </c>
      <c r="BJ69" s="72">
        <v>10819.3</v>
      </c>
      <c r="BK69" s="131">
        <v>6256</v>
      </c>
      <c r="BL69" s="131">
        <v>181211</v>
      </c>
      <c r="BM69" s="131">
        <v>0</v>
      </c>
      <c r="BN69" s="131">
        <v>0</v>
      </c>
      <c r="BO69" s="131">
        <v>0</v>
      </c>
      <c r="BP69" s="131"/>
      <c r="BQ69" s="72">
        <f t="shared" si="3"/>
        <v>0.17999999970197678</v>
      </c>
    </row>
    <row r="70" spans="1:69">
      <c r="A70" s="131">
        <v>3502</v>
      </c>
      <c r="B70" s="131" t="s">
        <v>94</v>
      </c>
      <c r="C70" s="131">
        <v>118182</v>
      </c>
      <c r="D70" s="131"/>
      <c r="E70" s="410">
        <v>0</v>
      </c>
      <c r="F70" s="416">
        <f t="shared" si="4"/>
        <v>118182</v>
      </c>
      <c r="G70" s="413">
        <v>1398030</v>
      </c>
      <c r="H70" s="72">
        <v>0</v>
      </c>
      <c r="I70" s="72">
        <v>38518</v>
      </c>
      <c r="J70" s="131">
        <v>0</v>
      </c>
      <c r="K70" s="72">
        <v>51462.01</v>
      </c>
      <c r="L70" s="72">
        <v>2750</v>
      </c>
      <c r="M70" s="72">
        <v>7527.28</v>
      </c>
      <c r="N70" s="72">
        <v>42826.33</v>
      </c>
      <c r="O70" s="72">
        <v>57515.71</v>
      </c>
      <c r="P70" s="72">
        <v>4959</v>
      </c>
      <c r="Q70" s="72">
        <v>0</v>
      </c>
      <c r="R70" s="72">
        <v>29033.35</v>
      </c>
      <c r="S70" s="72">
        <v>29314.22</v>
      </c>
      <c r="T70" s="72">
        <v>0</v>
      </c>
      <c r="U70" s="72">
        <v>0</v>
      </c>
      <c r="V70" s="72">
        <v>0</v>
      </c>
      <c r="W70" s="72">
        <v>5668</v>
      </c>
      <c r="X70" s="72">
        <v>695822.1</v>
      </c>
      <c r="Y70" s="72">
        <v>7855.91</v>
      </c>
      <c r="Z70" s="72">
        <v>354095.25</v>
      </c>
      <c r="AA70" s="72">
        <v>44113.81</v>
      </c>
      <c r="AB70" s="72">
        <v>55184.98</v>
      </c>
      <c r="AC70" s="72">
        <v>0</v>
      </c>
      <c r="AD70" s="72">
        <v>38871.199999999997</v>
      </c>
      <c r="AE70" s="72">
        <v>14509.16</v>
      </c>
      <c r="AF70" s="72">
        <v>15411.73</v>
      </c>
      <c r="AG70" s="72">
        <v>12270.73</v>
      </c>
      <c r="AH70" s="72">
        <v>1755.44</v>
      </c>
      <c r="AI70" s="72">
        <v>39829.769999999997</v>
      </c>
      <c r="AJ70" s="72">
        <v>1045.6300000000001</v>
      </c>
      <c r="AK70" s="72">
        <v>2405.91</v>
      </c>
      <c r="AL70" s="72">
        <v>667.78</v>
      </c>
      <c r="AM70" s="72">
        <v>18452.919999999998</v>
      </c>
      <c r="AN70" s="72">
        <v>0</v>
      </c>
      <c r="AO70" s="72">
        <v>9694.3799999999992</v>
      </c>
      <c r="AP70" s="72">
        <v>93322.98</v>
      </c>
      <c r="AQ70" s="72">
        <v>20309.349999999999</v>
      </c>
      <c r="AR70" s="72">
        <v>0</v>
      </c>
      <c r="AS70" s="72">
        <v>18942.43</v>
      </c>
      <c r="AT70" s="72">
        <v>8786.66</v>
      </c>
      <c r="AU70" s="72">
        <v>20206.32</v>
      </c>
      <c r="AV70" s="72">
        <v>68847.78</v>
      </c>
      <c r="AW70" s="72">
        <v>36773.9</v>
      </c>
      <c r="AX70" s="72">
        <v>51581.29</v>
      </c>
      <c r="AY70" s="72">
        <v>35356.99</v>
      </c>
      <c r="AZ70" s="72">
        <v>0</v>
      </c>
      <c r="BA70" s="72">
        <v>21131</v>
      </c>
      <c r="BB70" s="72">
        <v>0</v>
      </c>
      <c r="BC70" s="72">
        <v>0</v>
      </c>
      <c r="BD70" s="72">
        <v>0</v>
      </c>
      <c r="BE70" s="72">
        <v>14556</v>
      </c>
      <c r="BF70" s="72">
        <v>21131</v>
      </c>
      <c r="BG70" s="72">
        <v>0</v>
      </c>
      <c r="BH70" s="72">
        <v>0</v>
      </c>
      <c r="BI70" s="72">
        <v>0</v>
      </c>
      <c r="BJ70" s="72">
        <v>35686.269999999997</v>
      </c>
      <c r="BK70" s="131">
        <v>0</v>
      </c>
      <c r="BL70" s="131">
        <v>98541</v>
      </c>
      <c r="BM70" s="131">
        <v>0</v>
      </c>
      <c r="BN70" s="131">
        <v>1</v>
      </c>
      <c r="BO70" s="131">
        <v>0</v>
      </c>
      <c r="BP70" s="131"/>
      <c r="BQ70" s="72">
        <f t="shared" si="3"/>
        <v>-0.76999999932013452</v>
      </c>
    </row>
    <row r="71" spans="1:69">
      <c r="A71" s="131">
        <v>3315</v>
      </c>
      <c r="B71" s="131" t="s">
        <v>95</v>
      </c>
      <c r="C71" s="131">
        <v>26150</v>
      </c>
      <c r="D71" s="131"/>
      <c r="E71" s="410">
        <v>0</v>
      </c>
      <c r="F71" s="416">
        <f t="shared" si="4"/>
        <v>26150</v>
      </c>
      <c r="G71" s="413">
        <v>853891.97</v>
      </c>
      <c r="H71" s="72">
        <v>0</v>
      </c>
      <c r="I71" s="72">
        <v>46323</v>
      </c>
      <c r="J71" s="131">
        <v>0</v>
      </c>
      <c r="K71" s="72">
        <v>13342</v>
      </c>
      <c r="L71" s="72">
        <v>9600</v>
      </c>
      <c r="M71" s="72">
        <v>15553.5</v>
      </c>
      <c r="N71" s="72">
        <v>29523.99</v>
      </c>
      <c r="O71" s="72">
        <v>60704.37</v>
      </c>
      <c r="P71" s="72">
        <v>0</v>
      </c>
      <c r="Q71" s="72">
        <v>2759.1</v>
      </c>
      <c r="R71" s="72">
        <v>49926</v>
      </c>
      <c r="S71" s="72">
        <v>5278.96</v>
      </c>
      <c r="T71" s="72">
        <v>0</v>
      </c>
      <c r="U71" s="72">
        <v>0</v>
      </c>
      <c r="V71" s="72">
        <v>0</v>
      </c>
      <c r="W71" s="72">
        <v>5435</v>
      </c>
      <c r="X71" s="72">
        <v>481677.25</v>
      </c>
      <c r="Y71" s="72">
        <v>9494.07</v>
      </c>
      <c r="Z71" s="72">
        <v>153724.79</v>
      </c>
      <c r="AA71" s="72">
        <v>21165.34</v>
      </c>
      <c r="AB71" s="72">
        <v>33904.36</v>
      </c>
      <c r="AC71" s="72">
        <v>0</v>
      </c>
      <c r="AD71" s="72">
        <v>49590.6</v>
      </c>
      <c r="AE71" s="72">
        <v>3171.52</v>
      </c>
      <c r="AF71" s="72">
        <v>13797.84</v>
      </c>
      <c r="AG71" s="72">
        <v>9793.69</v>
      </c>
      <c r="AH71" s="72">
        <v>1969</v>
      </c>
      <c r="AI71" s="72">
        <v>27712.09</v>
      </c>
      <c r="AJ71" s="72">
        <v>0</v>
      </c>
      <c r="AK71" s="72">
        <v>6385.55</v>
      </c>
      <c r="AL71" s="72">
        <v>701.01</v>
      </c>
      <c r="AM71" s="72">
        <v>17518.580000000002</v>
      </c>
      <c r="AN71" s="72">
        <v>0</v>
      </c>
      <c r="AO71" s="72">
        <v>6294.44</v>
      </c>
      <c r="AP71" s="72">
        <v>87592.15</v>
      </c>
      <c r="AQ71" s="72">
        <v>15700.96</v>
      </c>
      <c r="AR71" s="72">
        <v>0</v>
      </c>
      <c r="AS71" s="72">
        <v>4956.99</v>
      </c>
      <c r="AT71" s="72">
        <v>3472.93</v>
      </c>
      <c r="AU71" s="72">
        <v>5277.69</v>
      </c>
      <c r="AV71" s="72">
        <v>62761.72</v>
      </c>
      <c r="AW71" s="72">
        <v>6525.5</v>
      </c>
      <c r="AX71" s="72">
        <v>29126.01</v>
      </c>
      <c r="AY71" s="72">
        <v>25528.73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131">
        <v>0</v>
      </c>
      <c r="BL71" s="131">
        <v>40645</v>
      </c>
      <c r="BM71" s="131">
        <v>0</v>
      </c>
      <c r="BN71" s="131">
        <v>0</v>
      </c>
      <c r="BO71" s="131">
        <v>0</v>
      </c>
      <c r="BP71" s="131"/>
      <c r="BQ71" s="72">
        <f t="shared" si="3"/>
        <v>8.0000000540167093E-2</v>
      </c>
    </row>
    <row r="72" spans="1:69">
      <c r="A72" s="131">
        <v>3504</v>
      </c>
      <c r="B72" s="131" t="s">
        <v>96</v>
      </c>
      <c r="C72" s="131">
        <v>92868</v>
      </c>
      <c r="D72" s="131"/>
      <c r="E72" s="410">
        <v>0</v>
      </c>
      <c r="F72" s="416">
        <f t="shared" si="4"/>
        <v>92868</v>
      </c>
      <c r="G72" s="413">
        <v>1747358</v>
      </c>
      <c r="H72" s="72">
        <v>0</v>
      </c>
      <c r="I72" s="72">
        <v>109491</v>
      </c>
      <c r="J72" s="131">
        <v>0</v>
      </c>
      <c r="K72" s="72">
        <v>59386</v>
      </c>
      <c r="L72" s="72">
        <v>28300</v>
      </c>
      <c r="M72" s="72">
        <v>49855.16</v>
      </c>
      <c r="N72" s="72">
        <v>89783.29</v>
      </c>
      <c r="O72" s="72">
        <v>70036.84</v>
      </c>
      <c r="P72" s="72">
        <v>750</v>
      </c>
      <c r="Q72" s="72">
        <v>0</v>
      </c>
      <c r="R72" s="72">
        <v>44418.74</v>
      </c>
      <c r="S72" s="72">
        <v>473.56</v>
      </c>
      <c r="T72" s="72">
        <v>0</v>
      </c>
      <c r="U72" s="72">
        <v>0</v>
      </c>
      <c r="V72" s="72">
        <v>0</v>
      </c>
      <c r="W72" s="72">
        <v>5907</v>
      </c>
      <c r="X72" s="72">
        <v>1034562.36</v>
      </c>
      <c r="Y72" s="72">
        <v>0</v>
      </c>
      <c r="Z72" s="72">
        <v>394011.18</v>
      </c>
      <c r="AA72" s="72">
        <v>31653.53</v>
      </c>
      <c r="AB72" s="72">
        <v>72450.31</v>
      </c>
      <c r="AC72" s="72">
        <v>0</v>
      </c>
      <c r="AD72" s="72">
        <v>60677.48</v>
      </c>
      <c r="AE72" s="72">
        <v>12744.97</v>
      </c>
      <c r="AF72" s="72">
        <v>18676.169999999998</v>
      </c>
      <c r="AG72" s="72">
        <v>7479.58</v>
      </c>
      <c r="AH72" s="72">
        <v>2641.76</v>
      </c>
      <c r="AI72" s="72">
        <v>30507.02</v>
      </c>
      <c r="AJ72" s="72">
        <v>21580.92</v>
      </c>
      <c r="AK72" s="72">
        <v>30141.62</v>
      </c>
      <c r="AL72" s="72">
        <v>2074.5500000000002</v>
      </c>
      <c r="AM72" s="72">
        <v>16053.36</v>
      </c>
      <c r="AN72" s="72">
        <v>0</v>
      </c>
      <c r="AO72" s="72">
        <v>6895.58</v>
      </c>
      <c r="AP72" s="72">
        <v>132756.23000000001</v>
      </c>
      <c r="AQ72" s="72">
        <v>39957.25</v>
      </c>
      <c r="AR72" s="72">
        <v>0</v>
      </c>
      <c r="AS72" s="72">
        <v>8464.23</v>
      </c>
      <c r="AT72" s="72">
        <v>11347.76</v>
      </c>
      <c r="AU72" s="72">
        <v>16845.13</v>
      </c>
      <c r="AV72" s="72">
        <v>84084.28</v>
      </c>
      <c r="AW72" s="72">
        <v>0</v>
      </c>
      <c r="AX72" s="72">
        <v>71551.59</v>
      </c>
      <c r="AY72" s="72">
        <v>29028.58</v>
      </c>
      <c r="AZ72" s="72">
        <v>0</v>
      </c>
      <c r="BA72" s="72">
        <v>35290</v>
      </c>
      <c r="BB72" s="72">
        <v>0</v>
      </c>
      <c r="BC72" s="72">
        <v>0</v>
      </c>
      <c r="BD72" s="72">
        <v>0</v>
      </c>
      <c r="BE72" s="72">
        <v>0</v>
      </c>
      <c r="BF72" s="72">
        <v>35290</v>
      </c>
      <c r="BG72" s="72">
        <v>0</v>
      </c>
      <c r="BH72" s="72">
        <v>0</v>
      </c>
      <c r="BI72" s="72">
        <v>0</v>
      </c>
      <c r="BJ72" s="72">
        <v>35290</v>
      </c>
      <c r="BK72" s="131">
        <v>10798</v>
      </c>
      <c r="BL72" s="131">
        <v>116354</v>
      </c>
      <c r="BM72" s="131">
        <v>0</v>
      </c>
      <c r="BN72" s="131">
        <v>0</v>
      </c>
      <c r="BO72" s="131">
        <v>0</v>
      </c>
      <c r="BP72" s="131"/>
      <c r="BQ72" s="72">
        <f t="shared" si="3"/>
        <v>0.14999999944120646</v>
      </c>
    </row>
    <row r="73" spans="1:69">
      <c r="A73" s="131">
        <v>3307</v>
      </c>
      <c r="B73" s="131" t="s">
        <v>97</v>
      </c>
      <c r="C73" s="131">
        <v>123371</v>
      </c>
      <c r="D73" s="131"/>
      <c r="E73" s="410">
        <v>0</v>
      </c>
      <c r="F73" s="416">
        <f t="shared" si="4"/>
        <v>123371</v>
      </c>
      <c r="G73" s="413">
        <v>961738.14</v>
      </c>
      <c r="H73" s="72">
        <v>0</v>
      </c>
      <c r="I73" s="72">
        <v>6279</v>
      </c>
      <c r="J73" s="131">
        <v>0</v>
      </c>
      <c r="K73" s="72">
        <v>27637</v>
      </c>
      <c r="L73" s="72">
        <v>11165.1</v>
      </c>
      <c r="M73" s="72">
        <v>330</v>
      </c>
      <c r="N73" s="72">
        <v>83327.14</v>
      </c>
      <c r="O73" s="72">
        <v>47058.73</v>
      </c>
      <c r="P73" s="72">
        <v>11970</v>
      </c>
      <c r="Q73" s="72">
        <v>3066.2</v>
      </c>
      <c r="R73" s="72">
        <v>81316.03</v>
      </c>
      <c r="S73" s="72">
        <v>25854.25</v>
      </c>
      <c r="T73" s="72">
        <v>0</v>
      </c>
      <c r="U73" s="72">
        <v>0</v>
      </c>
      <c r="V73" s="72">
        <v>0</v>
      </c>
      <c r="W73" s="72">
        <v>5438</v>
      </c>
      <c r="X73" s="72">
        <v>590458.88</v>
      </c>
      <c r="Y73" s="72">
        <v>0</v>
      </c>
      <c r="Z73" s="72">
        <v>177573.03</v>
      </c>
      <c r="AA73" s="72">
        <v>43979.79</v>
      </c>
      <c r="AB73" s="72">
        <v>29963.15</v>
      </c>
      <c r="AC73" s="72">
        <v>0</v>
      </c>
      <c r="AD73" s="72">
        <v>18059.23</v>
      </c>
      <c r="AE73" s="72">
        <v>2365.37</v>
      </c>
      <c r="AF73" s="72">
        <v>2531.27</v>
      </c>
      <c r="AG73" s="400">
        <f>9501.38-299.27</f>
        <v>9202.1099999999988</v>
      </c>
      <c r="AH73" s="400">
        <f>-299.27+299.27</f>
        <v>0</v>
      </c>
      <c r="AI73" s="72">
        <v>63332.76</v>
      </c>
      <c r="AJ73" s="72">
        <v>1950.25</v>
      </c>
      <c r="AK73" s="72">
        <v>9905.42</v>
      </c>
      <c r="AL73" s="72">
        <v>3915.81</v>
      </c>
      <c r="AM73" s="72">
        <v>121.96</v>
      </c>
      <c r="AN73" s="72">
        <v>0</v>
      </c>
      <c r="AO73" s="72">
        <v>5592.35</v>
      </c>
      <c r="AP73" s="72">
        <v>79320.490000000005</v>
      </c>
      <c r="AQ73" s="72">
        <v>14805.33</v>
      </c>
      <c r="AR73" s="72">
        <v>0</v>
      </c>
      <c r="AS73" s="72">
        <v>6292.49</v>
      </c>
      <c r="AT73" s="72">
        <v>5700.93</v>
      </c>
      <c r="AU73" s="72">
        <v>649.79</v>
      </c>
      <c r="AV73" s="72">
        <v>51802.8</v>
      </c>
      <c r="AW73" s="72">
        <v>49955.49</v>
      </c>
      <c r="AX73" s="72">
        <v>27994.71</v>
      </c>
      <c r="AY73" s="72">
        <v>33187.26</v>
      </c>
      <c r="AZ73" s="72">
        <v>0</v>
      </c>
      <c r="BA73" s="72">
        <v>22451.48</v>
      </c>
      <c r="BB73" s="72">
        <v>0</v>
      </c>
      <c r="BC73" s="72">
        <v>0</v>
      </c>
      <c r="BD73" s="72">
        <v>0</v>
      </c>
      <c r="BE73" s="72">
        <v>0</v>
      </c>
      <c r="BF73" s="72">
        <v>22451.48</v>
      </c>
      <c r="BG73" s="72">
        <v>0</v>
      </c>
      <c r="BH73" s="72">
        <v>0</v>
      </c>
      <c r="BI73" s="72">
        <v>0</v>
      </c>
      <c r="BJ73" s="72">
        <v>22451.48</v>
      </c>
      <c r="BK73" s="131">
        <v>0</v>
      </c>
      <c r="BL73" s="131">
        <v>137438</v>
      </c>
      <c r="BM73" s="131">
        <v>0</v>
      </c>
      <c r="BN73" s="131">
        <v>0</v>
      </c>
      <c r="BO73" s="131">
        <v>0</v>
      </c>
      <c r="BP73" s="131"/>
      <c r="BQ73" s="72">
        <f t="shared" si="3"/>
        <v>0.43999999994412065</v>
      </c>
    </row>
    <row r="74" spans="1:69">
      <c r="A74" s="131">
        <v>3309</v>
      </c>
      <c r="B74" s="71" t="s">
        <v>98</v>
      </c>
      <c r="C74" s="131">
        <v>68877</v>
      </c>
      <c r="D74" s="131"/>
      <c r="E74" s="410">
        <v>0</v>
      </c>
      <c r="F74" s="416">
        <f t="shared" si="4"/>
        <v>68877</v>
      </c>
      <c r="G74" s="413">
        <v>969019</v>
      </c>
      <c r="H74" s="72">
        <v>0</v>
      </c>
      <c r="I74" s="72">
        <v>117504</v>
      </c>
      <c r="J74" s="131">
        <v>0</v>
      </c>
      <c r="K74" s="72">
        <v>42426</v>
      </c>
      <c r="L74" s="72">
        <v>100</v>
      </c>
      <c r="M74" s="72">
        <v>2550</v>
      </c>
      <c r="N74" s="72">
        <v>32114.37</v>
      </c>
      <c r="O74" s="72">
        <v>41397.72</v>
      </c>
      <c r="P74" s="72">
        <v>9234</v>
      </c>
      <c r="Q74" s="72">
        <v>5974.89</v>
      </c>
      <c r="R74" s="72">
        <v>21507.65</v>
      </c>
      <c r="S74" s="72">
        <v>5018.16</v>
      </c>
      <c r="T74" s="72">
        <v>0</v>
      </c>
      <c r="U74" s="72">
        <v>0</v>
      </c>
      <c r="V74" s="72">
        <v>0</v>
      </c>
      <c r="W74" s="72">
        <v>5445</v>
      </c>
      <c r="X74" s="72">
        <v>597744.62</v>
      </c>
      <c r="Y74" s="72">
        <v>1169.83</v>
      </c>
      <c r="Z74" s="72">
        <v>306043.15999999997</v>
      </c>
      <c r="AA74" s="72">
        <v>0</v>
      </c>
      <c r="AB74" s="72">
        <v>46268.61</v>
      </c>
      <c r="AC74" s="72">
        <v>0</v>
      </c>
      <c r="AD74" s="72">
        <v>7326.26</v>
      </c>
      <c r="AE74" s="72">
        <v>2014.5</v>
      </c>
      <c r="AF74" s="72">
        <v>5229.72</v>
      </c>
      <c r="AG74" s="72">
        <v>7355.62</v>
      </c>
      <c r="AH74" s="72">
        <v>5596.59</v>
      </c>
      <c r="AI74" s="72">
        <v>20386.13</v>
      </c>
      <c r="AJ74" s="72">
        <v>7436.55</v>
      </c>
      <c r="AK74" s="72">
        <v>29668.63</v>
      </c>
      <c r="AL74" s="72">
        <v>2998.58</v>
      </c>
      <c r="AM74" s="400">
        <f>-2562.84+2562.84</f>
        <v>0</v>
      </c>
      <c r="AN74" s="72">
        <v>0</v>
      </c>
      <c r="AO74" s="72">
        <v>4858.32</v>
      </c>
      <c r="AP74" s="400">
        <f>42159.09-2562.84</f>
        <v>39596.25</v>
      </c>
      <c r="AQ74" s="72">
        <v>22158.42</v>
      </c>
      <c r="AR74" s="72">
        <v>0</v>
      </c>
      <c r="AS74" s="72">
        <v>10579.48</v>
      </c>
      <c r="AT74" s="72">
        <v>3149.61</v>
      </c>
      <c r="AU74" s="72">
        <v>3090.68</v>
      </c>
      <c r="AV74" s="72">
        <v>48661.22</v>
      </c>
      <c r="AW74" s="72">
        <v>549</v>
      </c>
      <c r="AX74" s="72">
        <v>23926.23</v>
      </c>
      <c r="AY74" s="72">
        <v>26357.01</v>
      </c>
      <c r="AZ74" s="72">
        <v>0</v>
      </c>
      <c r="BA74" s="72">
        <v>8953.18</v>
      </c>
      <c r="BB74" s="72">
        <v>0</v>
      </c>
      <c r="BC74" s="72">
        <v>0</v>
      </c>
      <c r="BD74" s="72">
        <v>0</v>
      </c>
      <c r="BE74" s="72">
        <v>3000</v>
      </c>
      <c r="BF74" s="72">
        <v>8953.18</v>
      </c>
      <c r="BG74" s="72">
        <v>0</v>
      </c>
      <c r="BH74" s="72">
        <v>0</v>
      </c>
      <c r="BI74" s="72">
        <v>0</v>
      </c>
      <c r="BJ74" s="72">
        <v>11953.18</v>
      </c>
      <c r="BK74" s="131">
        <v>23625</v>
      </c>
      <c r="BL74" s="131">
        <v>66425</v>
      </c>
      <c r="BM74" s="131">
        <v>0</v>
      </c>
      <c r="BN74" s="131">
        <v>0</v>
      </c>
      <c r="BO74" s="131">
        <v>0</v>
      </c>
      <c r="BP74" s="131"/>
      <c r="BQ74" s="72">
        <f t="shared" si="3"/>
        <v>-0.40999999968335032</v>
      </c>
    </row>
    <row r="75" spans="1:69">
      <c r="A75" s="131">
        <v>3508</v>
      </c>
      <c r="B75" s="131" t="s">
        <v>99</v>
      </c>
      <c r="C75" s="131">
        <v>91527</v>
      </c>
      <c r="D75" s="131"/>
      <c r="E75" s="410">
        <v>0</v>
      </c>
      <c r="F75" s="416">
        <f t="shared" si="4"/>
        <v>91527</v>
      </c>
      <c r="G75" s="413">
        <v>954804</v>
      </c>
      <c r="H75" s="72">
        <v>0</v>
      </c>
      <c r="I75" s="72">
        <v>13620</v>
      </c>
      <c r="J75" s="131">
        <v>0</v>
      </c>
      <c r="K75" s="72">
        <v>21919</v>
      </c>
      <c r="L75" s="72">
        <v>0</v>
      </c>
      <c r="M75" s="72">
        <v>1064</v>
      </c>
      <c r="N75" s="72">
        <v>33942.9</v>
      </c>
      <c r="O75" s="72">
        <v>42112.53</v>
      </c>
      <c r="P75" s="72">
        <v>0</v>
      </c>
      <c r="Q75" s="72">
        <v>0</v>
      </c>
      <c r="R75" s="72">
        <v>0</v>
      </c>
      <c r="S75" s="72">
        <v>4204.59</v>
      </c>
      <c r="T75" s="72">
        <v>0</v>
      </c>
      <c r="U75" s="72">
        <v>0</v>
      </c>
      <c r="V75" s="72">
        <v>0</v>
      </c>
      <c r="W75" s="72">
        <v>5248</v>
      </c>
      <c r="X75" s="72">
        <v>480635.59</v>
      </c>
      <c r="Y75" s="72">
        <v>1333.13</v>
      </c>
      <c r="Z75" s="72">
        <v>226019.63</v>
      </c>
      <c r="AA75" s="72">
        <v>31087.89</v>
      </c>
      <c r="AB75" s="72">
        <v>55860.17</v>
      </c>
      <c r="AC75" s="72">
        <v>0</v>
      </c>
      <c r="AD75" s="72">
        <v>27827.22</v>
      </c>
      <c r="AE75" s="72">
        <v>6234.5</v>
      </c>
      <c r="AF75" s="72">
        <v>4531.1099999999997</v>
      </c>
      <c r="AG75" s="72">
        <v>10118.030000000001</v>
      </c>
      <c r="AH75" s="72">
        <v>851.65</v>
      </c>
      <c r="AI75" s="72">
        <v>32849.65</v>
      </c>
      <c r="AJ75" s="72">
        <v>0</v>
      </c>
      <c r="AK75" s="72">
        <v>17561.29</v>
      </c>
      <c r="AL75" s="72">
        <v>5549.38</v>
      </c>
      <c r="AM75" s="72">
        <v>17725.13</v>
      </c>
      <c r="AN75" s="72">
        <v>0</v>
      </c>
      <c r="AO75" s="72">
        <v>5167.0600000000004</v>
      </c>
      <c r="AP75" s="72">
        <v>34263.15</v>
      </c>
      <c r="AQ75" s="72">
        <v>25871.26</v>
      </c>
      <c r="AR75" s="72">
        <v>0</v>
      </c>
      <c r="AS75" s="72">
        <v>6238.9</v>
      </c>
      <c r="AT75" s="72">
        <v>5060.75</v>
      </c>
      <c r="AU75" s="72">
        <v>13053.84</v>
      </c>
      <c r="AV75" s="72">
        <v>52686.94</v>
      </c>
      <c r="AW75" s="72">
        <v>22584.67</v>
      </c>
      <c r="AX75" s="72">
        <v>21238.31</v>
      </c>
      <c r="AY75" s="72">
        <v>17337.439999999999</v>
      </c>
      <c r="AZ75" s="72">
        <v>0</v>
      </c>
      <c r="BA75" s="72">
        <v>44907</v>
      </c>
      <c r="BB75" s="72">
        <v>0</v>
      </c>
      <c r="BC75" s="72">
        <v>0</v>
      </c>
      <c r="BD75" s="72">
        <v>0</v>
      </c>
      <c r="BE75" s="72">
        <v>0</v>
      </c>
      <c r="BF75" s="72">
        <v>44907</v>
      </c>
      <c r="BG75" s="72">
        <v>0</v>
      </c>
      <c r="BH75" s="72">
        <v>44907.39</v>
      </c>
      <c r="BI75" s="72">
        <v>0</v>
      </c>
      <c r="BJ75" s="72">
        <v>0</v>
      </c>
      <c r="BK75" s="131">
        <v>0</v>
      </c>
      <c r="BL75" s="131">
        <v>1848</v>
      </c>
      <c r="BM75" s="131">
        <v>0</v>
      </c>
      <c r="BN75" s="131">
        <v>0</v>
      </c>
      <c r="BO75" s="131">
        <v>0</v>
      </c>
      <c r="BP75" s="131"/>
      <c r="BQ75" s="72">
        <f t="shared" si="3"/>
        <v>-6.0000000055879354E-2</v>
      </c>
    </row>
    <row r="76" spans="1:69">
      <c r="A76" s="131">
        <v>3509</v>
      </c>
      <c r="B76" s="131" t="s">
        <v>100</v>
      </c>
      <c r="C76" s="131">
        <v>46873</v>
      </c>
      <c r="D76" s="131"/>
      <c r="E76" s="410">
        <v>0</v>
      </c>
      <c r="F76" s="416">
        <f t="shared" si="4"/>
        <v>46873</v>
      </c>
      <c r="G76" s="413">
        <v>1051250</v>
      </c>
      <c r="H76" s="72">
        <v>0</v>
      </c>
      <c r="I76" s="72">
        <v>98220</v>
      </c>
      <c r="J76" s="131">
        <v>0</v>
      </c>
      <c r="K76" s="72">
        <v>45744.01</v>
      </c>
      <c r="L76" s="72">
        <v>19980</v>
      </c>
      <c r="M76" s="72">
        <v>10916.62</v>
      </c>
      <c r="N76" s="72">
        <v>27966.36</v>
      </c>
      <c r="O76" s="72">
        <v>62341.17</v>
      </c>
      <c r="P76" s="72">
        <v>12353.53</v>
      </c>
      <c r="Q76" s="72">
        <v>0</v>
      </c>
      <c r="R76" s="72">
        <v>77068.08</v>
      </c>
      <c r="S76" s="72">
        <v>24.5</v>
      </c>
      <c r="T76" s="72">
        <v>0</v>
      </c>
      <c r="U76" s="72">
        <v>0</v>
      </c>
      <c r="V76" s="72">
        <v>0</v>
      </c>
      <c r="W76" s="72">
        <v>5668</v>
      </c>
      <c r="X76" s="400">
        <f>598041.28-9548</f>
        <v>588493.28</v>
      </c>
      <c r="Y76" s="400">
        <f>-9548+9548</f>
        <v>0</v>
      </c>
      <c r="Z76" s="72">
        <v>258389.32</v>
      </c>
      <c r="AA76" s="72">
        <v>33706.019999999997</v>
      </c>
      <c r="AB76" s="72">
        <v>45722.37</v>
      </c>
      <c r="AC76" s="72">
        <v>0</v>
      </c>
      <c r="AD76" s="72">
        <v>16803.580000000002</v>
      </c>
      <c r="AE76" s="72">
        <v>11359.2</v>
      </c>
      <c r="AF76" s="72">
        <v>4328.55</v>
      </c>
      <c r="AG76" s="72">
        <v>12107.21</v>
      </c>
      <c r="AH76" s="72">
        <v>2354.94</v>
      </c>
      <c r="AI76" s="72">
        <v>7295.07</v>
      </c>
      <c r="AJ76" s="72">
        <v>236.48</v>
      </c>
      <c r="AK76" s="72">
        <v>890.56</v>
      </c>
      <c r="AL76" s="72">
        <v>3043.56</v>
      </c>
      <c r="AM76" s="72">
        <v>24483.63</v>
      </c>
      <c r="AN76" s="72">
        <v>0</v>
      </c>
      <c r="AO76" s="72">
        <v>7797.23</v>
      </c>
      <c r="AP76" s="72">
        <v>87795.71</v>
      </c>
      <c r="AQ76" s="72">
        <v>62839.06</v>
      </c>
      <c r="AR76" s="72">
        <v>0</v>
      </c>
      <c r="AS76" s="72">
        <v>7692.79</v>
      </c>
      <c r="AT76" s="72">
        <v>6111.39</v>
      </c>
      <c r="AU76" s="72">
        <v>11401.91</v>
      </c>
      <c r="AV76" s="72">
        <v>71336.94</v>
      </c>
      <c r="AW76" s="72">
        <v>21832.48</v>
      </c>
      <c r="AX76" s="72">
        <v>35992.93</v>
      </c>
      <c r="AY76" s="72">
        <v>28347.95</v>
      </c>
      <c r="AZ76" s="72">
        <v>0</v>
      </c>
      <c r="BA76" s="72">
        <v>0</v>
      </c>
      <c r="BB76" s="72">
        <v>0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131">
        <v>0</v>
      </c>
      <c r="BL76" s="131">
        <v>108043</v>
      </c>
      <c r="BM76" s="131">
        <v>0</v>
      </c>
      <c r="BN76" s="131">
        <v>0</v>
      </c>
      <c r="BO76" s="131">
        <v>0</v>
      </c>
      <c r="BP76" s="131"/>
      <c r="BQ76" s="72">
        <f t="shared" si="3"/>
        <v>0.11000000056810677</v>
      </c>
    </row>
    <row r="77" spans="1:69">
      <c r="A77" s="131">
        <v>3311</v>
      </c>
      <c r="B77" s="131" t="s">
        <v>103</v>
      </c>
      <c r="C77" s="131">
        <v>105234</v>
      </c>
      <c r="D77" s="131"/>
      <c r="E77" s="410">
        <v>0</v>
      </c>
      <c r="F77" s="416">
        <f t="shared" si="4"/>
        <v>105234</v>
      </c>
      <c r="G77" s="413">
        <v>1766601</v>
      </c>
      <c r="H77" s="72">
        <v>0</v>
      </c>
      <c r="I77" s="72">
        <v>40674</v>
      </c>
      <c r="J77" s="131">
        <v>0</v>
      </c>
      <c r="K77" s="72">
        <v>33355.01</v>
      </c>
      <c r="L77" s="72">
        <v>14300</v>
      </c>
      <c r="M77" s="72">
        <v>2067.6</v>
      </c>
      <c r="N77" s="72">
        <v>34033.99</v>
      </c>
      <c r="O77" s="72">
        <v>93350.03</v>
      </c>
      <c r="P77" s="72">
        <v>0</v>
      </c>
      <c r="Q77" s="72">
        <v>0</v>
      </c>
      <c r="R77" s="72">
        <v>66431.98</v>
      </c>
      <c r="S77" s="72">
        <v>13806.67</v>
      </c>
      <c r="T77" s="72">
        <v>0</v>
      </c>
      <c r="U77" s="72">
        <v>0</v>
      </c>
      <c r="V77" s="72">
        <v>0</v>
      </c>
      <c r="W77" s="72">
        <v>6011</v>
      </c>
      <c r="X77" s="72">
        <v>940612.78</v>
      </c>
      <c r="Y77" s="72">
        <v>1421</v>
      </c>
      <c r="Z77" s="72">
        <v>413527.76</v>
      </c>
      <c r="AA77" s="72">
        <v>63523.44</v>
      </c>
      <c r="AB77" s="72">
        <v>75166.55</v>
      </c>
      <c r="AC77" s="72">
        <v>0</v>
      </c>
      <c r="AD77" s="72">
        <v>51974.81</v>
      </c>
      <c r="AE77" s="72">
        <v>6445.23</v>
      </c>
      <c r="AF77" s="72">
        <v>3591.1</v>
      </c>
      <c r="AG77" s="72">
        <v>1472.26</v>
      </c>
      <c r="AH77" s="72">
        <v>3000</v>
      </c>
      <c r="AI77" s="72">
        <v>18624.830000000002</v>
      </c>
      <c r="AJ77" s="72">
        <v>5942</v>
      </c>
      <c r="AK77" s="72">
        <v>19290.02</v>
      </c>
      <c r="AL77" s="72">
        <v>6774.74</v>
      </c>
      <c r="AM77" s="72">
        <v>30512.23</v>
      </c>
      <c r="AN77" s="72">
        <v>0</v>
      </c>
      <c r="AO77" s="72">
        <v>9773.7099999999991</v>
      </c>
      <c r="AP77" s="72">
        <v>98145.8</v>
      </c>
      <c r="AQ77" s="72">
        <v>18675.29</v>
      </c>
      <c r="AR77" s="72">
        <v>0</v>
      </c>
      <c r="AS77" s="72">
        <v>9453.1299999999992</v>
      </c>
      <c r="AT77" s="72">
        <v>3644.66</v>
      </c>
      <c r="AU77" s="72">
        <v>6663.31</v>
      </c>
      <c r="AV77" s="72">
        <v>94022.94</v>
      </c>
      <c r="AW77" s="72">
        <v>66551.360000000001</v>
      </c>
      <c r="AX77" s="72">
        <v>57831.4</v>
      </c>
      <c r="AY77" s="72">
        <v>35773.89</v>
      </c>
      <c r="AZ77" s="72">
        <v>0</v>
      </c>
      <c r="BA77" s="72">
        <v>28454.17</v>
      </c>
      <c r="BB77" s="72">
        <v>0</v>
      </c>
      <c r="BC77" s="72">
        <v>0</v>
      </c>
      <c r="BD77" s="72">
        <v>0</v>
      </c>
      <c r="BE77" s="72">
        <v>27850.81</v>
      </c>
      <c r="BF77" s="72">
        <v>28454.17</v>
      </c>
      <c r="BG77" s="72">
        <v>0</v>
      </c>
      <c r="BH77" s="72">
        <v>25554.22</v>
      </c>
      <c r="BI77" s="72">
        <v>0</v>
      </c>
      <c r="BJ77" s="72">
        <v>30750.76</v>
      </c>
      <c r="BK77" s="131">
        <v>0</v>
      </c>
      <c r="BL77" s="131">
        <v>104997</v>
      </c>
      <c r="BM77" s="131">
        <v>0</v>
      </c>
      <c r="BN77" s="131">
        <v>0</v>
      </c>
      <c r="BO77" s="131">
        <v>0</v>
      </c>
      <c r="BP77" s="131"/>
      <c r="BQ77" s="72">
        <f t="shared" si="3"/>
        <v>-0.12999999942258</v>
      </c>
    </row>
    <row r="78" spans="1:69">
      <c r="A78" s="131">
        <v>3521</v>
      </c>
      <c r="B78" s="131" t="s">
        <v>462</v>
      </c>
      <c r="C78" s="131">
        <v>182728</v>
      </c>
      <c r="D78" s="131"/>
      <c r="E78" s="410">
        <v>0</v>
      </c>
      <c r="F78" s="416">
        <f t="shared" si="4"/>
        <v>182728</v>
      </c>
      <c r="G78" s="413">
        <v>1956079.47</v>
      </c>
      <c r="H78" s="72">
        <v>0</v>
      </c>
      <c r="I78" s="72">
        <v>92567.92</v>
      </c>
      <c r="J78" s="131">
        <v>0</v>
      </c>
      <c r="K78" s="72">
        <v>103876.75</v>
      </c>
      <c r="L78" s="72">
        <v>1622</v>
      </c>
      <c r="M78" s="72">
        <v>25271.59</v>
      </c>
      <c r="N78" s="72">
        <v>2916.89</v>
      </c>
      <c r="O78" s="72">
        <v>70299.199999999997</v>
      </c>
      <c r="P78" s="72">
        <v>0</v>
      </c>
      <c r="Q78" s="72">
        <v>1350</v>
      </c>
      <c r="R78" s="72">
        <v>25042.69</v>
      </c>
      <c r="S78" s="72">
        <v>4651.7</v>
      </c>
      <c r="T78" s="72">
        <v>0</v>
      </c>
      <c r="U78" s="72">
        <v>0</v>
      </c>
      <c r="V78" s="72">
        <v>0</v>
      </c>
      <c r="W78" s="72">
        <v>5998</v>
      </c>
      <c r="X78" s="72">
        <v>1078170</v>
      </c>
      <c r="Y78" s="72">
        <v>0</v>
      </c>
      <c r="Z78" s="72">
        <v>462719.93</v>
      </c>
      <c r="AA78" s="72">
        <v>31527.15</v>
      </c>
      <c r="AB78" s="72">
        <v>49263.76</v>
      </c>
      <c r="AC78" s="72">
        <v>0</v>
      </c>
      <c r="AD78" s="72">
        <v>46539.68</v>
      </c>
      <c r="AE78" s="72">
        <v>8709.18</v>
      </c>
      <c r="AF78" s="72">
        <v>21402.52</v>
      </c>
      <c r="AG78" s="72">
        <v>15466.38</v>
      </c>
      <c r="AH78" s="72">
        <v>4564.43</v>
      </c>
      <c r="AI78" s="72">
        <v>32714.03</v>
      </c>
      <c r="AJ78" s="72">
        <v>2929.13</v>
      </c>
      <c r="AK78" s="72">
        <v>24801.03</v>
      </c>
      <c r="AL78" s="72">
        <v>5762.06</v>
      </c>
      <c r="AM78" s="72">
        <v>29389.759999999998</v>
      </c>
      <c r="AN78" s="72">
        <v>0</v>
      </c>
      <c r="AO78" s="72">
        <v>12557.71</v>
      </c>
      <c r="AP78" s="72">
        <v>90196.76</v>
      </c>
      <c r="AQ78" s="72">
        <v>26183.8</v>
      </c>
      <c r="AR78" s="72">
        <v>0</v>
      </c>
      <c r="AS78" s="72">
        <v>34010.239999999998</v>
      </c>
      <c r="AT78" s="72">
        <v>5179.07</v>
      </c>
      <c r="AU78" s="72">
        <v>9207.39</v>
      </c>
      <c r="AV78" s="72">
        <v>97838.05</v>
      </c>
      <c r="AW78" s="72">
        <v>95670.5</v>
      </c>
      <c r="AX78" s="72">
        <v>78361.98</v>
      </c>
      <c r="AY78" s="72">
        <v>63189.61</v>
      </c>
      <c r="AZ78" s="72">
        <v>0</v>
      </c>
      <c r="BA78" s="72">
        <v>0</v>
      </c>
      <c r="BB78" s="72">
        <v>0</v>
      </c>
      <c r="BC78" s="72">
        <v>0</v>
      </c>
      <c r="BD78" s="72">
        <v>0</v>
      </c>
      <c r="BE78" s="72">
        <v>0</v>
      </c>
      <c r="BF78" s="72">
        <v>0</v>
      </c>
      <c r="BG78" s="72">
        <v>0</v>
      </c>
      <c r="BH78" s="72">
        <v>0</v>
      </c>
      <c r="BI78" s="72">
        <v>0</v>
      </c>
      <c r="BJ78" s="72">
        <v>0</v>
      </c>
      <c r="BK78" s="131">
        <v>1827</v>
      </c>
      <c r="BL78" s="131">
        <v>144223</v>
      </c>
      <c r="BM78" s="131">
        <v>0</v>
      </c>
      <c r="BN78" s="131">
        <v>0</v>
      </c>
      <c r="BO78" s="131">
        <v>0</v>
      </c>
      <c r="BP78" s="131"/>
      <c r="BQ78" s="72">
        <f t="shared" si="3"/>
        <v>6.0000000521540642E-2</v>
      </c>
    </row>
    <row r="79" spans="1:69">
      <c r="A79" s="131">
        <v>3312</v>
      </c>
      <c r="B79" s="71" t="s">
        <v>102</v>
      </c>
      <c r="C79" s="131">
        <v>100908</v>
      </c>
      <c r="D79" s="131"/>
      <c r="E79" s="410">
        <v>0</v>
      </c>
      <c r="F79" s="416">
        <f t="shared" si="4"/>
        <v>100908</v>
      </c>
      <c r="G79" s="413">
        <v>875038</v>
      </c>
      <c r="H79" s="72">
        <v>0</v>
      </c>
      <c r="I79" s="72">
        <v>81943</v>
      </c>
      <c r="J79" s="131">
        <v>0</v>
      </c>
      <c r="K79" s="72">
        <v>27113.8</v>
      </c>
      <c r="L79" s="72">
        <v>1950</v>
      </c>
      <c r="M79" s="72">
        <v>3661</v>
      </c>
      <c r="N79" s="400">
        <f>44238.1-2394</f>
        <v>41844.1</v>
      </c>
      <c r="O79" s="72">
        <v>51223.49</v>
      </c>
      <c r="P79" s="400">
        <f>-2394+2394</f>
        <v>0</v>
      </c>
      <c r="Q79" s="72">
        <v>0</v>
      </c>
      <c r="R79" s="72">
        <v>40401.01</v>
      </c>
      <c r="S79" s="72">
        <v>15346.19</v>
      </c>
      <c r="T79" s="72">
        <v>0</v>
      </c>
      <c r="U79" s="72">
        <v>0</v>
      </c>
      <c r="V79" s="72">
        <v>0</v>
      </c>
      <c r="W79" s="72">
        <v>5455</v>
      </c>
      <c r="X79" s="72">
        <v>568530.23</v>
      </c>
      <c r="Y79" s="72">
        <v>7795.66</v>
      </c>
      <c r="Z79" s="72">
        <v>204930.34</v>
      </c>
      <c r="AA79" s="72">
        <v>26090.880000000001</v>
      </c>
      <c r="AB79" s="72">
        <v>32126.31</v>
      </c>
      <c r="AC79" s="72">
        <v>500</v>
      </c>
      <c r="AD79" s="72">
        <v>3975.01</v>
      </c>
      <c r="AE79" s="72">
        <v>9627.25</v>
      </c>
      <c r="AF79" s="72">
        <v>6075.86</v>
      </c>
      <c r="AG79" s="72">
        <v>9846.02</v>
      </c>
      <c r="AH79" s="72">
        <v>3361.59</v>
      </c>
      <c r="AI79" s="72">
        <v>27080.25</v>
      </c>
      <c r="AJ79" s="72">
        <v>5246.12</v>
      </c>
      <c r="AK79" s="72">
        <v>16100.26</v>
      </c>
      <c r="AL79" s="72">
        <v>2326.0500000000002</v>
      </c>
      <c r="AM79" s="72">
        <v>9596.4699999999993</v>
      </c>
      <c r="AN79" s="72">
        <v>0</v>
      </c>
      <c r="AO79" s="72">
        <v>7365.57</v>
      </c>
      <c r="AP79" s="72">
        <v>85540.34</v>
      </c>
      <c r="AQ79" s="72">
        <v>18678.59</v>
      </c>
      <c r="AR79" s="72">
        <v>0</v>
      </c>
      <c r="AS79" s="72">
        <v>3186.92</v>
      </c>
      <c r="AT79" s="72">
        <v>5887.29</v>
      </c>
      <c r="AU79" s="72">
        <v>7214.16</v>
      </c>
      <c r="AV79" s="72">
        <v>51978.879999999997</v>
      </c>
      <c r="AW79" s="72">
        <v>370</v>
      </c>
      <c r="AX79" s="72">
        <v>27769.59</v>
      </c>
      <c r="AY79" s="72">
        <v>35169.25</v>
      </c>
      <c r="AZ79" s="72">
        <v>0</v>
      </c>
      <c r="BA79" s="72">
        <v>20216</v>
      </c>
      <c r="BB79" s="72">
        <v>0</v>
      </c>
      <c r="BC79" s="72">
        <v>0</v>
      </c>
      <c r="BD79" s="72">
        <v>7520</v>
      </c>
      <c r="BE79" s="72">
        <v>0</v>
      </c>
      <c r="BF79" s="72">
        <v>12408</v>
      </c>
      <c r="BG79" s="72">
        <v>0</v>
      </c>
      <c r="BH79" s="72">
        <v>20216</v>
      </c>
      <c r="BI79" s="72">
        <v>0</v>
      </c>
      <c r="BJ79" s="72">
        <v>7520</v>
      </c>
      <c r="BK79" s="131">
        <v>0</v>
      </c>
      <c r="BL79" s="131">
        <v>48299</v>
      </c>
      <c r="BM79" s="131">
        <v>0</v>
      </c>
      <c r="BN79" s="131">
        <v>-7808</v>
      </c>
      <c r="BO79" s="131">
        <v>0</v>
      </c>
      <c r="BP79" s="131"/>
      <c r="BQ79" s="72">
        <f t="shared" si="3"/>
        <v>-0.29999999981373549</v>
      </c>
    </row>
    <row r="80" spans="1:69">
      <c r="A80" s="131">
        <v>3313</v>
      </c>
      <c r="B80" s="131" t="s">
        <v>104</v>
      </c>
      <c r="C80" s="131">
        <v>182501</v>
      </c>
      <c r="D80" s="131"/>
      <c r="E80" s="410">
        <v>0</v>
      </c>
      <c r="F80" s="416">
        <f t="shared" si="4"/>
        <v>182501</v>
      </c>
      <c r="G80" s="413">
        <v>1012426</v>
      </c>
      <c r="H80" s="72">
        <v>0</v>
      </c>
      <c r="I80" s="72">
        <v>51438</v>
      </c>
      <c r="J80" s="131">
        <v>0</v>
      </c>
      <c r="K80" s="72">
        <v>50509.01</v>
      </c>
      <c r="L80" s="72">
        <v>0</v>
      </c>
      <c r="M80" s="72">
        <v>2195</v>
      </c>
      <c r="N80" s="400">
        <f>5384.4-623.6</f>
        <v>4760.7999999999993</v>
      </c>
      <c r="O80" s="72">
        <v>31128.14</v>
      </c>
      <c r="P80" s="72">
        <v>0</v>
      </c>
      <c r="Q80" s="72">
        <v>320</v>
      </c>
      <c r="R80" s="406">
        <f>15510.6-16134.2+623.6</f>
        <v>0</v>
      </c>
      <c r="S80" s="400">
        <f>-16134.2+16134.2</f>
        <v>0</v>
      </c>
      <c r="T80" s="72">
        <v>0</v>
      </c>
      <c r="U80" s="72">
        <v>0</v>
      </c>
      <c r="V80" s="72">
        <v>0</v>
      </c>
      <c r="W80" s="72">
        <v>5422</v>
      </c>
      <c r="X80" s="72">
        <v>537274.68999999994</v>
      </c>
      <c r="Y80" s="72">
        <v>17775.77</v>
      </c>
      <c r="Z80" s="72">
        <v>196626.89</v>
      </c>
      <c r="AA80" s="72">
        <v>25975.439999999999</v>
      </c>
      <c r="AB80" s="72">
        <v>24923.96</v>
      </c>
      <c r="AC80" s="72">
        <v>0</v>
      </c>
      <c r="AD80" s="72">
        <v>23183.82</v>
      </c>
      <c r="AE80" s="72">
        <v>19566.68</v>
      </c>
      <c r="AF80" s="72">
        <v>1835.14</v>
      </c>
      <c r="AG80" s="72">
        <v>9514.39</v>
      </c>
      <c r="AH80" s="72">
        <v>4254.57</v>
      </c>
      <c r="AI80" s="72">
        <v>18515.84</v>
      </c>
      <c r="AJ80" s="72">
        <v>3440.35</v>
      </c>
      <c r="AK80" s="72">
        <v>14062.46</v>
      </c>
      <c r="AL80" s="72">
        <v>1958.3</v>
      </c>
      <c r="AM80" s="72">
        <v>9447.3700000000008</v>
      </c>
      <c r="AN80" s="72">
        <v>0</v>
      </c>
      <c r="AO80" s="72">
        <v>7128</v>
      </c>
      <c r="AP80" s="72">
        <v>62778.239999999998</v>
      </c>
      <c r="AQ80" s="72">
        <v>27989.59</v>
      </c>
      <c r="AR80" s="72">
        <v>0</v>
      </c>
      <c r="AS80" s="72">
        <v>6577.93</v>
      </c>
      <c r="AT80" s="72">
        <v>6806.7</v>
      </c>
      <c r="AU80" s="72">
        <v>5932.68</v>
      </c>
      <c r="AV80" s="72">
        <v>45764.7</v>
      </c>
      <c r="AW80" s="72">
        <v>31510</v>
      </c>
      <c r="AX80" s="72">
        <v>26226.77</v>
      </c>
      <c r="AY80" s="72">
        <v>23686.57</v>
      </c>
      <c r="AZ80" s="72">
        <v>0</v>
      </c>
      <c r="BA80" s="72">
        <v>0</v>
      </c>
      <c r="BB80" s="72">
        <v>0</v>
      </c>
      <c r="BC80" s="72">
        <v>0</v>
      </c>
      <c r="BD80" s="72">
        <v>0</v>
      </c>
      <c r="BE80" s="72">
        <v>0</v>
      </c>
      <c r="BF80" s="72">
        <v>0</v>
      </c>
      <c r="BG80" s="72">
        <v>0</v>
      </c>
      <c r="BH80" s="72">
        <v>0</v>
      </c>
      <c r="BI80" s="72">
        <v>0</v>
      </c>
      <c r="BJ80" s="72">
        <v>0</v>
      </c>
      <c r="BK80" s="131">
        <v>328</v>
      </c>
      <c r="BL80" s="131">
        <v>187615</v>
      </c>
      <c r="BM80" s="131">
        <v>0</v>
      </c>
      <c r="BN80" s="131">
        <v>0</v>
      </c>
      <c r="BO80" s="131">
        <v>0</v>
      </c>
      <c r="BP80" s="131"/>
      <c r="BQ80" s="72">
        <f t="shared" si="3"/>
        <v>0.10000000009313226</v>
      </c>
    </row>
    <row r="81" spans="1:69">
      <c r="A81" s="131">
        <v>3314</v>
      </c>
      <c r="B81" s="131" t="s">
        <v>105</v>
      </c>
      <c r="C81" s="131">
        <v>56803</v>
      </c>
      <c r="D81" s="131"/>
      <c r="E81" s="410">
        <v>0</v>
      </c>
      <c r="F81" s="416">
        <f t="shared" si="4"/>
        <v>56803</v>
      </c>
      <c r="G81" s="413">
        <v>853363</v>
      </c>
      <c r="H81" s="72">
        <v>0</v>
      </c>
      <c r="I81" s="72">
        <v>78424</v>
      </c>
      <c r="J81" s="131">
        <v>0</v>
      </c>
      <c r="K81" s="72">
        <v>15248</v>
      </c>
      <c r="L81" s="72">
        <v>0</v>
      </c>
      <c r="M81" s="72">
        <v>9855</v>
      </c>
      <c r="N81" s="72">
        <v>33241.910000000003</v>
      </c>
      <c r="O81" s="72">
        <v>45517.68</v>
      </c>
      <c r="P81" s="72">
        <v>0</v>
      </c>
      <c r="Q81" s="72">
        <v>0</v>
      </c>
      <c r="R81" s="72">
        <v>35855.06</v>
      </c>
      <c r="S81" s="72">
        <v>9369.3700000000008</v>
      </c>
      <c r="T81" s="72">
        <v>0</v>
      </c>
      <c r="U81" s="72">
        <v>0</v>
      </c>
      <c r="V81" s="72">
        <v>0</v>
      </c>
      <c r="W81" s="72">
        <v>5432</v>
      </c>
      <c r="X81" s="72">
        <v>516653.44</v>
      </c>
      <c r="Y81" s="72">
        <v>5584.2</v>
      </c>
      <c r="Z81" s="72">
        <v>143008.45000000001</v>
      </c>
      <c r="AA81" s="72">
        <v>34010.22</v>
      </c>
      <c r="AB81" s="72">
        <v>41539.589999999997</v>
      </c>
      <c r="AC81" s="72">
        <v>0</v>
      </c>
      <c r="AD81" s="72">
        <v>24597.53</v>
      </c>
      <c r="AE81" s="72">
        <v>4625.66</v>
      </c>
      <c r="AF81" s="72">
        <v>5452.25</v>
      </c>
      <c r="AG81" s="72">
        <v>7915.95</v>
      </c>
      <c r="AH81" s="72">
        <v>1159.32</v>
      </c>
      <c r="AI81" s="72">
        <v>31562.26</v>
      </c>
      <c r="AJ81" s="72">
        <v>1087.03</v>
      </c>
      <c r="AK81" s="72">
        <v>2324.85</v>
      </c>
      <c r="AL81" s="72">
        <v>4497.8999999999996</v>
      </c>
      <c r="AM81" s="72">
        <v>13048.89</v>
      </c>
      <c r="AN81" s="72">
        <v>0</v>
      </c>
      <c r="AO81" s="72">
        <v>6561.17</v>
      </c>
      <c r="AP81" s="72">
        <v>78616.92</v>
      </c>
      <c r="AQ81" s="72">
        <v>31727.37</v>
      </c>
      <c r="AR81" s="72">
        <v>0</v>
      </c>
      <c r="AS81" s="72">
        <v>9394.52</v>
      </c>
      <c r="AT81" s="72">
        <v>6701.74</v>
      </c>
      <c r="AU81" s="72">
        <v>8265.2099999999991</v>
      </c>
      <c r="AV81" s="72">
        <v>48520.58</v>
      </c>
      <c r="AW81" s="72">
        <v>35160</v>
      </c>
      <c r="AX81" s="72">
        <v>14440</v>
      </c>
      <c r="AY81" s="72">
        <v>26441.09</v>
      </c>
      <c r="AZ81" s="72">
        <v>0</v>
      </c>
      <c r="BA81" s="72">
        <v>0</v>
      </c>
      <c r="BB81" s="72">
        <v>0</v>
      </c>
      <c r="BC81" s="72">
        <v>0</v>
      </c>
      <c r="BD81" s="72">
        <v>0</v>
      </c>
      <c r="BE81" s="72">
        <v>0</v>
      </c>
      <c r="BF81" s="72">
        <v>0</v>
      </c>
      <c r="BG81" s="72">
        <v>0</v>
      </c>
      <c r="BH81" s="72">
        <v>0</v>
      </c>
      <c r="BI81" s="72">
        <v>0</v>
      </c>
      <c r="BJ81" s="72">
        <v>0</v>
      </c>
      <c r="BK81" s="131">
        <v>0</v>
      </c>
      <c r="BL81" s="131">
        <v>40213</v>
      </c>
      <c r="BM81" s="131">
        <v>0</v>
      </c>
      <c r="BN81" s="131">
        <v>0</v>
      </c>
      <c r="BO81" s="131">
        <v>0</v>
      </c>
      <c r="BP81" s="131"/>
      <c r="BQ81" s="72">
        <f t="shared" si="3"/>
        <v>-0.11999999987892807</v>
      </c>
    </row>
    <row r="82" spans="1:69">
      <c r="A82" s="131">
        <v>3507</v>
      </c>
      <c r="B82" s="131" t="s">
        <v>106</v>
      </c>
      <c r="C82" s="131">
        <v>31659</v>
      </c>
      <c r="D82" s="131"/>
      <c r="E82" s="410">
        <v>1</v>
      </c>
      <c r="F82" s="416">
        <f t="shared" si="4"/>
        <v>31660</v>
      </c>
      <c r="G82" s="413">
        <v>968784</v>
      </c>
      <c r="H82" s="72">
        <v>0</v>
      </c>
      <c r="I82" s="72">
        <v>0</v>
      </c>
      <c r="J82" s="131">
        <v>0</v>
      </c>
      <c r="K82" s="72">
        <v>26684</v>
      </c>
      <c r="L82" s="72">
        <v>4100</v>
      </c>
      <c r="M82" s="72">
        <v>3935</v>
      </c>
      <c r="N82" s="72">
        <v>12683.64</v>
      </c>
      <c r="O82" s="72">
        <v>48952.88</v>
      </c>
      <c r="P82" s="72">
        <v>4200</v>
      </c>
      <c r="Q82" s="72">
        <v>0</v>
      </c>
      <c r="R82" s="72">
        <v>27602.1</v>
      </c>
      <c r="S82" s="72">
        <v>25996.57</v>
      </c>
      <c r="T82" s="72">
        <v>0</v>
      </c>
      <c r="U82" s="72">
        <v>0</v>
      </c>
      <c r="V82" s="72">
        <v>0</v>
      </c>
      <c r="W82" s="72">
        <v>5435</v>
      </c>
      <c r="X82" s="72">
        <v>451672.07</v>
      </c>
      <c r="Y82" s="72">
        <v>973.26</v>
      </c>
      <c r="Z82" s="72">
        <v>110563.09</v>
      </c>
      <c r="AA82" s="72">
        <v>49153.08</v>
      </c>
      <c r="AB82" s="72">
        <v>35160.65</v>
      </c>
      <c r="AC82" s="72">
        <v>0</v>
      </c>
      <c r="AD82" s="72">
        <v>25387.439999999999</v>
      </c>
      <c r="AE82" s="72">
        <v>21050.86</v>
      </c>
      <c r="AF82" s="72">
        <v>7842.89</v>
      </c>
      <c r="AG82" s="72">
        <v>8782.51</v>
      </c>
      <c r="AH82" s="72">
        <v>932.79</v>
      </c>
      <c r="AI82" s="72">
        <v>22519.43</v>
      </c>
      <c r="AJ82" s="72">
        <v>763.05</v>
      </c>
      <c r="AK82" s="72">
        <v>443.44</v>
      </c>
      <c r="AL82" s="72">
        <v>2379.77</v>
      </c>
      <c r="AM82" s="72">
        <v>11384.77</v>
      </c>
      <c r="AN82" s="72">
        <v>0</v>
      </c>
      <c r="AO82" s="72">
        <v>5177.7299999999996</v>
      </c>
      <c r="AP82" s="72">
        <v>89696.35</v>
      </c>
      <c r="AQ82" s="72">
        <v>17189.45</v>
      </c>
      <c r="AR82" s="72">
        <v>0</v>
      </c>
      <c r="AS82" s="72">
        <v>7435.23</v>
      </c>
      <c r="AT82" s="72">
        <v>4353.28</v>
      </c>
      <c r="AU82" s="72">
        <v>9080.83</v>
      </c>
      <c r="AV82" s="72">
        <v>57221.57</v>
      </c>
      <c r="AW82" s="72">
        <v>60899.88</v>
      </c>
      <c r="AX82" s="72">
        <v>45074.82</v>
      </c>
      <c r="AY82" s="72">
        <v>29753.37</v>
      </c>
      <c r="AZ82" s="72">
        <v>0</v>
      </c>
      <c r="BA82" s="72">
        <v>8021.57</v>
      </c>
      <c r="BB82" s="72">
        <v>0</v>
      </c>
      <c r="BC82" s="72">
        <v>0</v>
      </c>
      <c r="BD82" s="72">
        <v>0</v>
      </c>
      <c r="BE82" s="72">
        <v>0.79</v>
      </c>
      <c r="BF82" s="72">
        <v>8021.57</v>
      </c>
      <c r="BG82" s="72">
        <v>0</v>
      </c>
      <c r="BH82" s="72">
        <v>0</v>
      </c>
      <c r="BI82" s="72">
        <v>0</v>
      </c>
      <c r="BJ82" s="72">
        <v>8021.57</v>
      </c>
      <c r="BK82" s="131">
        <v>8996</v>
      </c>
      <c r="BL82" s="131">
        <v>68123</v>
      </c>
      <c r="BM82" s="131">
        <v>0</v>
      </c>
      <c r="BN82" s="131">
        <v>2</v>
      </c>
      <c r="BO82" s="131">
        <v>0</v>
      </c>
      <c r="BP82" s="131"/>
      <c r="BQ82" s="72">
        <f t="shared" si="3"/>
        <v>-0.19999999972060323</v>
      </c>
    </row>
    <row r="83" spans="1:69">
      <c r="A83" s="131">
        <v>3506</v>
      </c>
      <c r="B83" s="131" t="s">
        <v>107</v>
      </c>
      <c r="C83" s="131">
        <v>67573</v>
      </c>
      <c r="D83" s="131"/>
      <c r="E83" s="410">
        <v>0</v>
      </c>
      <c r="F83" s="416">
        <f t="shared" si="4"/>
        <v>67573</v>
      </c>
      <c r="G83" s="413">
        <v>1301093</v>
      </c>
      <c r="H83" s="72">
        <v>0</v>
      </c>
      <c r="I83" s="72">
        <v>99429</v>
      </c>
      <c r="J83" s="131">
        <v>0</v>
      </c>
      <c r="K83" s="72">
        <v>49053.7</v>
      </c>
      <c r="L83" s="72">
        <v>6463.67</v>
      </c>
      <c r="M83" s="72">
        <v>23194.58</v>
      </c>
      <c r="N83" s="72">
        <v>16263.02</v>
      </c>
      <c r="O83" s="72">
        <v>53841.39</v>
      </c>
      <c r="P83" s="72">
        <v>9048</v>
      </c>
      <c r="Q83" s="72">
        <v>0</v>
      </c>
      <c r="R83" s="72">
        <v>30454.51</v>
      </c>
      <c r="S83" s="72">
        <v>11126.28</v>
      </c>
      <c r="T83" s="72">
        <v>0</v>
      </c>
      <c r="U83" s="72">
        <v>0</v>
      </c>
      <c r="V83" s="72">
        <v>0</v>
      </c>
      <c r="W83" s="72">
        <v>5739.36</v>
      </c>
      <c r="X83" s="72">
        <v>677828.27</v>
      </c>
      <c r="Y83" s="72">
        <v>15086.11</v>
      </c>
      <c r="Z83" s="72">
        <v>316447.7</v>
      </c>
      <c r="AA83" s="72">
        <v>41823.43</v>
      </c>
      <c r="AB83" s="72">
        <v>60180.61</v>
      </c>
      <c r="AC83" s="72">
        <v>0</v>
      </c>
      <c r="AD83" s="72">
        <v>0</v>
      </c>
      <c r="AE83" s="72">
        <v>23780.46</v>
      </c>
      <c r="AF83" s="72">
        <v>13564.65</v>
      </c>
      <c r="AG83" s="72">
        <v>9444.6</v>
      </c>
      <c r="AH83" s="72">
        <v>1548.79</v>
      </c>
      <c r="AI83" s="72">
        <v>22141.88</v>
      </c>
      <c r="AJ83" s="72">
        <v>7186.11</v>
      </c>
      <c r="AK83" s="72">
        <v>3711.16</v>
      </c>
      <c r="AL83" s="72">
        <v>3587.98</v>
      </c>
      <c r="AM83" s="72">
        <v>20788.3</v>
      </c>
      <c r="AN83" s="72">
        <v>0</v>
      </c>
      <c r="AO83" s="72">
        <v>8813.0499999999993</v>
      </c>
      <c r="AP83" s="72">
        <v>68925.88</v>
      </c>
      <c r="AQ83" s="72">
        <v>29042.61</v>
      </c>
      <c r="AR83" s="72">
        <v>0</v>
      </c>
      <c r="AS83" s="72">
        <v>9722.73</v>
      </c>
      <c r="AT83" s="72">
        <v>7977.05</v>
      </c>
      <c r="AU83" s="72">
        <v>3052.19</v>
      </c>
      <c r="AV83" s="72">
        <v>67955.06</v>
      </c>
      <c r="AW83" s="72">
        <v>28445</v>
      </c>
      <c r="AX83" s="72">
        <v>72311.13</v>
      </c>
      <c r="AY83" s="72">
        <v>49400.37</v>
      </c>
      <c r="AZ83" s="72">
        <v>0</v>
      </c>
      <c r="BA83" s="72">
        <v>0</v>
      </c>
      <c r="BB83" s="72">
        <v>0</v>
      </c>
      <c r="BC83" s="72">
        <v>0</v>
      </c>
      <c r="BD83" s="72">
        <v>0</v>
      </c>
      <c r="BE83" s="72">
        <v>0</v>
      </c>
      <c r="BF83" s="72">
        <v>0</v>
      </c>
      <c r="BG83" s="72">
        <v>0</v>
      </c>
      <c r="BH83" s="72">
        <v>0</v>
      </c>
      <c r="BI83" s="72">
        <v>0</v>
      </c>
      <c r="BJ83" s="72">
        <v>0</v>
      </c>
      <c r="BK83" s="131">
        <v>29231</v>
      </c>
      <c r="BL83" s="131">
        <v>81283</v>
      </c>
      <c r="BM83" s="131">
        <v>0</v>
      </c>
      <c r="BN83" s="131">
        <v>0</v>
      </c>
      <c r="BO83" s="131">
        <v>0</v>
      </c>
      <c r="BP83" s="131"/>
      <c r="BQ83" s="72">
        <f t="shared" si="3"/>
        <v>0.38999999989755452</v>
      </c>
    </row>
    <row r="84" spans="1:69">
      <c r="A84" s="131">
        <v>2052</v>
      </c>
      <c r="B84" s="131" t="s">
        <v>108</v>
      </c>
      <c r="C84" s="131">
        <v>42294</v>
      </c>
      <c r="D84" s="131"/>
      <c r="E84" s="410">
        <v>0</v>
      </c>
      <c r="F84" s="416">
        <f t="shared" si="4"/>
        <v>42294</v>
      </c>
      <c r="G84" s="413">
        <v>2204185.2599999998</v>
      </c>
      <c r="H84" s="72">
        <v>0</v>
      </c>
      <c r="I84" s="72">
        <v>212416</v>
      </c>
      <c r="J84" s="131">
        <v>0</v>
      </c>
      <c r="K84" s="72">
        <v>154686.01</v>
      </c>
      <c r="L84" s="72">
        <v>3750</v>
      </c>
      <c r="M84" s="72">
        <v>6908.1</v>
      </c>
      <c r="N84" s="72">
        <v>9554.9</v>
      </c>
      <c r="O84" s="72">
        <v>62773.01</v>
      </c>
      <c r="P84" s="72">
        <v>11442.4</v>
      </c>
      <c r="Q84" s="72">
        <v>5099.3999999999996</v>
      </c>
      <c r="R84" s="72">
        <v>15717.82</v>
      </c>
      <c r="S84" s="72">
        <v>10779.38</v>
      </c>
      <c r="T84" s="72">
        <v>0</v>
      </c>
      <c r="U84" s="72">
        <v>0</v>
      </c>
      <c r="V84" s="72">
        <v>0</v>
      </c>
      <c r="W84" s="72">
        <v>5975</v>
      </c>
      <c r="X84" s="72">
        <v>1241847.67</v>
      </c>
      <c r="Y84" s="72">
        <v>0</v>
      </c>
      <c r="Z84" s="72">
        <v>396180.23</v>
      </c>
      <c r="AA84" s="72">
        <v>47569.32</v>
      </c>
      <c r="AB84" s="72">
        <v>66041.98</v>
      </c>
      <c r="AC84" s="72">
        <v>50049.14</v>
      </c>
      <c r="AD84" s="72">
        <v>20057.689999999999</v>
      </c>
      <c r="AE84" s="72">
        <v>10281.93</v>
      </c>
      <c r="AF84" s="72">
        <v>7417.95</v>
      </c>
      <c r="AG84" s="72">
        <v>22069.360000000001</v>
      </c>
      <c r="AH84" s="72">
        <v>4027.63</v>
      </c>
      <c r="AI84" s="72">
        <v>34043.31</v>
      </c>
      <c r="AJ84" s="72">
        <v>8940.25</v>
      </c>
      <c r="AK84" s="72">
        <v>31157.040000000001</v>
      </c>
      <c r="AL84" s="72">
        <v>6023.69</v>
      </c>
      <c r="AM84" s="72">
        <v>40013.800000000003</v>
      </c>
      <c r="AN84" s="72">
        <v>23079</v>
      </c>
      <c r="AO84" s="72">
        <v>11367.4</v>
      </c>
      <c r="AP84" s="72">
        <v>110014.29</v>
      </c>
      <c r="AQ84" s="72">
        <v>57167.43</v>
      </c>
      <c r="AR84" s="72">
        <v>0.22</v>
      </c>
      <c r="AS84" s="72">
        <v>10395.57</v>
      </c>
      <c r="AT84" s="72">
        <v>18654.810000000001</v>
      </c>
      <c r="AU84" s="72">
        <v>9377.75</v>
      </c>
      <c r="AV84" s="72">
        <v>76450.490000000005</v>
      </c>
      <c r="AW84" s="72">
        <v>123816.15</v>
      </c>
      <c r="AX84" s="72">
        <v>114764.34</v>
      </c>
      <c r="AY84" s="72">
        <v>48736.69</v>
      </c>
      <c r="AZ84" s="72">
        <v>0</v>
      </c>
      <c r="BA84" s="72">
        <v>0</v>
      </c>
      <c r="BB84" s="72">
        <v>0</v>
      </c>
      <c r="BC84" s="72">
        <v>0</v>
      </c>
      <c r="BD84" s="72">
        <v>8432.51</v>
      </c>
      <c r="BE84" s="72">
        <v>0</v>
      </c>
      <c r="BF84" s="72">
        <v>0</v>
      </c>
      <c r="BG84" s="72">
        <v>0</v>
      </c>
      <c r="BH84" s="72">
        <v>5182.47</v>
      </c>
      <c r="BI84" s="72">
        <v>0</v>
      </c>
      <c r="BJ84" s="72">
        <v>0</v>
      </c>
      <c r="BK84" s="131">
        <v>0</v>
      </c>
      <c r="BL84" s="131">
        <v>156036</v>
      </c>
      <c r="BM84" s="131">
        <v>3250</v>
      </c>
      <c r="BN84" s="131">
        <v>0</v>
      </c>
      <c r="BO84" s="131">
        <v>0</v>
      </c>
      <c r="BP84" s="131"/>
      <c r="BQ84" s="72">
        <f t="shared" si="3"/>
        <v>0.18999999854713678</v>
      </c>
    </row>
    <row r="85" spans="1:69">
      <c r="A85" s="131">
        <v>2070</v>
      </c>
      <c r="B85" s="71" t="s">
        <v>109</v>
      </c>
      <c r="C85" s="131">
        <v>156482</v>
      </c>
      <c r="D85" s="131"/>
      <c r="E85" s="410">
        <v>0</v>
      </c>
      <c r="F85" s="416">
        <f t="shared" si="4"/>
        <v>156482</v>
      </c>
      <c r="G85" s="413">
        <v>1153930</v>
      </c>
      <c r="H85" s="72">
        <v>0</v>
      </c>
      <c r="I85" s="72">
        <v>81348</v>
      </c>
      <c r="J85" s="131">
        <v>0</v>
      </c>
      <c r="K85" s="72">
        <v>79099</v>
      </c>
      <c r="L85" s="72">
        <v>9687.42</v>
      </c>
      <c r="M85" s="72">
        <v>6959.27</v>
      </c>
      <c r="N85" s="72">
        <v>4986.32</v>
      </c>
      <c r="O85" s="72">
        <v>31257.58</v>
      </c>
      <c r="P85" s="72">
        <v>5130</v>
      </c>
      <c r="Q85" s="72">
        <v>10766.99</v>
      </c>
      <c r="R85" s="72">
        <v>15413.06</v>
      </c>
      <c r="S85" s="72">
        <v>3734.3</v>
      </c>
      <c r="T85" s="72">
        <v>0</v>
      </c>
      <c r="U85" s="72">
        <v>0</v>
      </c>
      <c r="V85" s="72">
        <v>0</v>
      </c>
      <c r="W85" s="72">
        <v>5429</v>
      </c>
      <c r="X85" s="72">
        <v>616388.06999999995</v>
      </c>
      <c r="Y85" s="72">
        <v>12085.9</v>
      </c>
      <c r="Z85" s="72">
        <v>312418.34000000003</v>
      </c>
      <c r="AA85" s="72">
        <v>46710.16</v>
      </c>
      <c r="AB85" s="72">
        <v>52013.08</v>
      </c>
      <c r="AC85" s="72">
        <v>0</v>
      </c>
      <c r="AD85" s="72">
        <v>28510.99</v>
      </c>
      <c r="AE85" s="72">
        <v>5407.7</v>
      </c>
      <c r="AF85" s="72">
        <v>10017.11</v>
      </c>
      <c r="AG85" s="72">
        <v>7994.72</v>
      </c>
      <c r="AH85" s="72">
        <v>6089.3</v>
      </c>
      <c r="AI85" s="72">
        <v>24655.17</v>
      </c>
      <c r="AJ85" s="72">
        <v>3397</v>
      </c>
      <c r="AK85" s="72">
        <v>2296.89</v>
      </c>
      <c r="AL85" s="72">
        <v>2677.18</v>
      </c>
      <c r="AM85" s="72">
        <v>13063.47</v>
      </c>
      <c r="AN85" s="72">
        <v>12481.5</v>
      </c>
      <c r="AO85" s="72">
        <v>5855.77</v>
      </c>
      <c r="AP85" s="72">
        <v>51883.75</v>
      </c>
      <c r="AQ85" s="72">
        <v>25676.85</v>
      </c>
      <c r="AR85" s="72">
        <v>0</v>
      </c>
      <c r="AS85" s="72">
        <v>11826.04</v>
      </c>
      <c r="AT85" s="72">
        <v>5161.47</v>
      </c>
      <c r="AU85" s="72">
        <v>3527.51</v>
      </c>
      <c r="AV85" s="72">
        <v>62240.41</v>
      </c>
      <c r="AW85" s="72">
        <v>13498</v>
      </c>
      <c r="AX85" s="72">
        <v>63268.33</v>
      </c>
      <c r="AY85" s="72">
        <v>16563.689999999999</v>
      </c>
      <c r="AZ85" s="72">
        <v>0</v>
      </c>
      <c r="BA85" s="72">
        <v>50019</v>
      </c>
      <c r="BB85" s="72">
        <v>0</v>
      </c>
      <c r="BC85" s="72">
        <v>0</v>
      </c>
      <c r="BD85" s="72">
        <v>6598.76</v>
      </c>
      <c r="BE85" s="72">
        <v>0</v>
      </c>
      <c r="BF85" s="72">
        <v>50019</v>
      </c>
      <c r="BG85" s="72">
        <v>0</v>
      </c>
      <c r="BH85" s="72">
        <v>39680.65</v>
      </c>
      <c r="BI85" s="72">
        <v>6706.89</v>
      </c>
      <c r="BJ85" s="72">
        <v>0</v>
      </c>
      <c r="BK85" s="131">
        <v>14024</v>
      </c>
      <c r="BL85" s="131">
        <v>84472</v>
      </c>
      <c r="BM85" s="131">
        <v>0</v>
      </c>
      <c r="BN85" s="131">
        <v>10230</v>
      </c>
      <c r="BO85" s="131">
        <v>0</v>
      </c>
      <c r="BP85" s="131"/>
      <c r="BQ85" s="72">
        <f t="shared" si="3"/>
        <v>-0.23999999952502549</v>
      </c>
    </row>
    <row r="86" spans="1:69">
      <c r="A86" s="131">
        <v>3316</v>
      </c>
      <c r="B86" s="131" t="s">
        <v>110</v>
      </c>
      <c r="C86" s="131">
        <v>37830</v>
      </c>
      <c r="D86" s="131"/>
      <c r="E86" s="410">
        <v>0</v>
      </c>
      <c r="F86" s="416">
        <f t="shared" si="4"/>
        <v>37830</v>
      </c>
      <c r="G86" s="413">
        <v>840814.23</v>
      </c>
      <c r="H86" s="72">
        <v>0</v>
      </c>
      <c r="I86" s="72">
        <v>0</v>
      </c>
      <c r="J86" s="131">
        <v>0</v>
      </c>
      <c r="K86" s="72">
        <v>18537.25</v>
      </c>
      <c r="L86" s="72">
        <v>980</v>
      </c>
      <c r="M86" s="72">
        <v>465</v>
      </c>
      <c r="N86" s="72">
        <v>2132.4</v>
      </c>
      <c r="O86" s="72">
        <v>48684.74</v>
      </c>
      <c r="P86" s="72">
        <v>0</v>
      </c>
      <c r="Q86" s="72">
        <v>1752</v>
      </c>
      <c r="R86" s="72">
        <v>27076.79</v>
      </c>
      <c r="S86" s="72">
        <v>6640</v>
      </c>
      <c r="T86" s="72">
        <v>0</v>
      </c>
      <c r="U86" s="72">
        <v>0</v>
      </c>
      <c r="V86" s="72">
        <v>0</v>
      </c>
      <c r="W86" s="72">
        <v>5442</v>
      </c>
      <c r="X86" s="72">
        <v>480893.07</v>
      </c>
      <c r="Y86" s="72">
        <v>12384.1</v>
      </c>
      <c r="Z86" s="72">
        <v>124545.12</v>
      </c>
      <c r="AA86" s="72">
        <v>24460.77</v>
      </c>
      <c r="AB86" s="72">
        <v>29126.720000000001</v>
      </c>
      <c r="AC86" s="72">
        <v>0</v>
      </c>
      <c r="AD86" s="72">
        <v>26588.43</v>
      </c>
      <c r="AE86" s="72">
        <v>7837.95</v>
      </c>
      <c r="AF86" s="72">
        <v>11022.86</v>
      </c>
      <c r="AG86" s="72">
        <v>5894.55</v>
      </c>
      <c r="AH86" s="72">
        <v>390.04</v>
      </c>
      <c r="AI86" s="72">
        <v>11761.17</v>
      </c>
      <c r="AJ86" s="72">
        <v>425.57</v>
      </c>
      <c r="AK86" s="72">
        <v>11089</v>
      </c>
      <c r="AL86" s="72">
        <v>1380.19</v>
      </c>
      <c r="AM86" s="72">
        <v>10962.11</v>
      </c>
      <c r="AN86" s="72">
        <v>0</v>
      </c>
      <c r="AO86" s="72">
        <v>6821.84</v>
      </c>
      <c r="AP86" s="72">
        <v>57014.85</v>
      </c>
      <c r="AQ86" s="72">
        <v>7267.6</v>
      </c>
      <c r="AR86" s="72">
        <v>0</v>
      </c>
      <c r="AS86" s="72">
        <v>3787.35</v>
      </c>
      <c r="AT86" s="72">
        <v>4613.71</v>
      </c>
      <c r="AU86" s="72">
        <v>806.58</v>
      </c>
      <c r="AV86" s="72">
        <v>53316.53</v>
      </c>
      <c r="AW86" s="72">
        <v>2134.75</v>
      </c>
      <c r="AX86" s="72">
        <v>38059.660000000003</v>
      </c>
      <c r="AY86" s="72">
        <v>9838.2999999999993</v>
      </c>
      <c r="AZ86" s="72">
        <v>0</v>
      </c>
      <c r="BA86" s="72">
        <v>12080.04</v>
      </c>
      <c r="BB86" s="72">
        <v>0</v>
      </c>
      <c r="BC86" s="72">
        <v>0</v>
      </c>
      <c r="BD86" s="72">
        <v>0</v>
      </c>
      <c r="BE86" s="72">
        <v>0</v>
      </c>
      <c r="BF86" s="72">
        <v>12080.04</v>
      </c>
      <c r="BG86" s="72">
        <v>0</v>
      </c>
      <c r="BH86" s="72">
        <v>0</v>
      </c>
      <c r="BI86" s="72">
        <v>0</v>
      </c>
      <c r="BJ86" s="72">
        <v>12080.04</v>
      </c>
      <c r="BK86" s="131">
        <v>35852</v>
      </c>
      <c r="BL86" s="131">
        <v>0</v>
      </c>
      <c r="BM86" s="131">
        <v>0</v>
      </c>
      <c r="BN86" s="131">
        <v>0</v>
      </c>
      <c r="BO86" s="131">
        <v>0</v>
      </c>
      <c r="BP86" s="131"/>
      <c r="BQ86" s="72">
        <f t="shared" si="3"/>
        <v>-0.44999999995343387</v>
      </c>
    </row>
    <row r="87" spans="1:69">
      <c r="A87" s="131">
        <v>2055</v>
      </c>
      <c r="B87" s="131" t="s">
        <v>111</v>
      </c>
      <c r="C87" s="131">
        <v>45874</v>
      </c>
      <c r="D87" s="131"/>
      <c r="E87" s="410">
        <v>-3187</v>
      </c>
      <c r="F87" s="416">
        <f t="shared" si="4"/>
        <v>42687</v>
      </c>
      <c r="G87" s="413">
        <v>1138520.44</v>
      </c>
      <c r="H87" s="72">
        <v>0</v>
      </c>
      <c r="I87" s="72">
        <v>60511</v>
      </c>
      <c r="J87" s="131">
        <v>0</v>
      </c>
      <c r="K87" s="72">
        <v>78960.009999999995</v>
      </c>
      <c r="L87" s="72">
        <v>21120</v>
      </c>
      <c r="M87" s="72">
        <v>470</v>
      </c>
      <c r="N87" s="72">
        <v>17870.04</v>
      </c>
      <c r="O87" s="72">
        <v>27532.53</v>
      </c>
      <c r="P87" s="72">
        <v>17881.919999999998</v>
      </c>
      <c r="Q87" s="72">
        <v>99.54</v>
      </c>
      <c r="R87" s="72">
        <v>10804.06</v>
      </c>
      <c r="S87" s="72">
        <v>3280.98</v>
      </c>
      <c r="T87" s="72">
        <v>0</v>
      </c>
      <c r="U87" s="72">
        <v>0</v>
      </c>
      <c r="V87" s="72">
        <v>0</v>
      </c>
      <c r="W87" s="72">
        <v>5422</v>
      </c>
      <c r="X87" s="72">
        <v>570116.54</v>
      </c>
      <c r="Y87" s="72">
        <v>1518.81</v>
      </c>
      <c r="Z87" s="72">
        <v>336335.22</v>
      </c>
      <c r="AA87" s="72">
        <v>24824.16</v>
      </c>
      <c r="AB87" s="72">
        <v>49238.83</v>
      </c>
      <c r="AC87" s="72">
        <v>0</v>
      </c>
      <c r="AD87" s="72">
        <v>31569.58</v>
      </c>
      <c r="AE87" s="72">
        <v>5214.6099999999997</v>
      </c>
      <c r="AF87" s="72">
        <v>2399.1</v>
      </c>
      <c r="AG87" s="72">
        <v>13252.16</v>
      </c>
      <c r="AH87" s="72">
        <v>814.36</v>
      </c>
      <c r="AI87" s="72">
        <v>30193.48</v>
      </c>
      <c r="AJ87" s="72">
        <v>4777.9399999999996</v>
      </c>
      <c r="AK87" s="72">
        <v>15737.41</v>
      </c>
      <c r="AL87" s="72">
        <v>4866.2</v>
      </c>
      <c r="AM87" s="72">
        <v>21551.94</v>
      </c>
      <c r="AN87" s="72">
        <v>15778.5</v>
      </c>
      <c r="AO87" s="72">
        <v>11751.15</v>
      </c>
      <c r="AP87" s="72">
        <v>54675.76</v>
      </c>
      <c r="AQ87" s="72">
        <v>12675.6</v>
      </c>
      <c r="AR87" s="72">
        <v>0</v>
      </c>
      <c r="AS87" s="72">
        <v>4649.2299999999996</v>
      </c>
      <c r="AT87" s="72">
        <v>7341.7</v>
      </c>
      <c r="AU87" s="72">
        <v>4175.1499999999996</v>
      </c>
      <c r="AV87" s="72">
        <v>44192.95</v>
      </c>
      <c r="AW87" s="72">
        <v>39653.5</v>
      </c>
      <c r="AX87" s="72">
        <v>32841.440000000002</v>
      </c>
      <c r="AY87" s="72">
        <v>37498.25</v>
      </c>
      <c r="AZ87" s="72">
        <v>0</v>
      </c>
      <c r="BA87" s="72">
        <v>0</v>
      </c>
      <c r="BB87" s="72">
        <v>0</v>
      </c>
      <c r="BC87" s="72">
        <v>0</v>
      </c>
      <c r="BD87" s="72">
        <v>1632.81</v>
      </c>
      <c r="BE87" s="72">
        <v>0</v>
      </c>
      <c r="BF87" s="72">
        <v>0</v>
      </c>
      <c r="BG87" s="72">
        <v>0</v>
      </c>
      <c r="BH87" s="72">
        <v>443</v>
      </c>
      <c r="BI87" s="72">
        <v>0</v>
      </c>
      <c r="BJ87" s="72">
        <v>0</v>
      </c>
      <c r="BK87" s="131">
        <v>6876</v>
      </c>
      <c r="BL87" s="131">
        <v>43827</v>
      </c>
      <c r="BM87" s="131">
        <v>-1997</v>
      </c>
      <c r="BN87" s="131">
        <v>0</v>
      </c>
      <c r="BO87" s="131">
        <v>0</v>
      </c>
      <c r="BP87" s="131"/>
      <c r="BQ87" s="72">
        <f t="shared" si="3"/>
        <v>-0.23999999952502549</v>
      </c>
    </row>
    <row r="88" spans="1:69">
      <c r="A88" s="131">
        <v>2057</v>
      </c>
      <c r="B88" s="131" t="s">
        <v>112</v>
      </c>
      <c r="C88" s="131">
        <v>129617</v>
      </c>
      <c r="D88" s="131"/>
      <c r="E88" s="410">
        <v>0</v>
      </c>
      <c r="F88" s="416">
        <f t="shared" si="4"/>
        <v>129617</v>
      </c>
      <c r="G88" s="413">
        <v>1105183</v>
      </c>
      <c r="H88" s="72">
        <v>0</v>
      </c>
      <c r="I88" s="72">
        <v>46575</v>
      </c>
      <c r="J88" s="131">
        <v>0</v>
      </c>
      <c r="K88" s="72">
        <v>91488.01</v>
      </c>
      <c r="L88" s="72">
        <v>3770</v>
      </c>
      <c r="M88" s="72">
        <v>1279.49</v>
      </c>
      <c r="N88" s="72">
        <v>23199.38</v>
      </c>
      <c r="O88" s="72">
        <v>16024.16</v>
      </c>
      <c r="P88" s="72">
        <v>0</v>
      </c>
      <c r="Q88" s="72">
        <v>0</v>
      </c>
      <c r="R88" s="72">
        <v>4360.5200000000004</v>
      </c>
      <c r="S88" s="72">
        <v>6013.38</v>
      </c>
      <c r="T88" s="72">
        <v>0</v>
      </c>
      <c r="U88" s="72">
        <v>446318.04</v>
      </c>
      <c r="V88" s="72">
        <v>114835.1</v>
      </c>
      <c r="W88" s="72">
        <v>5228</v>
      </c>
      <c r="X88" s="72">
        <v>481097.24</v>
      </c>
      <c r="Y88" s="72">
        <v>0</v>
      </c>
      <c r="Z88" s="72">
        <v>232969.67</v>
      </c>
      <c r="AA88" s="72">
        <v>30449.14</v>
      </c>
      <c r="AB88" s="72">
        <v>48532.35</v>
      </c>
      <c r="AC88" s="72">
        <v>0</v>
      </c>
      <c r="AD88" s="72">
        <v>17208.84</v>
      </c>
      <c r="AE88" s="72">
        <v>23244.63</v>
      </c>
      <c r="AF88" s="72">
        <v>3836.83</v>
      </c>
      <c r="AG88" s="72">
        <v>5286.38</v>
      </c>
      <c r="AH88" s="72">
        <v>3526.36</v>
      </c>
      <c r="AI88" s="72">
        <v>6575.76</v>
      </c>
      <c r="AJ88" s="72">
        <v>3765.7</v>
      </c>
      <c r="AK88" s="72">
        <v>8217.2000000000007</v>
      </c>
      <c r="AL88" s="400">
        <f>-4089.81+4089.81</f>
        <v>0</v>
      </c>
      <c r="AM88" s="72">
        <v>11131.35</v>
      </c>
      <c r="AN88" s="72">
        <v>22463.25</v>
      </c>
      <c r="AO88" s="72">
        <v>5459.42</v>
      </c>
      <c r="AP88" s="400">
        <f>43830.39-4089.81</f>
        <v>39740.58</v>
      </c>
      <c r="AQ88" s="72">
        <v>15216.01</v>
      </c>
      <c r="AR88" s="72">
        <v>0</v>
      </c>
      <c r="AS88" s="72">
        <v>3445.58</v>
      </c>
      <c r="AT88" s="72">
        <v>2552.4</v>
      </c>
      <c r="AU88" s="72">
        <v>6683.65</v>
      </c>
      <c r="AV88" s="72">
        <v>42997.98</v>
      </c>
      <c r="AW88" s="72">
        <v>115922.09</v>
      </c>
      <c r="AX88" s="72">
        <v>99145.65</v>
      </c>
      <c r="AY88" s="72">
        <v>20990.07</v>
      </c>
      <c r="AZ88" s="72">
        <v>0</v>
      </c>
      <c r="BA88" s="72">
        <v>29039</v>
      </c>
      <c r="BB88" s="72">
        <v>405780.08</v>
      </c>
      <c r="BC88" s="72">
        <v>117858.63</v>
      </c>
      <c r="BD88" s="72">
        <v>5996.87</v>
      </c>
      <c r="BE88" s="72">
        <v>0</v>
      </c>
      <c r="BF88" s="72">
        <v>29039</v>
      </c>
      <c r="BG88" s="72">
        <v>0</v>
      </c>
      <c r="BH88" s="72">
        <v>0</v>
      </c>
      <c r="BI88" s="72">
        <v>23764.9</v>
      </c>
      <c r="BJ88" s="72">
        <v>0</v>
      </c>
      <c r="BK88" s="131">
        <v>2438</v>
      </c>
      <c r="BL88" s="131">
        <v>150803</v>
      </c>
      <c r="BM88" s="131">
        <v>0</v>
      </c>
      <c r="BN88" s="131">
        <v>11271</v>
      </c>
      <c r="BO88" s="131">
        <v>37514</v>
      </c>
      <c r="BP88" s="131"/>
      <c r="BQ88" s="72">
        <f t="shared" si="3"/>
        <v>0.21000000019557774</v>
      </c>
    </row>
    <row r="89" spans="1:69">
      <c r="A89" s="402">
        <v>2056</v>
      </c>
      <c r="B89" s="402" t="s">
        <v>113</v>
      </c>
      <c r="C89" s="402">
        <v>118123</v>
      </c>
      <c r="D89" s="402"/>
      <c r="E89" s="411">
        <v>13401</v>
      </c>
      <c r="F89" s="416">
        <f t="shared" si="4"/>
        <v>131524</v>
      </c>
      <c r="G89" s="414">
        <v>1194655</v>
      </c>
      <c r="H89" s="403">
        <v>0</v>
      </c>
      <c r="I89" s="403">
        <v>70775</v>
      </c>
      <c r="J89" s="402">
        <v>0</v>
      </c>
      <c r="K89" s="403">
        <v>126974</v>
      </c>
      <c r="L89" s="403">
        <v>12800</v>
      </c>
      <c r="M89" s="403">
        <v>16438.13</v>
      </c>
      <c r="N89" s="403">
        <v>20800.93</v>
      </c>
      <c r="O89" s="403">
        <v>27423.52</v>
      </c>
      <c r="P89" s="403">
        <v>5837.99</v>
      </c>
      <c r="Q89" s="403">
        <v>2225.75</v>
      </c>
      <c r="R89" s="133">
        <f>29426.46-2365.89</f>
        <v>27060.57</v>
      </c>
      <c r="S89" s="133">
        <f>-2365.89+2365.89</f>
        <v>0</v>
      </c>
      <c r="T89" s="403">
        <v>0</v>
      </c>
      <c r="U89" s="403">
        <v>0</v>
      </c>
      <c r="V89" s="403">
        <v>3229.5</v>
      </c>
      <c r="W89" s="403">
        <v>5713</v>
      </c>
      <c r="X89" s="403">
        <v>601963.79</v>
      </c>
      <c r="Y89" s="403">
        <v>1175.8</v>
      </c>
      <c r="Z89" s="403">
        <v>390702.18</v>
      </c>
      <c r="AA89" s="403">
        <v>56975.79</v>
      </c>
      <c r="AB89" s="403">
        <v>46482.97</v>
      </c>
      <c r="AC89" s="403">
        <v>0</v>
      </c>
      <c r="AD89" s="403">
        <v>60579.05</v>
      </c>
      <c r="AE89" s="403">
        <v>22823.81</v>
      </c>
      <c r="AF89" s="403">
        <v>5177.34</v>
      </c>
      <c r="AG89" s="403">
        <v>14968.68</v>
      </c>
      <c r="AH89" s="403">
        <v>2392.62</v>
      </c>
      <c r="AI89" s="403">
        <v>22943.72</v>
      </c>
      <c r="AJ89" s="403">
        <v>4915</v>
      </c>
      <c r="AK89" s="403">
        <v>2348.86</v>
      </c>
      <c r="AL89" s="403">
        <v>4044.66</v>
      </c>
      <c r="AM89" s="403">
        <v>39862.82</v>
      </c>
      <c r="AN89" s="403">
        <v>22463.25</v>
      </c>
      <c r="AO89" s="403">
        <v>4915.4399999999996</v>
      </c>
      <c r="AP89" s="403">
        <v>43165.83</v>
      </c>
      <c r="AQ89" s="403">
        <v>10396.790000000001</v>
      </c>
      <c r="AR89" s="403">
        <v>0</v>
      </c>
      <c r="AS89" s="403">
        <v>11194.07</v>
      </c>
      <c r="AT89" s="403">
        <v>9867.26</v>
      </c>
      <c r="AU89" s="403">
        <v>2540.61</v>
      </c>
      <c r="AV89" s="403">
        <v>59639.94</v>
      </c>
      <c r="AW89" s="403">
        <v>44520.08</v>
      </c>
      <c r="AX89" s="403">
        <v>25253.040000000001</v>
      </c>
      <c r="AY89" s="403">
        <v>14740.56</v>
      </c>
      <c r="AZ89" s="403">
        <v>0</v>
      </c>
      <c r="BA89" s="403">
        <v>0</v>
      </c>
      <c r="BB89" s="403">
        <v>1562</v>
      </c>
      <c r="BC89" s="403">
        <v>0</v>
      </c>
      <c r="BD89" s="403">
        <v>6655</v>
      </c>
      <c r="BE89" s="403">
        <v>8008</v>
      </c>
      <c r="BF89" s="403">
        <v>0</v>
      </c>
      <c r="BG89" s="403">
        <v>0</v>
      </c>
      <c r="BH89" s="403">
        <v>13822.42</v>
      </c>
      <c r="BI89" s="403">
        <v>0</v>
      </c>
      <c r="BJ89" s="403">
        <v>13530.95</v>
      </c>
      <c r="BK89" s="402">
        <v>0</v>
      </c>
      <c r="BL89" s="404">
        <f>104440-1668</f>
        <v>102772</v>
      </c>
      <c r="BM89" s="402">
        <v>711</v>
      </c>
      <c r="BN89" s="402">
        <v>0</v>
      </c>
      <c r="BO89" s="404">
        <v>1668</v>
      </c>
      <c r="BP89" s="402"/>
      <c r="BQ89" s="403">
        <f t="shared" si="3"/>
        <v>5.9999999357387424E-2</v>
      </c>
    </row>
    <row r="90" spans="1:69">
      <c r="A90" s="131">
        <v>2076</v>
      </c>
      <c r="B90" s="131" t="s">
        <v>114</v>
      </c>
      <c r="C90" s="131">
        <v>255718</v>
      </c>
      <c r="D90" s="131"/>
      <c r="E90" s="410">
        <v>24243</v>
      </c>
      <c r="F90" s="416">
        <f t="shared" si="4"/>
        <v>279961</v>
      </c>
      <c r="G90" s="413">
        <v>2216285.9900000002</v>
      </c>
      <c r="H90" s="72">
        <v>0</v>
      </c>
      <c r="I90" s="72">
        <v>24322</v>
      </c>
      <c r="J90" s="131">
        <v>0</v>
      </c>
      <c r="K90" s="72">
        <v>187305.01</v>
      </c>
      <c r="L90" s="72">
        <v>23758.34</v>
      </c>
      <c r="M90" s="72">
        <v>1699</v>
      </c>
      <c r="N90" s="72">
        <v>84877.06</v>
      </c>
      <c r="O90" s="72">
        <v>42666.05</v>
      </c>
      <c r="P90" s="72">
        <v>10636.2</v>
      </c>
      <c r="Q90" s="72">
        <v>0</v>
      </c>
      <c r="R90" s="72">
        <v>20148.349999999999</v>
      </c>
      <c r="S90" s="72">
        <v>1358.28</v>
      </c>
      <c r="T90" s="72">
        <v>0</v>
      </c>
      <c r="U90" s="72">
        <v>0</v>
      </c>
      <c r="V90" s="72">
        <v>0</v>
      </c>
      <c r="W90" s="72">
        <v>6053</v>
      </c>
      <c r="X90" s="72">
        <v>1124983.18</v>
      </c>
      <c r="Y90" s="72">
        <v>22538.14</v>
      </c>
      <c r="Z90" s="72">
        <v>465605.43</v>
      </c>
      <c r="AA90" s="72">
        <v>40365.26</v>
      </c>
      <c r="AB90" s="72">
        <v>120027.41</v>
      </c>
      <c r="AC90" s="72">
        <v>0</v>
      </c>
      <c r="AD90" s="72">
        <v>59472.71</v>
      </c>
      <c r="AE90" s="72">
        <v>11080.27</v>
      </c>
      <c r="AF90" s="72">
        <v>11587.06</v>
      </c>
      <c r="AG90" s="72">
        <v>14224.24</v>
      </c>
      <c r="AH90" s="72">
        <v>10690.35</v>
      </c>
      <c r="AI90" s="72">
        <v>65897.58</v>
      </c>
      <c r="AJ90" s="72">
        <v>6200.09</v>
      </c>
      <c r="AK90" s="72">
        <v>31450.53</v>
      </c>
      <c r="AL90" s="72">
        <v>6262.66</v>
      </c>
      <c r="AM90" s="72">
        <v>36167.620000000003</v>
      </c>
      <c r="AN90" s="72">
        <v>24492</v>
      </c>
      <c r="AO90" s="72">
        <v>15738.37</v>
      </c>
      <c r="AP90" s="72">
        <v>104977.16</v>
      </c>
      <c r="AQ90" s="72">
        <v>25619.39</v>
      </c>
      <c r="AR90" s="72">
        <v>0</v>
      </c>
      <c r="AS90" s="72">
        <v>14031.39</v>
      </c>
      <c r="AT90" s="72">
        <v>11664.79</v>
      </c>
      <c r="AU90" s="72">
        <v>8603.42</v>
      </c>
      <c r="AV90" s="72">
        <v>88983.62</v>
      </c>
      <c r="AW90" s="72">
        <v>44266.43</v>
      </c>
      <c r="AX90" s="72">
        <v>122527.34</v>
      </c>
      <c r="AY90" s="72">
        <v>36674</v>
      </c>
      <c r="AZ90" s="72">
        <v>0</v>
      </c>
      <c r="BA90" s="72">
        <v>81200</v>
      </c>
      <c r="BB90" s="72">
        <v>0</v>
      </c>
      <c r="BC90" s="72">
        <v>0</v>
      </c>
      <c r="BD90" s="72">
        <v>9158.1200000000008</v>
      </c>
      <c r="BE90" s="72">
        <v>0</v>
      </c>
      <c r="BF90" s="72">
        <v>81200</v>
      </c>
      <c r="BG90" s="72">
        <v>0</v>
      </c>
      <c r="BH90" s="72">
        <v>31262.73</v>
      </c>
      <c r="BI90" s="72">
        <v>0</v>
      </c>
      <c r="BJ90" s="72">
        <v>56010.65</v>
      </c>
      <c r="BK90" s="131">
        <v>7016</v>
      </c>
      <c r="BL90" s="131">
        <v>262481</v>
      </c>
      <c r="BM90" s="131">
        <v>9158</v>
      </c>
      <c r="BN90" s="131">
        <v>18170</v>
      </c>
      <c r="BO90" s="131">
        <v>0</v>
      </c>
      <c r="BP90" s="131"/>
      <c r="BQ90" s="72">
        <f t="shared" si="3"/>
        <v>-0.42000000039115548</v>
      </c>
    </row>
    <row r="91" spans="1:69">
      <c r="A91" s="131">
        <v>2060</v>
      </c>
      <c r="B91" s="131" t="s">
        <v>115</v>
      </c>
      <c r="C91" s="131">
        <v>186221</v>
      </c>
      <c r="D91" s="131"/>
      <c r="E91" s="410">
        <v>-8</v>
      </c>
      <c r="F91" s="416">
        <f t="shared" si="4"/>
        <v>186213</v>
      </c>
      <c r="G91" s="413">
        <v>2184786.34</v>
      </c>
      <c r="H91" s="72">
        <v>0</v>
      </c>
      <c r="I91" s="72">
        <v>27116</v>
      </c>
      <c r="J91" s="131">
        <v>0</v>
      </c>
      <c r="K91" s="72">
        <v>176305.01</v>
      </c>
      <c r="L91" s="72">
        <v>3999.87</v>
      </c>
      <c r="M91" s="72">
        <v>8393.2099999999991</v>
      </c>
      <c r="N91" s="72">
        <v>90987.92</v>
      </c>
      <c r="O91" s="72">
        <v>45601.68</v>
      </c>
      <c r="P91" s="72">
        <v>2446.08</v>
      </c>
      <c r="Q91" s="72">
        <v>0</v>
      </c>
      <c r="R91" s="72">
        <v>20177.849999999999</v>
      </c>
      <c r="S91" s="72">
        <v>856.7</v>
      </c>
      <c r="T91" s="72">
        <v>0</v>
      </c>
      <c r="U91" s="72">
        <v>0</v>
      </c>
      <c r="V91" s="72">
        <v>0</v>
      </c>
      <c r="W91" s="72">
        <v>5888</v>
      </c>
      <c r="X91" s="72">
        <v>1024460.31</v>
      </c>
      <c r="Y91" s="72">
        <v>0</v>
      </c>
      <c r="Z91" s="72">
        <v>557762.87</v>
      </c>
      <c r="AA91" s="72">
        <v>52063.37</v>
      </c>
      <c r="AB91" s="72">
        <v>62102.17</v>
      </c>
      <c r="AC91" s="72">
        <v>0</v>
      </c>
      <c r="AD91" s="72">
        <v>72093.41</v>
      </c>
      <c r="AE91" s="72">
        <v>21018.82</v>
      </c>
      <c r="AF91" s="72">
        <v>17413.23</v>
      </c>
      <c r="AG91" s="72">
        <v>20986.43</v>
      </c>
      <c r="AH91" s="72">
        <v>98.95</v>
      </c>
      <c r="AI91" s="72">
        <v>123640.28</v>
      </c>
      <c r="AJ91" s="72">
        <v>6320</v>
      </c>
      <c r="AK91" s="72">
        <v>37104.71</v>
      </c>
      <c r="AL91" s="72">
        <v>7004.52</v>
      </c>
      <c r="AM91" s="72">
        <v>66545.009999999995</v>
      </c>
      <c r="AN91" s="72">
        <v>18133.5</v>
      </c>
      <c r="AO91" s="72">
        <v>13219.91</v>
      </c>
      <c r="AP91" s="72">
        <v>94860.82</v>
      </c>
      <c r="AQ91" s="72">
        <v>24180.12</v>
      </c>
      <c r="AR91" s="72">
        <v>0</v>
      </c>
      <c r="AS91" s="72">
        <v>16495.650000000001</v>
      </c>
      <c r="AT91" s="72">
        <v>22696.41</v>
      </c>
      <c r="AU91" s="72">
        <v>16240.63</v>
      </c>
      <c r="AV91" s="72">
        <v>94038.01</v>
      </c>
      <c r="AW91" s="72">
        <v>51751.25</v>
      </c>
      <c r="AX91" s="72">
        <v>25752</v>
      </c>
      <c r="AY91" s="72">
        <v>43788.5</v>
      </c>
      <c r="AZ91" s="72">
        <v>0</v>
      </c>
      <c r="BA91" s="72">
        <v>0</v>
      </c>
      <c r="BB91" s="72">
        <v>0</v>
      </c>
      <c r="BC91" s="72">
        <v>0</v>
      </c>
      <c r="BD91" s="72">
        <v>8381.8799999999992</v>
      </c>
      <c r="BE91" s="72">
        <v>0</v>
      </c>
      <c r="BF91" s="72">
        <v>0</v>
      </c>
      <c r="BG91" s="72">
        <v>0</v>
      </c>
      <c r="BH91" s="72">
        <v>6900</v>
      </c>
      <c r="BI91" s="72">
        <v>0</v>
      </c>
      <c r="BJ91" s="72">
        <v>0</v>
      </c>
      <c r="BK91" s="131">
        <v>0</v>
      </c>
      <c r="BL91" s="131">
        <v>263009</v>
      </c>
      <c r="BM91" s="131">
        <v>1474</v>
      </c>
      <c r="BN91" s="131">
        <v>0</v>
      </c>
      <c r="BO91" s="131">
        <v>0</v>
      </c>
      <c r="BP91" s="131"/>
      <c r="BQ91" s="72">
        <f t="shared" si="3"/>
        <v>-0.33999999985098839</v>
      </c>
    </row>
    <row r="92" spans="1:69">
      <c r="A92" s="131">
        <v>3518</v>
      </c>
      <c r="B92" s="131" t="s">
        <v>116</v>
      </c>
      <c r="C92" s="131">
        <v>248925</v>
      </c>
      <c r="D92" s="131"/>
      <c r="E92" s="410">
        <v>69576</v>
      </c>
      <c r="F92" s="416">
        <f t="shared" si="4"/>
        <v>318501</v>
      </c>
      <c r="G92" s="413">
        <v>2238959.59</v>
      </c>
      <c r="H92" s="72">
        <v>0</v>
      </c>
      <c r="I92" s="72">
        <v>85223</v>
      </c>
      <c r="J92" s="131">
        <v>0</v>
      </c>
      <c r="K92" s="72">
        <v>223955.01</v>
      </c>
      <c r="L92" s="72">
        <v>5040</v>
      </c>
      <c r="M92" s="72">
        <v>6467</v>
      </c>
      <c r="N92" s="72">
        <v>28845.65</v>
      </c>
      <c r="O92" s="72">
        <v>33893.78</v>
      </c>
      <c r="P92" s="72">
        <v>0</v>
      </c>
      <c r="Q92" s="72">
        <v>11452.05</v>
      </c>
      <c r="R92" s="72">
        <v>10830.74</v>
      </c>
      <c r="S92" s="72">
        <v>1065</v>
      </c>
      <c r="T92" s="72">
        <v>0</v>
      </c>
      <c r="U92" s="72">
        <v>0</v>
      </c>
      <c r="V92" s="72">
        <v>0</v>
      </c>
      <c r="W92" s="72">
        <v>6043</v>
      </c>
      <c r="X92" s="72">
        <v>962702.64</v>
      </c>
      <c r="Y92" s="72">
        <v>20108.939999999999</v>
      </c>
      <c r="Z92" s="72">
        <v>522002.55</v>
      </c>
      <c r="AA92" s="72">
        <v>43072.83</v>
      </c>
      <c r="AB92" s="72">
        <v>53440.36</v>
      </c>
      <c r="AC92" s="72">
        <v>0</v>
      </c>
      <c r="AD92" s="72">
        <v>76308.62</v>
      </c>
      <c r="AE92" s="72">
        <v>14401.82</v>
      </c>
      <c r="AF92" s="72">
        <v>14697.03</v>
      </c>
      <c r="AG92" s="72">
        <v>20122.490000000002</v>
      </c>
      <c r="AH92" s="72">
        <v>2534.9299999999998</v>
      </c>
      <c r="AI92" s="72">
        <v>76227.75</v>
      </c>
      <c r="AJ92" s="72">
        <v>2636.74</v>
      </c>
      <c r="AK92" s="72">
        <v>52037.21</v>
      </c>
      <c r="AL92" s="72">
        <v>4310.2</v>
      </c>
      <c r="AM92" s="72">
        <v>33742.83</v>
      </c>
      <c r="AN92" s="72">
        <v>25434</v>
      </c>
      <c r="AO92" s="72">
        <v>14579.15</v>
      </c>
      <c r="AP92" s="72">
        <v>89954.41</v>
      </c>
      <c r="AQ92" s="72">
        <v>37655.379999999997</v>
      </c>
      <c r="AR92" s="72">
        <v>0</v>
      </c>
      <c r="AS92" s="72">
        <v>19260.14</v>
      </c>
      <c r="AT92" s="72">
        <v>12640.59</v>
      </c>
      <c r="AU92" s="72">
        <v>26240.16</v>
      </c>
      <c r="AV92" s="72">
        <v>97307.05</v>
      </c>
      <c r="AW92" s="72">
        <v>165621.68</v>
      </c>
      <c r="AX92" s="72">
        <v>173532.19</v>
      </c>
      <c r="AY92" s="72">
        <v>36852.620000000003</v>
      </c>
      <c r="AZ92" s="72">
        <v>0</v>
      </c>
      <c r="BA92" s="72">
        <v>83270</v>
      </c>
      <c r="BB92" s="72">
        <v>0</v>
      </c>
      <c r="BC92" s="72">
        <v>0</v>
      </c>
      <c r="BD92" s="72">
        <v>8888.1200000000008</v>
      </c>
      <c r="BE92" s="72">
        <v>0</v>
      </c>
      <c r="BF92" s="72">
        <v>83270</v>
      </c>
      <c r="BG92" s="72">
        <v>0</v>
      </c>
      <c r="BH92" s="72">
        <v>25900</v>
      </c>
      <c r="BI92" s="72">
        <v>0</v>
      </c>
      <c r="BJ92" s="72">
        <v>115779.8</v>
      </c>
      <c r="BK92" s="131">
        <v>3407</v>
      </c>
      <c r="BL92" s="131">
        <v>216599</v>
      </c>
      <c r="BM92" s="131">
        <v>0</v>
      </c>
      <c r="BN92" s="131">
        <v>20054</v>
      </c>
      <c r="BO92" s="131">
        <v>0</v>
      </c>
      <c r="BP92" s="131"/>
      <c r="BQ92" s="72">
        <f t="shared" si="3"/>
        <v>-0.16999999992549419</v>
      </c>
    </row>
    <row r="93" spans="1:69">
      <c r="A93" s="131">
        <v>2054</v>
      </c>
      <c r="B93" s="131" t="s">
        <v>117</v>
      </c>
      <c r="C93" s="131">
        <v>117932</v>
      </c>
      <c r="D93" s="131"/>
      <c r="E93" s="410">
        <v>0</v>
      </c>
      <c r="F93" s="416">
        <f t="shared" si="4"/>
        <v>117932</v>
      </c>
      <c r="G93" s="413">
        <v>990237.88</v>
      </c>
      <c r="H93" s="72">
        <v>0</v>
      </c>
      <c r="I93" s="72">
        <v>54862</v>
      </c>
      <c r="J93" s="131">
        <v>0</v>
      </c>
      <c r="K93" s="72">
        <v>16201</v>
      </c>
      <c r="L93" s="72">
        <v>1500</v>
      </c>
      <c r="M93" s="72">
        <v>14478.62</v>
      </c>
      <c r="N93" s="72">
        <v>27433.9</v>
      </c>
      <c r="O93" s="72">
        <v>45685.39</v>
      </c>
      <c r="P93" s="72">
        <v>18254.3</v>
      </c>
      <c r="Q93" s="72">
        <v>3661</v>
      </c>
      <c r="R93" s="72">
        <v>36314.639999999999</v>
      </c>
      <c r="S93" s="72">
        <v>4842.3599999999997</v>
      </c>
      <c r="T93" s="72">
        <v>0</v>
      </c>
      <c r="U93" s="72">
        <v>0</v>
      </c>
      <c r="V93" s="72">
        <v>0</v>
      </c>
      <c r="W93" s="72">
        <v>5535</v>
      </c>
      <c r="X93" s="72">
        <v>497645.66</v>
      </c>
      <c r="Y93" s="72">
        <v>17876.400000000001</v>
      </c>
      <c r="Z93" s="72">
        <v>229901.14</v>
      </c>
      <c r="AA93" s="72">
        <v>29919.32</v>
      </c>
      <c r="AB93" s="72">
        <v>38120.449999999997</v>
      </c>
      <c r="AC93" s="72">
        <v>0</v>
      </c>
      <c r="AD93" s="72">
        <v>32702.32</v>
      </c>
      <c r="AE93" s="72">
        <v>6476.65</v>
      </c>
      <c r="AF93" s="72">
        <v>6860.89</v>
      </c>
      <c r="AG93" s="72">
        <v>9112.4699999999993</v>
      </c>
      <c r="AH93" s="72">
        <v>1411.05</v>
      </c>
      <c r="AI93" s="72">
        <v>36972.03</v>
      </c>
      <c r="AJ93" s="72">
        <v>5352.75</v>
      </c>
      <c r="AK93" s="72">
        <v>11170.17</v>
      </c>
      <c r="AL93" s="72">
        <v>3193.94</v>
      </c>
      <c r="AM93" s="72">
        <v>12652.57</v>
      </c>
      <c r="AN93" s="72">
        <v>13070.25</v>
      </c>
      <c r="AO93" s="72">
        <v>6179.02</v>
      </c>
      <c r="AP93" s="72">
        <v>46921.3</v>
      </c>
      <c r="AQ93" s="72">
        <v>10541.61</v>
      </c>
      <c r="AR93" s="72">
        <v>0</v>
      </c>
      <c r="AS93" s="72">
        <v>6493.22</v>
      </c>
      <c r="AT93" s="72">
        <v>6047.26</v>
      </c>
      <c r="AU93" s="72">
        <v>504.75</v>
      </c>
      <c r="AV93" s="72">
        <v>50354.62</v>
      </c>
      <c r="AW93" s="72">
        <v>29664.16</v>
      </c>
      <c r="AX93" s="72">
        <v>17250.830000000002</v>
      </c>
      <c r="AY93" s="72">
        <v>51416.2</v>
      </c>
      <c r="AZ93" s="72">
        <v>0</v>
      </c>
      <c r="BA93" s="72">
        <v>29264</v>
      </c>
      <c r="BB93" s="72">
        <v>0</v>
      </c>
      <c r="BC93" s="72">
        <v>0</v>
      </c>
      <c r="BD93" s="72">
        <v>6666.26</v>
      </c>
      <c r="BE93" s="72">
        <v>37854.79</v>
      </c>
      <c r="BF93" s="72">
        <v>29264</v>
      </c>
      <c r="BG93" s="72">
        <v>0</v>
      </c>
      <c r="BH93" s="72">
        <v>33055.79</v>
      </c>
      <c r="BI93" s="72">
        <v>0</v>
      </c>
      <c r="BJ93" s="72">
        <v>40727.980000000003</v>
      </c>
      <c r="BK93" s="131">
        <v>30000</v>
      </c>
      <c r="BL93" s="131">
        <v>99863</v>
      </c>
      <c r="BM93" s="131">
        <v>0</v>
      </c>
      <c r="BN93" s="131">
        <v>1</v>
      </c>
      <c r="BO93" s="131">
        <v>0</v>
      </c>
      <c r="BP93" s="131"/>
      <c r="BQ93" s="72">
        <f t="shared" si="3"/>
        <v>0.34000000008381903</v>
      </c>
    </row>
    <row r="94" spans="1:69">
      <c r="A94" s="131">
        <v>5408</v>
      </c>
      <c r="B94" s="71" t="s">
        <v>118</v>
      </c>
      <c r="C94" s="131">
        <v>159355</v>
      </c>
      <c r="D94" s="131"/>
      <c r="E94" s="410">
        <v>0</v>
      </c>
      <c r="F94" s="416">
        <f t="shared" si="4"/>
        <v>159355</v>
      </c>
      <c r="G94" s="413">
        <v>3727858</v>
      </c>
      <c r="H94" s="72">
        <v>1360822</v>
      </c>
      <c r="I94" s="72">
        <v>106144.08</v>
      </c>
      <c r="J94" s="131">
        <v>0</v>
      </c>
      <c r="K94" s="72">
        <v>237492.29</v>
      </c>
      <c r="L94" s="72">
        <v>58617.8</v>
      </c>
      <c r="M94" s="72">
        <v>23855.09</v>
      </c>
      <c r="N94" s="72">
        <v>32655.85</v>
      </c>
      <c r="O94" s="72">
        <v>24892.26</v>
      </c>
      <c r="P94" s="72">
        <v>0</v>
      </c>
      <c r="Q94" s="72">
        <v>0</v>
      </c>
      <c r="R94" s="72">
        <v>63837.3</v>
      </c>
      <c r="S94" s="72">
        <v>8083</v>
      </c>
      <c r="T94" s="72">
        <v>0</v>
      </c>
      <c r="U94" s="72">
        <v>0</v>
      </c>
      <c r="V94" s="72">
        <v>0</v>
      </c>
      <c r="W94" s="72">
        <v>23667</v>
      </c>
      <c r="X94" s="72">
        <v>2988727.17</v>
      </c>
      <c r="Y94" s="72">
        <v>18024.11</v>
      </c>
      <c r="Z94" s="72">
        <v>775476.34</v>
      </c>
      <c r="AA94" s="72">
        <v>146393.06</v>
      </c>
      <c r="AB94" s="72">
        <v>348185.43</v>
      </c>
      <c r="AC94" s="72">
        <v>0</v>
      </c>
      <c r="AD94" s="72">
        <v>8133.8</v>
      </c>
      <c r="AE94" s="72">
        <v>66600.19</v>
      </c>
      <c r="AF94" s="72">
        <v>50129.59</v>
      </c>
      <c r="AG94" s="72">
        <v>1154</v>
      </c>
      <c r="AH94" s="72">
        <v>10504.74</v>
      </c>
      <c r="AI94" s="72">
        <v>64264.06</v>
      </c>
      <c r="AJ94" s="72">
        <v>6674.93</v>
      </c>
      <c r="AK94" s="72">
        <v>93372.15</v>
      </c>
      <c r="AL94" s="72">
        <v>7897.92</v>
      </c>
      <c r="AM94" s="72">
        <v>98675.93</v>
      </c>
      <c r="AN94" s="72">
        <v>0</v>
      </c>
      <c r="AO94" s="72">
        <v>41725.9</v>
      </c>
      <c r="AP94" s="72">
        <v>286708.15999999997</v>
      </c>
      <c r="AQ94" s="72">
        <v>134053.28</v>
      </c>
      <c r="AR94" s="72">
        <v>134853.42000000001</v>
      </c>
      <c r="AS94" s="72">
        <v>93647.86</v>
      </c>
      <c r="AT94" s="72">
        <v>45816.51</v>
      </c>
      <c r="AU94" s="72">
        <v>0</v>
      </c>
      <c r="AV94" s="72">
        <v>87255.6</v>
      </c>
      <c r="AW94" s="72">
        <v>37221.269999999997</v>
      </c>
      <c r="AX94" s="72">
        <v>42630.2</v>
      </c>
      <c r="AY94" s="72">
        <v>36695.54</v>
      </c>
      <c r="AZ94" s="72">
        <v>0</v>
      </c>
      <c r="BA94" s="72">
        <v>50955</v>
      </c>
      <c r="BB94" s="72">
        <v>0</v>
      </c>
      <c r="BC94" s="72">
        <v>0</v>
      </c>
      <c r="BD94" s="72">
        <v>0</v>
      </c>
      <c r="BE94" s="72">
        <v>3000</v>
      </c>
      <c r="BF94" s="72">
        <v>50955</v>
      </c>
      <c r="BG94" s="72">
        <v>0</v>
      </c>
      <c r="BH94" s="72">
        <v>0</v>
      </c>
      <c r="BI94" s="72">
        <v>0</v>
      </c>
      <c r="BJ94" s="72">
        <v>53955.15</v>
      </c>
      <c r="BK94" s="131">
        <v>85181</v>
      </c>
      <c r="BL94" s="131">
        <v>66323</v>
      </c>
      <c r="BM94" s="131">
        <v>0</v>
      </c>
      <c r="BN94" s="131">
        <v>0</v>
      </c>
      <c r="BO94" s="131">
        <v>0</v>
      </c>
      <c r="BP94" s="131"/>
      <c r="BQ94" s="72">
        <f t="shared" si="3"/>
        <v>-0.64000000059604645</v>
      </c>
    </row>
    <row r="95" spans="1:69">
      <c r="A95" s="131">
        <v>4003</v>
      </c>
      <c r="B95" s="131" t="s">
        <v>120</v>
      </c>
      <c r="C95" s="131">
        <v>209537</v>
      </c>
      <c r="D95" s="131"/>
      <c r="E95" s="410">
        <v>3228</v>
      </c>
      <c r="F95" s="416">
        <f t="shared" si="4"/>
        <v>212765</v>
      </c>
      <c r="G95" s="413">
        <v>4763294</v>
      </c>
      <c r="H95" s="72">
        <v>0</v>
      </c>
      <c r="I95" s="72">
        <v>236082</v>
      </c>
      <c r="J95" s="131">
        <v>0</v>
      </c>
      <c r="K95" s="72">
        <v>373575.01</v>
      </c>
      <c r="L95" s="72">
        <v>2123</v>
      </c>
      <c r="M95" s="72">
        <v>0</v>
      </c>
      <c r="N95" s="72">
        <v>52740.65</v>
      </c>
      <c r="O95" s="72">
        <v>0</v>
      </c>
      <c r="P95" s="72">
        <v>0</v>
      </c>
      <c r="Q95" s="72">
        <v>0</v>
      </c>
      <c r="R95" s="72">
        <v>13853.59</v>
      </c>
      <c r="S95" s="72">
        <v>24050.720000000001</v>
      </c>
      <c r="T95" s="72">
        <v>0</v>
      </c>
      <c r="U95" s="72">
        <v>0</v>
      </c>
      <c r="V95" s="72">
        <v>0</v>
      </c>
      <c r="W95" s="72">
        <v>32667</v>
      </c>
      <c r="X95" s="72">
        <v>2563542.7200000002</v>
      </c>
      <c r="Y95" s="72">
        <v>957.5</v>
      </c>
      <c r="Z95" s="72">
        <v>839204.12</v>
      </c>
      <c r="AA95" s="72">
        <v>95800.26</v>
      </c>
      <c r="AB95" s="72">
        <v>388347.79</v>
      </c>
      <c r="AC95" s="72">
        <v>0</v>
      </c>
      <c r="AD95" s="72">
        <v>75702.41</v>
      </c>
      <c r="AE95" s="72">
        <v>57159.43</v>
      </c>
      <c r="AF95" s="72">
        <v>25464.48</v>
      </c>
      <c r="AG95" s="72">
        <v>1720</v>
      </c>
      <c r="AH95" s="72">
        <v>4567.32</v>
      </c>
      <c r="AI95" s="72">
        <v>86756.46</v>
      </c>
      <c r="AJ95" s="72">
        <v>4701.17</v>
      </c>
      <c r="AK95" s="72">
        <v>45392.22</v>
      </c>
      <c r="AL95" s="72">
        <v>5459</v>
      </c>
      <c r="AM95" s="72">
        <v>71855.820000000007</v>
      </c>
      <c r="AN95" s="72">
        <v>54501</v>
      </c>
      <c r="AO95" s="72">
        <v>34706.14</v>
      </c>
      <c r="AP95" s="72">
        <v>172055.06</v>
      </c>
      <c r="AQ95" s="72">
        <v>73780.55</v>
      </c>
      <c r="AR95" s="72">
        <v>89054.16</v>
      </c>
      <c r="AS95" s="72">
        <v>54035.55</v>
      </c>
      <c r="AT95" s="72">
        <v>26970.39</v>
      </c>
      <c r="AU95" s="72">
        <v>0</v>
      </c>
      <c r="AV95" s="72">
        <v>67519.570000000007</v>
      </c>
      <c r="AW95" s="72">
        <v>173385.86</v>
      </c>
      <c r="AX95" s="72">
        <v>58354.16</v>
      </c>
      <c r="AY95" s="72">
        <v>11659</v>
      </c>
      <c r="AZ95" s="72">
        <v>0</v>
      </c>
      <c r="BA95" s="72">
        <v>383301</v>
      </c>
      <c r="BB95" s="72">
        <v>0</v>
      </c>
      <c r="BC95" s="72">
        <v>0</v>
      </c>
      <c r="BD95" s="72">
        <v>17500</v>
      </c>
      <c r="BE95" s="72">
        <v>0</v>
      </c>
      <c r="BF95" s="72">
        <v>383301</v>
      </c>
      <c r="BG95" s="72">
        <v>0</v>
      </c>
      <c r="BH95" s="72">
        <v>259787.6</v>
      </c>
      <c r="BI95" s="72">
        <v>74923</v>
      </c>
      <c r="BJ95" s="72">
        <v>61288.67</v>
      </c>
      <c r="BK95" s="131">
        <v>79996</v>
      </c>
      <c r="BL95" s="131">
        <v>161974</v>
      </c>
      <c r="BM95" s="131">
        <v>8030</v>
      </c>
      <c r="BN95" s="131">
        <v>0</v>
      </c>
      <c r="BO95" s="131">
        <v>0</v>
      </c>
      <c r="BP95" s="131"/>
      <c r="BQ95" s="72">
        <f t="shared" si="3"/>
        <v>-0.44000000040978193</v>
      </c>
    </row>
    <row r="96" spans="1:69">
      <c r="A96" s="131">
        <v>5407</v>
      </c>
      <c r="B96" s="131" t="s">
        <v>125</v>
      </c>
      <c r="C96" s="131">
        <v>275199</v>
      </c>
      <c r="D96" s="131"/>
      <c r="E96" s="410">
        <v>0</v>
      </c>
      <c r="F96" s="416">
        <f t="shared" si="4"/>
        <v>275199</v>
      </c>
      <c r="G96" s="413">
        <v>4717276</v>
      </c>
      <c r="H96" s="72">
        <v>1164505</v>
      </c>
      <c r="I96" s="72">
        <v>214684</v>
      </c>
      <c r="J96" s="131">
        <v>0</v>
      </c>
      <c r="K96" s="72">
        <v>227700</v>
      </c>
      <c r="L96" s="72">
        <v>0</v>
      </c>
      <c r="M96" s="72">
        <v>0</v>
      </c>
      <c r="N96" s="72">
        <v>5483.25</v>
      </c>
      <c r="O96" s="72">
        <v>0</v>
      </c>
      <c r="P96" s="72">
        <v>0</v>
      </c>
      <c r="Q96" s="72">
        <v>0</v>
      </c>
      <c r="R96" s="72">
        <v>88128.23</v>
      </c>
      <c r="S96" s="72">
        <v>74442.3</v>
      </c>
      <c r="T96" s="72">
        <v>0</v>
      </c>
      <c r="U96" s="72">
        <v>0</v>
      </c>
      <c r="V96" s="72">
        <v>0</v>
      </c>
      <c r="W96" s="72">
        <v>15166.25</v>
      </c>
      <c r="X96" s="72">
        <v>3883315.77</v>
      </c>
      <c r="Y96" s="72">
        <v>0</v>
      </c>
      <c r="Z96" s="72">
        <v>810285.58</v>
      </c>
      <c r="AA96" s="72">
        <v>104045.17</v>
      </c>
      <c r="AB96" s="72">
        <v>382556.76</v>
      </c>
      <c r="AC96" s="72">
        <v>0</v>
      </c>
      <c r="AD96" s="72">
        <v>21250.05</v>
      </c>
      <c r="AE96" s="72">
        <v>46541.89</v>
      </c>
      <c r="AF96" s="72">
        <v>12383.55</v>
      </c>
      <c r="AG96" s="72">
        <v>1923</v>
      </c>
      <c r="AH96" s="72">
        <v>5614.75</v>
      </c>
      <c r="AI96" s="72">
        <v>100966.7</v>
      </c>
      <c r="AJ96" s="72">
        <v>22372.98</v>
      </c>
      <c r="AK96" s="72">
        <v>125092.29</v>
      </c>
      <c r="AL96" s="72">
        <v>7239</v>
      </c>
      <c r="AM96" s="72">
        <v>158897.26999999999</v>
      </c>
      <c r="AN96" s="72">
        <v>0</v>
      </c>
      <c r="AO96" s="72">
        <v>19890.900000000001</v>
      </c>
      <c r="AP96" s="72">
        <v>168843.65</v>
      </c>
      <c r="AQ96" s="72">
        <v>65913.289999999994</v>
      </c>
      <c r="AR96" s="72">
        <v>103653</v>
      </c>
      <c r="AS96" s="72">
        <v>179012.83</v>
      </c>
      <c r="AT96" s="72">
        <v>41230.11</v>
      </c>
      <c r="AU96" s="72">
        <v>0</v>
      </c>
      <c r="AV96" s="72">
        <v>45895.72</v>
      </c>
      <c r="AW96" s="72">
        <v>166588.32999999999</v>
      </c>
      <c r="AX96" s="72">
        <v>41142.050000000003</v>
      </c>
      <c r="AY96" s="72">
        <v>75252.320000000007</v>
      </c>
      <c r="AZ96" s="72">
        <v>0</v>
      </c>
      <c r="BA96" s="72">
        <v>0</v>
      </c>
      <c r="BB96" s="72">
        <v>0</v>
      </c>
      <c r="BC96" s="72">
        <v>0</v>
      </c>
      <c r="BD96" s="72">
        <v>0</v>
      </c>
      <c r="BE96" s="72">
        <v>0</v>
      </c>
      <c r="BF96" s="72">
        <v>0</v>
      </c>
      <c r="BG96" s="72">
        <v>0</v>
      </c>
      <c r="BH96" s="72">
        <v>0</v>
      </c>
      <c r="BI96" s="72">
        <v>0</v>
      </c>
      <c r="BJ96" s="72">
        <v>0</v>
      </c>
      <c r="BK96" s="131">
        <v>0</v>
      </c>
      <c r="BL96" s="131">
        <v>192677</v>
      </c>
      <c r="BM96" s="131">
        <v>0</v>
      </c>
      <c r="BN96" s="131">
        <v>0</v>
      </c>
      <c r="BO96" s="131">
        <v>0</v>
      </c>
      <c r="BP96" s="131"/>
      <c r="BQ96" s="72">
        <f t="shared" si="3"/>
        <v>7.0000000298023224E-2</v>
      </c>
    </row>
    <row r="97" spans="1:69">
      <c r="A97" s="131">
        <v>5403</v>
      </c>
      <c r="B97" s="131" t="s">
        <v>126</v>
      </c>
      <c r="C97" s="131">
        <v>345398</v>
      </c>
      <c r="D97" s="131"/>
      <c r="E97" s="410">
        <v>0</v>
      </c>
      <c r="F97" s="416">
        <f t="shared" si="4"/>
        <v>345398</v>
      </c>
      <c r="G97" s="413">
        <v>2642402</v>
      </c>
      <c r="H97" s="72">
        <v>602335</v>
      </c>
      <c r="I97" s="72">
        <v>101141</v>
      </c>
      <c r="J97" s="131">
        <v>0</v>
      </c>
      <c r="K97" s="72">
        <v>171398.01</v>
      </c>
      <c r="L97" s="72">
        <v>0</v>
      </c>
      <c r="M97" s="72">
        <v>29600</v>
      </c>
      <c r="N97" s="72">
        <v>27928.34</v>
      </c>
      <c r="O97" s="72">
        <v>0</v>
      </c>
      <c r="P97" s="72">
        <v>0</v>
      </c>
      <c r="Q97" s="72">
        <v>0</v>
      </c>
      <c r="R97" s="72">
        <v>10181.84</v>
      </c>
      <c r="S97" s="72">
        <v>61359.86</v>
      </c>
      <c r="T97" s="72">
        <v>0</v>
      </c>
      <c r="U97" s="72">
        <v>0</v>
      </c>
      <c r="V97" s="72">
        <v>0</v>
      </c>
      <c r="W97" s="72">
        <v>3167</v>
      </c>
      <c r="X97" s="72">
        <v>1807860.56</v>
      </c>
      <c r="Y97" s="72">
        <v>0</v>
      </c>
      <c r="Z97" s="72">
        <v>401363.36</v>
      </c>
      <c r="AA97" s="72">
        <v>89206.8</v>
      </c>
      <c r="AB97" s="72">
        <v>241334.55</v>
      </c>
      <c r="AC97" s="72">
        <v>0</v>
      </c>
      <c r="AD97" s="72">
        <v>39054.51</v>
      </c>
      <c r="AE97" s="72">
        <v>6537.97</v>
      </c>
      <c r="AF97" s="72">
        <v>28096.46</v>
      </c>
      <c r="AG97" s="72">
        <v>859</v>
      </c>
      <c r="AH97" s="72">
        <v>3053.09</v>
      </c>
      <c r="AI97" s="72">
        <v>74168.52</v>
      </c>
      <c r="AJ97" s="72">
        <v>6392.02</v>
      </c>
      <c r="AK97" s="72">
        <v>76217.600000000006</v>
      </c>
      <c r="AL97" s="72">
        <v>10009.35</v>
      </c>
      <c r="AM97" s="72">
        <v>57335.94</v>
      </c>
      <c r="AN97" s="72">
        <v>0</v>
      </c>
      <c r="AO97" s="72">
        <v>17039.16</v>
      </c>
      <c r="AP97" s="72">
        <v>134812.82999999999</v>
      </c>
      <c r="AQ97" s="72">
        <v>81922.94</v>
      </c>
      <c r="AR97" s="72">
        <v>76151.38</v>
      </c>
      <c r="AS97" s="72">
        <v>17260.87</v>
      </c>
      <c r="AT97" s="72">
        <v>24830.080000000002</v>
      </c>
      <c r="AU97" s="72">
        <v>179.5</v>
      </c>
      <c r="AV97" s="72">
        <v>34523.85</v>
      </c>
      <c r="AW97" s="72">
        <v>250991.63</v>
      </c>
      <c r="AX97" s="72">
        <v>144726.23000000001</v>
      </c>
      <c r="AY97" s="72">
        <v>34007.160000000003</v>
      </c>
      <c r="AZ97" s="72">
        <v>0</v>
      </c>
      <c r="BA97" s="72">
        <v>0</v>
      </c>
      <c r="BB97" s="72">
        <v>0</v>
      </c>
      <c r="BC97" s="72">
        <v>0</v>
      </c>
      <c r="BD97" s="72">
        <v>0</v>
      </c>
      <c r="BE97" s="72">
        <v>0</v>
      </c>
      <c r="BF97" s="72">
        <v>0</v>
      </c>
      <c r="BG97" s="72">
        <v>0</v>
      </c>
      <c r="BH97" s="72">
        <v>0</v>
      </c>
      <c r="BI97" s="72">
        <v>0</v>
      </c>
      <c r="BJ97" s="72">
        <v>0</v>
      </c>
      <c r="BK97" s="131">
        <v>15423</v>
      </c>
      <c r="BL97" s="131">
        <v>321553</v>
      </c>
      <c r="BM97" s="131">
        <v>0</v>
      </c>
      <c r="BN97" s="131">
        <v>0</v>
      </c>
      <c r="BO97" s="131">
        <v>0</v>
      </c>
      <c r="BP97" s="131"/>
      <c r="BQ97" s="72">
        <f t="shared" si="3"/>
        <v>-0.31000000052154064</v>
      </c>
    </row>
    <row r="98" spans="1:69">
      <c r="A98" s="131">
        <v>5405</v>
      </c>
      <c r="B98" s="131" t="s">
        <v>119</v>
      </c>
      <c r="C98" s="131">
        <f>655848+9680</f>
        <v>665528</v>
      </c>
      <c r="D98" s="131">
        <v>-9680</v>
      </c>
      <c r="E98" s="410">
        <v>417261</v>
      </c>
      <c r="F98" s="416">
        <f t="shared" si="4"/>
        <v>1073109</v>
      </c>
      <c r="G98" s="413">
        <v>4324115</v>
      </c>
      <c r="H98" s="72">
        <v>1538484</v>
      </c>
      <c r="I98" s="72">
        <v>279652.09999999998</v>
      </c>
      <c r="J98" s="131">
        <v>0</v>
      </c>
      <c r="K98" s="72">
        <v>119100</v>
      </c>
      <c r="L98" s="72">
        <v>13074.75</v>
      </c>
      <c r="M98" s="72">
        <v>45371.5</v>
      </c>
      <c r="N98" s="72">
        <v>96592.44</v>
      </c>
      <c r="O98" s="72">
        <v>255956.07</v>
      </c>
      <c r="P98" s="72">
        <v>0</v>
      </c>
      <c r="Q98" s="72">
        <v>20432</v>
      </c>
      <c r="R98" s="72">
        <v>97670.62</v>
      </c>
      <c r="S98" s="72">
        <v>0</v>
      </c>
      <c r="T98" s="72">
        <v>0</v>
      </c>
      <c r="U98" s="72">
        <v>16684.740000000002</v>
      </c>
      <c r="V98" s="72">
        <v>0</v>
      </c>
      <c r="W98" s="72">
        <v>10667</v>
      </c>
      <c r="X98" s="72">
        <v>3574244.98</v>
      </c>
      <c r="Y98" s="72">
        <v>48902.57</v>
      </c>
      <c r="Z98" s="72">
        <v>580745.89</v>
      </c>
      <c r="AA98" s="72">
        <v>82153.990000000005</v>
      </c>
      <c r="AB98" s="72">
        <v>333035.33</v>
      </c>
      <c r="AC98" s="72">
        <v>0</v>
      </c>
      <c r="AD98" s="72">
        <v>26456.81</v>
      </c>
      <c r="AE98" s="72">
        <v>47263.5</v>
      </c>
      <c r="AF98" s="72">
        <v>34296.68</v>
      </c>
      <c r="AG98" s="72">
        <v>256592.98</v>
      </c>
      <c r="AH98" s="72">
        <v>6278.52</v>
      </c>
      <c r="AI98" s="72">
        <v>174138.78</v>
      </c>
      <c r="AJ98" s="72">
        <v>51638.74</v>
      </c>
      <c r="AK98" s="72">
        <v>93019.19</v>
      </c>
      <c r="AL98" s="72">
        <v>5627.59</v>
      </c>
      <c r="AM98" s="72">
        <v>92827.77</v>
      </c>
      <c r="AN98" s="72">
        <v>0</v>
      </c>
      <c r="AO98" s="72">
        <v>45285.15</v>
      </c>
      <c r="AP98" s="72">
        <v>304064.88</v>
      </c>
      <c r="AQ98" s="72">
        <v>114214.53</v>
      </c>
      <c r="AR98" s="72">
        <v>73054.44</v>
      </c>
      <c r="AS98" s="72">
        <v>49011.69</v>
      </c>
      <c r="AT98" s="72">
        <v>48928.31</v>
      </c>
      <c r="AU98" s="72">
        <v>1397</v>
      </c>
      <c r="AV98" s="72">
        <v>256753.54</v>
      </c>
      <c r="AW98" s="72">
        <v>2547.64</v>
      </c>
      <c r="AX98" s="72">
        <v>20760.38</v>
      </c>
      <c r="AY98" s="72">
        <v>20811.22</v>
      </c>
      <c r="AZ98" s="72">
        <v>0</v>
      </c>
      <c r="BA98" s="72">
        <v>323217.14</v>
      </c>
      <c r="BB98" s="72">
        <v>7392.67</v>
      </c>
      <c r="BC98" s="72">
        <v>11406.28</v>
      </c>
      <c r="BD98" s="72">
        <v>0</v>
      </c>
      <c r="BE98" s="72">
        <v>0</v>
      </c>
      <c r="BF98" s="72">
        <v>323217.14</v>
      </c>
      <c r="BG98" s="72">
        <v>0</v>
      </c>
      <c r="BH98" s="72">
        <v>740478.14</v>
      </c>
      <c r="BI98" s="72">
        <v>0</v>
      </c>
      <c r="BJ98" s="72">
        <v>0</v>
      </c>
      <c r="BK98" s="131">
        <v>10985</v>
      </c>
      <c r="BL98" s="401">
        <f>776595+11794</f>
        <v>788389</v>
      </c>
      <c r="BM98" s="131">
        <v>0</v>
      </c>
      <c r="BN98" s="131">
        <v>0</v>
      </c>
      <c r="BO98" s="401">
        <v>-11794</v>
      </c>
      <c r="BP98" s="131"/>
      <c r="BQ98" s="72">
        <f t="shared" si="3"/>
        <v>3.0000001192092896E-2</v>
      </c>
    </row>
    <row r="99" spans="1:69">
      <c r="A99" s="402">
        <v>5404</v>
      </c>
      <c r="B99" s="402" t="s">
        <v>127</v>
      </c>
      <c r="C99" s="402">
        <v>69028</v>
      </c>
      <c r="D99" s="402"/>
      <c r="E99" s="411">
        <v>0</v>
      </c>
      <c r="F99" s="416">
        <f t="shared" si="4"/>
        <v>69028</v>
      </c>
      <c r="G99" s="414">
        <v>2572100.2999999998</v>
      </c>
      <c r="H99" s="403">
        <v>1432658</v>
      </c>
      <c r="I99" s="403">
        <v>0</v>
      </c>
      <c r="J99" s="402">
        <v>0</v>
      </c>
      <c r="K99" s="403">
        <v>34722.75</v>
      </c>
      <c r="L99" s="403">
        <v>7125</v>
      </c>
      <c r="M99" s="403">
        <v>1457</v>
      </c>
      <c r="N99" s="403">
        <v>23319.47</v>
      </c>
      <c r="O99" s="403">
        <v>101318.9</v>
      </c>
      <c r="P99" s="403">
        <v>0</v>
      </c>
      <c r="Q99" s="403">
        <v>0</v>
      </c>
      <c r="R99" s="403">
        <v>13125.48</v>
      </c>
      <c r="S99" s="403">
        <v>32020</v>
      </c>
      <c r="T99" s="403">
        <v>0</v>
      </c>
      <c r="U99" s="403">
        <v>0</v>
      </c>
      <c r="V99" s="403">
        <v>0</v>
      </c>
      <c r="W99" s="403">
        <v>3167</v>
      </c>
      <c r="X99" s="403">
        <v>2812900.35</v>
      </c>
      <c r="Y99" s="403">
        <v>36484.6</v>
      </c>
      <c r="Z99" s="403">
        <v>140715.92000000001</v>
      </c>
      <c r="AA99" s="403">
        <v>190459.03</v>
      </c>
      <c r="AB99" s="403">
        <v>374747.43</v>
      </c>
      <c r="AC99" s="403">
        <v>53129.72</v>
      </c>
      <c r="AD99" s="403">
        <v>12744.04</v>
      </c>
      <c r="AE99" s="403">
        <v>34165.83</v>
      </c>
      <c r="AF99" s="403">
        <v>17760</v>
      </c>
      <c r="AG99" s="403">
        <v>1028.1199999999999</v>
      </c>
      <c r="AH99" s="403">
        <v>3391.13</v>
      </c>
      <c r="AI99" s="403">
        <v>28907.93</v>
      </c>
      <c r="AJ99" s="403">
        <v>13715.27</v>
      </c>
      <c r="AK99" s="403">
        <v>19479.43</v>
      </c>
      <c r="AL99" s="403">
        <v>4604.42</v>
      </c>
      <c r="AM99" s="403">
        <v>64877.27</v>
      </c>
      <c r="AN99" s="403">
        <v>0</v>
      </c>
      <c r="AO99" s="403">
        <v>47873.62</v>
      </c>
      <c r="AP99" s="403">
        <v>134038.46</v>
      </c>
      <c r="AQ99" s="133">
        <f>57032.94-4442.66</f>
        <v>52590.28</v>
      </c>
      <c r="AR99" s="403">
        <v>90501.3</v>
      </c>
      <c r="AS99" s="403">
        <v>17348.3</v>
      </c>
      <c r="AT99" s="403">
        <v>36173.21</v>
      </c>
      <c r="AU99" s="403">
        <v>2354.9</v>
      </c>
      <c r="AV99" s="403">
        <v>42767.83</v>
      </c>
      <c r="AW99" s="403">
        <v>9363.2999999999993</v>
      </c>
      <c r="AX99" s="403">
        <v>17421.36</v>
      </c>
      <c r="AY99" s="403">
        <v>32478.23</v>
      </c>
      <c r="AZ99" s="403">
        <v>0</v>
      </c>
      <c r="BA99" s="403">
        <v>0</v>
      </c>
      <c r="BB99" s="403">
        <v>0</v>
      </c>
      <c r="BC99" s="403">
        <v>0</v>
      </c>
      <c r="BD99" s="403">
        <v>0</v>
      </c>
      <c r="BE99" s="403">
        <v>0</v>
      </c>
      <c r="BF99" s="403">
        <v>0</v>
      </c>
      <c r="BG99" s="403">
        <v>0</v>
      </c>
      <c r="BH99" s="403">
        <v>0</v>
      </c>
      <c r="BI99" s="403">
        <v>0</v>
      </c>
      <c r="BJ99" s="133">
        <f>-4442.66+4442.66</f>
        <v>0</v>
      </c>
      <c r="BK99" s="402">
        <v>0</v>
      </c>
      <c r="BL99" s="404">
        <f>-6422+4443</f>
        <v>-1979</v>
      </c>
      <c r="BM99" s="402">
        <v>0</v>
      </c>
      <c r="BN99" s="402">
        <f>4443-4443</f>
        <v>0</v>
      </c>
      <c r="BO99" s="404">
        <v>0</v>
      </c>
      <c r="BP99" s="402"/>
      <c r="BQ99" s="403">
        <f t="shared" si="3"/>
        <v>-0.37999999988824129</v>
      </c>
    </row>
    <row r="100" spans="1:69">
      <c r="A100" s="131">
        <v>5427</v>
      </c>
      <c r="B100" s="131" t="s">
        <v>134</v>
      </c>
      <c r="C100" s="131">
        <v>151718</v>
      </c>
      <c r="D100" s="131"/>
      <c r="E100" s="410">
        <v>0</v>
      </c>
      <c r="F100" s="416">
        <f t="shared" si="4"/>
        <v>151718</v>
      </c>
      <c r="G100" s="413">
        <v>3932826</v>
      </c>
      <c r="H100" s="72">
        <v>397741</v>
      </c>
      <c r="I100" s="72">
        <v>744417</v>
      </c>
      <c r="J100" s="131">
        <v>0</v>
      </c>
      <c r="K100" s="72">
        <v>51300.01</v>
      </c>
      <c r="L100" s="72">
        <v>129220.11</v>
      </c>
      <c r="M100" s="72">
        <v>2701</v>
      </c>
      <c r="N100" s="72">
        <v>4117.75</v>
      </c>
      <c r="O100" s="72">
        <v>0</v>
      </c>
      <c r="P100" s="72">
        <v>34588</v>
      </c>
      <c r="Q100" s="72">
        <v>136.80000000000001</v>
      </c>
      <c r="R100" s="72">
        <v>145125.51</v>
      </c>
      <c r="S100" s="72">
        <v>589371</v>
      </c>
      <c r="T100" s="72">
        <v>1354</v>
      </c>
      <c r="U100" s="72">
        <v>0</v>
      </c>
      <c r="V100" s="72">
        <v>0</v>
      </c>
      <c r="W100" s="72">
        <v>12667</v>
      </c>
      <c r="X100" s="72">
        <v>2902509.97</v>
      </c>
      <c r="Y100" s="72">
        <v>1383.26</v>
      </c>
      <c r="Z100" s="72">
        <v>857802.94</v>
      </c>
      <c r="AA100" s="72">
        <v>106628.49</v>
      </c>
      <c r="AB100" s="72">
        <v>383753.94</v>
      </c>
      <c r="AC100" s="72">
        <v>0</v>
      </c>
      <c r="AD100" s="72">
        <v>25419.43</v>
      </c>
      <c r="AE100" s="72">
        <v>107449.05</v>
      </c>
      <c r="AF100" s="72">
        <v>34375.29</v>
      </c>
      <c r="AG100" s="72">
        <v>31326.65</v>
      </c>
      <c r="AH100" s="72">
        <v>0</v>
      </c>
      <c r="AI100" s="72">
        <v>161687.97</v>
      </c>
      <c r="AJ100" s="72">
        <v>27154.47</v>
      </c>
      <c r="AK100" s="72">
        <v>98645.25</v>
      </c>
      <c r="AL100" s="72">
        <v>10580.22</v>
      </c>
      <c r="AM100" s="72">
        <v>116208.05</v>
      </c>
      <c r="AN100" s="72">
        <v>0</v>
      </c>
      <c r="AO100" s="72">
        <v>110097.65</v>
      </c>
      <c r="AP100" s="72">
        <v>392955.58</v>
      </c>
      <c r="AQ100" s="72">
        <v>56167.86</v>
      </c>
      <c r="AR100" s="72">
        <v>24418.34</v>
      </c>
      <c r="AS100" s="72">
        <v>65886.789999999994</v>
      </c>
      <c r="AT100" s="72">
        <v>50855.18</v>
      </c>
      <c r="AU100" s="72">
        <v>0</v>
      </c>
      <c r="AV100" s="72">
        <v>22777.3</v>
      </c>
      <c r="AW100" s="72">
        <v>141069.67000000001</v>
      </c>
      <c r="AX100" s="72">
        <v>236651.69</v>
      </c>
      <c r="AY100" s="72">
        <v>59142.66</v>
      </c>
      <c r="AZ100" s="72">
        <v>0</v>
      </c>
      <c r="BA100" s="72">
        <v>0</v>
      </c>
      <c r="BB100" s="72">
        <v>0</v>
      </c>
      <c r="BC100" s="72">
        <v>0</v>
      </c>
      <c r="BD100" s="72">
        <v>0</v>
      </c>
      <c r="BE100" s="72">
        <v>0</v>
      </c>
      <c r="BF100" s="72">
        <v>0</v>
      </c>
      <c r="BG100" s="72">
        <v>0</v>
      </c>
      <c r="BH100" s="72">
        <v>0</v>
      </c>
      <c r="BI100" s="72">
        <v>0</v>
      </c>
      <c r="BJ100" s="72">
        <v>0</v>
      </c>
      <c r="BK100" s="131">
        <v>3763</v>
      </c>
      <c r="BL100" s="131">
        <v>168572</v>
      </c>
      <c r="BM100" s="131">
        <v>0</v>
      </c>
      <c r="BN100" s="131">
        <v>0</v>
      </c>
      <c r="BO100" s="131">
        <v>0</v>
      </c>
      <c r="BP100" s="131"/>
      <c r="BQ100" s="72">
        <f t="shared" ref="BQ100:BQ107" si="5">(SUM(C100:E100,G100:W100,BD100:BF100)-SUM(X100:BC100,BG100:BJ100))-SUM(BK100:BO100)</f>
        <v>0.47999999951571226</v>
      </c>
    </row>
    <row r="101" spans="1:69">
      <c r="A101" s="131">
        <v>7010</v>
      </c>
      <c r="B101" s="131" t="s">
        <v>129</v>
      </c>
      <c r="C101" s="131">
        <f>295431-134391</f>
        <v>161040</v>
      </c>
      <c r="D101" s="131">
        <v>134391</v>
      </c>
      <c r="E101" s="410">
        <v>-200</v>
      </c>
      <c r="F101" s="416">
        <f t="shared" si="4"/>
        <v>295231</v>
      </c>
      <c r="G101" s="413">
        <v>597246</v>
      </c>
      <c r="H101" s="72">
        <v>134771</v>
      </c>
      <c r="I101" s="72">
        <v>1697781.81</v>
      </c>
      <c r="J101" s="131">
        <v>0</v>
      </c>
      <c r="K101" s="72">
        <v>28125</v>
      </c>
      <c r="L101" s="72">
        <v>41258.5</v>
      </c>
      <c r="M101" s="72">
        <v>12055.8</v>
      </c>
      <c r="N101" s="72">
        <v>8150.9</v>
      </c>
      <c r="O101" s="72">
        <v>10482.74</v>
      </c>
      <c r="P101" s="72">
        <v>15882.35</v>
      </c>
      <c r="Q101" s="72">
        <v>11761.8</v>
      </c>
      <c r="R101" s="72">
        <v>3</v>
      </c>
      <c r="S101" s="72">
        <v>4026.11</v>
      </c>
      <c r="T101" s="72">
        <v>0</v>
      </c>
      <c r="U101" s="72">
        <v>170000</v>
      </c>
      <c r="V101" s="72">
        <v>38367.4</v>
      </c>
      <c r="W101" s="72">
        <v>5667</v>
      </c>
      <c r="X101" s="72">
        <v>968096.22</v>
      </c>
      <c r="Y101" s="72">
        <v>0</v>
      </c>
      <c r="Z101" s="72">
        <v>987664.44</v>
      </c>
      <c r="AA101" s="72">
        <v>59743.199999999997</v>
      </c>
      <c r="AB101" s="72">
        <v>44630.559999999998</v>
      </c>
      <c r="AC101" s="72">
        <v>0</v>
      </c>
      <c r="AD101" s="72">
        <v>41347.99</v>
      </c>
      <c r="AE101" s="72">
        <v>36211.129999999997</v>
      </c>
      <c r="AF101" s="72">
        <v>37702.1</v>
      </c>
      <c r="AG101" s="400">
        <f>21447.47-621.72</f>
        <v>20825.75</v>
      </c>
      <c r="AH101" s="400">
        <f>-621.72+621.72</f>
        <v>0</v>
      </c>
      <c r="AI101" s="72">
        <v>69621.119999999995</v>
      </c>
      <c r="AJ101" s="72">
        <v>4390.82</v>
      </c>
      <c r="AK101" s="72">
        <v>3200.44</v>
      </c>
      <c r="AL101" s="72">
        <v>3670.65</v>
      </c>
      <c r="AM101" s="72">
        <v>23760.47</v>
      </c>
      <c r="AN101" s="72">
        <v>0</v>
      </c>
      <c r="AO101" s="72">
        <v>16303.57</v>
      </c>
      <c r="AP101" s="72">
        <v>89572.45</v>
      </c>
      <c r="AQ101" s="72">
        <v>34965.43</v>
      </c>
      <c r="AR101" s="72">
        <v>622.45000000000005</v>
      </c>
      <c r="AS101" s="72">
        <v>8658.93</v>
      </c>
      <c r="AT101" s="72">
        <v>3720.23</v>
      </c>
      <c r="AU101" s="72">
        <v>0</v>
      </c>
      <c r="AV101" s="72">
        <v>18710.36</v>
      </c>
      <c r="AW101" s="72">
        <v>0</v>
      </c>
      <c r="AX101" s="72">
        <v>9446.33</v>
      </c>
      <c r="AY101" s="72">
        <v>26482.82</v>
      </c>
      <c r="AZ101" s="72">
        <v>0</v>
      </c>
      <c r="BA101" s="72">
        <v>160000</v>
      </c>
      <c r="BB101" s="72">
        <v>138425.88</v>
      </c>
      <c r="BC101" s="72">
        <v>25255.279999999999</v>
      </c>
      <c r="BD101" s="72">
        <v>6025</v>
      </c>
      <c r="BE101" s="72">
        <v>5000</v>
      </c>
      <c r="BF101" s="72">
        <v>160000</v>
      </c>
      <c r="BG101" s="72">
        <v>0</v>
      </c>
      <c r="BH101" s="72">
        <v>85983.92</v>
      </c>
      <c r="BI101" s="72">
        <v>0</v>
      </c>
      <c r="BJ101" s="72">
        <v>76640.25</v>
      </c>
      <c r="BK101" s="131">
        <v>0</v>
      </c>
      <c r="BL101" s="401">
        <f>193296-134391</f>
        <v>58905</v>
      </c>
      <c r="BM101" s="131">
        <v>0</v>
      </c>
      <c r="BN101" s="131">
        <v>8201</v>
      </c>
      <c r="BO101" s="401">
        <f>44686+134391</f>
        <v>179077</v>
      </c>
      <c r="BP101" s="131"/>
      <c r="BQ101" s="72">
        <f t="shared" si="5"/>
        <v>-0.38000000035390258</v>
      </c>
    </row>
    <row r="102" spans="1:69">
      <c r="A102" s="131">
        <v>7005</v>
      </c>
      <c r="B102" s="131" t="s">
        <v>130</v>
      </c>
      <c r="C102" s="131">
        <v>168035</v>
      </c>
      <c r="D102" s="131"/>
      <c r="E102" s="410">
        <v>4634</v>
      </c>
      <c r="F102" s="416">
        <f t="shared" si="4"/>
        <v>172669</v>
      </c>
      <c r="G102" s="413">
        <v>910000</v>
      </c>
      <c r="H102" s="72">
        <v>0</v>
      </c>
      <c r="I102" s="72">
        <v>913619.9</v>
      </c>
      <c r="J102" s="131">
        <v>0</v>
      </c>
      <c r="K102" s="72">
        <v>41932</v>
      </c>
      <c r="L102" s="400">
        <f>-439+439</f>
        <v>0</v>
      </c>
      <c r="M102" s="400">
        <f>3540.47-439</f>
        <v>3101.47</v>
      </c>
      <c r="N102" s="72">
        <v>33994.99</v>
      </c>
      <c r="O102" s="72">
        <v>13330.24</v>
      </c>
      <c r="P102" s="72">
        <v>7417.74</v>
      </c>
      <c r="Q102" s="72">
        <v>4742.08</v>
      </c>
      <c r="R102" s="72">
        <v>215</v>
      </c>
      <c r="S102" s="72">
        <v>192</v>
      </c>
      <c r="T102" s="72">
        <v>0</v>
      </c>
      <c r="U102" s="72">
        <v>0</v>
      </c>
      <c r="V102" s="72">
        <v>0</v>
      </c>
      <c r="W102" s="72">
        <v>5096.4399999999996</v>
      </c>
      <c r="X102" s="72">
        <v>744633.09</v>
      </c>
      <c r="Y102" s="72">
        <v>0</v>
      </c>
      <c r="Z102" s="72">
        <v>666672.80000000005</v>
      </c>
      <c r="AA102" s="72">
        <v>34880.11</v>
      </c>
      <c r="AB102" s="72">
        <v>48483.41</v>
      </c>
      <c r="AC102" s="72">
        <v>0</v>
      </c>
      <c r="AD102" s="72">
        <v>3403.32</v>
      </c>
      <c r="AE102" s="72">
        <v>15827.86</v>
      </c>
      <c r="AF102" s="72">
        <v>28854.45</v>
      </c>
      <c r="AG102" s="72">
        <v>14418.36</v>
      </c>
      <c r="AH102" s="72">
        <v>725.79</v>
      </c>
      <c r="AI102" s="72">
        <v>55772.89</v>
      </c>
      <c r="AJ102" s="72">
        <v>5089.22</v>
      </c>
      <c r="AK102" s="72">
        <v>17670.98</v>
      </c>
      <c r="AL102" s="72">
        <v>6476.21</v>
      </c>
      <c r="AM102" s="72">
        <v>40336.410000000003</v>
      </c>
      <c r="AN102" s="72">
        <v>0</v>
      </c>
      <c r="AO102" s="72">
        <v>7408.82</v>
      </c>
      <c r="AP102" s="72">
        <v>31855.439999999999</v>
      </c>
      <c r="AQ102" s="72">
        <v>7055.75</v>
      </c>
      <c r="AR102" s="72">
        <v>0</v>
      </c>
      <c r="AS102" s="72">
        <v>5873.2</v>
      </c>
      <c r="AT102" s="72">
        <v>18675.89</v>
      </c>
      <c r="AU102" s="72">
        <v>218</v>
      </c>
      <c r="AV102" s="72">
        <v>26189.14</v>
      </c>
      <c r="AW102" s="72">
        <v>22182</v>
      </c>
      <c r="AX102" s="72">
        <v>154039.84</v>
      </c>
      <c r="AY102" s="72">
        <v>25999.37</v>
      </c>
      <c r="AZ102" s="72">
        <v>0</v>
      </c>
      <c r="BA102" s="72">
        <v>65000</v>
      </c>
      <c r="BB102" s="72">
        <v>0</v>
      </c>
      <c r="BC102" s="72">
        <v>0</v>
      </c>
      <c r="BD102" s="72">
        <v>6733.32</v>
      </c>
      <c r="BE102" s="72">
        <v>0</v>
      </c>
      <c r="BF102" s="72">
        <v>65000</v>
      </c>
      <c r="BG102" s="72">
        <v>0</v>
      </c>
      <c r="BH102" s="72">
        <v>60204.57</v>
      </c>
      <c r="BI102" s="72">
        <v>2326.66</v>
      </c>
      <c r="BJ102" s="72">
        <v>0</v>
      </c>
      <c r="BK102" s="131">
        <v>0</v>
      </c>
      <c r="BL102" s="131">
        <v>53935</v>
      </c>
      <c r="BM102" s="131">
        <v>0</v>
      </c>
      <c r="BN102" s="131">
        <v>13836</v>
      </c>
      <c r="BO102" s="131">
        <v>0</v>
      </c>
      <c r="BP102" s="131"/>
      <c r="BQ102" s="72">
        <f t="shared" si="5"/>
        <v>-0.40000000037252903</v>
      </c>
    </row>
    <row r="103" spans="1:69">
      <c r="A103" s="131">
        <v>7000</v>
      </c>
      <c r="B103" s="131" t="s">
        <v>131</v>
      </c>
      <c r="C103" s="131">
        <v>283091</v>
      </c>
      <c r="D103" s="131"/>
      <c r="E103" s="410">
        <v>-2580</v>
      </c>
      <c r="F103" s="416">
        <f t="shared" si="4"/>
        <v>280511</v>
      </c>
      <c r="G103" s="413">
        <v>1161081</v>
      </c>
      <c r="H103" s="72">
        <v>488402</v>
      </c>
      <c r="I103" s="72">
        <v>1556360.92</v>
      </c>
      <c r="J103" s="131">
        <v>0</v>
      </c>
      <c r="K103" s="72">
        <v>48761.5</v>
      </c>
      <c r="L103" s="72">
        <v>59204.800000000003</v>
      </c>
      <c r="M103" s="72">
        <v>204666.66</v>
      </c>
      <c r="N103" s="72">
        <v>55161.16</v>
      </c>
      <c r="O103" s="72">
        <v>24822.39</v>
      </c>
      <c r="P103" s="72">
        <v>0</v>
      </c>
      <c r="Q103" s="72">
        <v>4043.72</v>
      </c>
      <c r="R103" s="72">
        <v>12376.69</v>
      </c>
      <c r="S103" s="72">
        <v>15963.14</v>
      </c>
      <c r="T103" s="72">
        <v>0</v>
      </c>
      <c r="U103" s="72">
        <v>0</v>
      </c>
      <c r="V103" s="72">
        <v>0</v>
      </c>
      <c r="W103" s="72">
        <v>14667</v>
      </c>
      <c r="X103" s="72">
        <v>1674609.21</v>
      </c>
      <c r="Y103" s="72">
        <v>0</v>
      </c>
      <c r="Z103" s="72">
        <v>573864.74</v>
      </c>
      <c r="AA103" s="72">
        <v>51829.16</v>
      </c>
      <c r="AB103" s="72">
        <v>106809.66</v>
      </c>
      <c r="AC103" s="72">
        <v>3758.43</v>
      </c>
      <c r="AD103" s="72">
        <v>73803.34</v>
      </c>
      <c r="AE103" s="72">
        <v>33901.01</v>
      </c>
      <c r="AF103" s="400">
        <f>17197.63-912.27</f>
        <v>16285.36</v>
      </c>
      <c r="AG103" s="72">
        <v>0</v>
      </c>
      <c r="AH103" s="400">
        <f>-912.27+912.27</f>
        <v>0</v>
      </c>
      <c r="AI103" s="72">
        <v>37040.300000000003</v>
      </c>
      <c r="AJ103" s="72">
        <v>3411.18</v>
      </c>
      <c r="AK103" s="72">
        <v>27309.11</v>
      </c>
      <c r="AL103" s="72">
        <v>6573.1</v>
      </c>
      <c r="AM103" s="72">
        <v>28110.74</v>
      </c>
      <c r="AN103" s="72">
        <v>0</v>
      </c>
      <c r="AO103" s="72">
        <v>8225.25</v>
      </c>
      <c r="AP103" s="72">
        <v>91465</v>
      </c>
      <c r="AQ103" s="72">
        <v>21908.03</v>
      </c>
      <c r="AR103" s="72">
        <v>6823.4</v>
      </c>
      <c r="AS103" s="72">
        <v>21958.5</v>
      </c>
      <c r="AT103" s="72">
        <v>4267.58</v>
      </c>
      <c r="AU103" s="72">
        <v>9154.43</v>
      </c>
      <c r="AV103" s="72">
        <v>42311.08</v>
      </c>
      <c r="AW103" s="72">
        <v>61565.919999999998</v>
      </c>
      <c r="AX103" s="72">
        <v>587041.86</v>
      </c>
      <c r="AY103" s="72">
        <v>36367.14</v>
      </c>
      <c r="AZ103" s="72">
        <v>0</v>
      </c>
      <c r="BA103" s="72">
        <v>16191.7</v>
      </c>
      <c r="BB103" s="72">
        <v>0</v>
      </c>
      <c r="BC103" s="72">
        <v>0</v>
      </c>
      <c r="BD103" s="72">
        <v>9568.76</v>
      </c>
      <c r="BE103" s="72">
        <v>30649.17</v>
      </c>
      <c r="BF103" s="72">
        <v>16191.7</v>
      </c>
      <c r="BG103" s="72">
        <v>0</v>
      </c>
      <c r="BH103" s="72">
        <v>0</v>
      </c>
      <c r="BI103" s="72">
        <v>30649.17</v>
      </c>
      <c r="BJ103" s="72">
        <v>23180.7</v>
      </c>
      <c r="BK103" s="131">
        <v>35983</v>
      </c>
      <c r="BL103" s="131">
        <v>348034</v>
      </c>
      <c r="BM103" s="131">
        <v>0</v>
      </c>
      <c r="BN103" s="131">
        <v>0</v>
      </c>
      <c r="BO103" s="131">
        <v>0</v>
      </c>
      <c r="BP103" s="131"/>
      <c r="BQ103" s="72">
        <f t="shared" si="5"/>
        <v>-0.49000000022351742</v>
      </c>
    </row>
    <row r="104" spans="1:69">
      <c r="A104" s="131">
        <v>7009</v>
      </c>
      <c r="B104" s="131" t="s">
        <v>132</v>
      </c>
      <c r="C104" s="131">
        <v>136213</v>
      </c>
      <c r="D104" s="131"/>
      <c r="E104" s="410">
        <v>19623</v>
      </c>
      <c r="F104" s="416">
        <f t="shared" si="4"/>
        <v>155836</v>
      </c>
      <c r="G104" s="413">
        <v>860833</v>
      </c>
      <c r="H104" s="72">
        <v>0</v>
      </c>
      <c r="I104" s="72">
        <v>1525950.28</v>
      </c>
      <c r="J104" s="131">
        <v>0</v>
      </c>
      <c r="K104" s="72">
        <v>20013</v>
      </c>
      <c r="L104" s="72">
        <v>174307</v>
      </c>
      <c r="M104" s="72">
        <v>5180</v>
      </c>
      <c r="N104" s="72">
        <v>36407.01</v>
      </c>
      <c r="O104" s="72">
        <v>7637.68</v>
      </c>
      <c r="P104" s="72">
        <v>0</v>
      </c>
      <c r="Q104" s="72">
        <v>12534.85</v>
      </c>
      <c r="R104" s="72">
        <v>3492.81</v>
      </c>
      <c r="S104" s="72">
        <v>15090.86</v>
      </c>
      <c r="T104" s="72">
        <v>50000</v>
      </c>
      <c r="U104" s="72">
        <v>0</v>
      </c>
      <c r="V104" s="72">
        <v>0</v>
      </c>
      <c r="W104" s="72">
        <v>5015</v>
      </c>
      <c r="X104" s="72">
        <v>1106673.02</v>
      </c>
      <c r="Y104" s="72">
        <v>6280.51</v>
      </c>
      <c r="Z104" s="72">
        <v>824231.76</v>
      </c>
      <c r="AA104" s="72">
        <v>42545.98</v>
      </c>
      <c r="AB104" s="72">
        <v>53476.12</v>
      </c>
      <c r="AC104" s="72">
        <v>0</v>
      </c>
      <c r="AD104" s="72">
        <v>82610.16</v>
      </c>
      <c r="AE104" s="72">
        <v>28888</v>
      </c>
      <c r="AF104" s="72">
        <v>24600.51</v>
      </c>
      <c r="AG104" s="72">
        <v>12153.16</v>
      </c>
      <c r="AH104" s="72">
        <v>10568.06</v>
      </c>
      <c r="AI104" s="72">
        <v>23660.83</v>
      </c>
      <c r="AJ104" s="72">
        <v>1069.08</v>
      </c>
      <c r="AK104" s="72">
        <v>25388.32</v>
      </c>
      <c r="AL104" s="72">
        <v>4454.3900000000003</v>
      </c>
      <c r="AM104" s="72">
        <v>25280.01</v>
      </c>
      <c r="AN104" s="72">
        <v>0</v>
      </c>
      <c r="AO104" s="72">
        <v>18848.32</v>
      </c>
      <c r="AP104" s="72">
        <v>75155.710000000006</v>
      </c>
      <c r="AQ104" s="72">
        <v>28435.99</v>
      </c>
      <c r="AR104" s="72">
        <v>0</v>
      </c>
      <c r="AS104" s="72">
        <v>23295.83</v>
      </c>
      <c r="AT104" s="72">
        <v>2812.3</v>
      </c>
      <c r="AU104" s="72">
        <v>48554.68</v>
      </c>
      <c r="AV104" s="72">
        <v>17076.5</v>
      </c>
      <c r="AW104" s="72">
        <v>29637.05</v>
      </c>
      <c r="AX104" s="72">
        <v>267740.77</v>
      </c>
      <c r="AY104" s="72">
        <v>43263.28</v>
      </c>
      <c r="AZ104" s="72">
        <v>0</v>
      </c>
      <c r="BA104" s="72">
        <v>0</v>
      </c>
      <c r="BB104" s="72">
        <v>0</v>
      </c>
      <c r="BC104" s="72">
        <v>0</v>
      </c>
      <c r="BD104" s="72">
        <v>6835</v>
      </c>
      <c r="BE104" s="72">
        <v>0</v>
      </c>
      <c r="BF104" s="72">
        <v>0</v>
      </c>
      <c r="BG104" s="72">
        <v>0</v>
      </c>
      <c r="BH104" s="72">
        <v>0</v>
      </c>
      <c r="BI104" s="72">
        <v>0</v>
      </c>
      <c r="BJ104" s="72">
        <v>8282.73</v>
      </c>
      <c r="BK104" s="131">
        <v>25667</v>
      </c>
      <c r="BL104" s="131">
        <v>307</v>
      </c>
      <c r="BM104" s="131">
        <v>18175</v>
      </c>
      <c r="BN104" s="131">
        <v>0</v>
      </c>
      <c r="BO104" s="131">
        <v>0</v>
      </c>
      <c r="BP104" s="131"/>
      <c r="BQ104" s="72">
        <f t="shared" si="5"/>
        <v>0.42000000039115548</v>
      </c>
    </row>
    <row r="105" spans="1:69">
      <c r="A105" s="402">
        <v>1103</v>
      </c>
      <c r="B105" s="402" t="s">
        <v>452</v>
      </c>
      <c r="C105" s="402">
        <v>0</v>
      </c>
      <c r="D105" s="402">
        <v>0</v>
      </c>
      <c r="E105" s="411">
        <v>0</v>
      </c>
      <c r="F105" s="416">
        <f t="shared" si="4"/>
        <v>0</v>
      </c>
      <c r="G105" s="414">
        <v>487936</v>
      </c>
      <c r="H105" s="403">
        <v>0</v>
      </c>
      <c r="I105" s="403">
        <v>0</v>
      </c>
      <c r="J105" s="403">
        <v>0</v>
      </c>
      <c r="K105" s="403">
        <v>0</v>
      </c>
      <c r="L105" s="403">
        <v>0</v>
      </c>
      <c r="M105" s="403">
        <v>571.25</v>
      </c>
      <c r="N105" s="403">
        <v>0</v>
      </c>
      <c r="O105" s="403">
        <v>0</v>
      </c>
      <c r="P105" s="403">
        <v>0</v>
      </c>
      <c r="Q105" s="403">
        <v>0</v>
      </c>
      <c r="R105" s="403">
        <v>0</v>
      </c>
      <c r="S105" s="403">
        <v>0</v>
      </c>
      <c r="T105" s="133">
        <v>28245.5</v>
      </c>
      <c r="U105" s="403">
        <v>0</v>
      </c>
      <c r="V105" s="133">
        <f>76005.2-76005.2</f>
        <v>0</v>
      </c>
      <c r="W105" s="403">
        <v>0</v>
      </c>
      <c r="X105" s="403">
        <v>21115.06</v>
      </c>
      <c r="Y105" s="403">
        <v>0</v>
      </c>
      <c r="Z105" s="403">
        <v>13220.29</v>
      </c>
      <c r="AA105" s="403">
        <v>0</v>
      </c>
      <c r="AB105" s="403">
        <v>0</v>
      </c>
      <c r="AC105" s="403">
        <v>0</v>
      </c>
      <c r="AD105" s="403">
        <v>292124.59999999998</v>
      </c>
      <c r="AE105" s="403">
        <f>5640.12+223.75</f>
        <v>5863.87</v>
      </c>
      <c r="AF105" s="403">
        <v>2064.5500000000002</v>
      </c>
      <c r="AG105" s="403">
        <v>0</v>
      </c>
      <c r="AH105" s="403">
        <v>2295.3200000000002</v>
      </c>
      <c r="AI105" s="403">
        <v>0</v>
      </c>
      <c r="AJ105" s="403">
        <v>0</v>
      </c>
      <c r="AK105" s="403">
        <v>0</v>
      </c>
      <c r="AL105" s="403">
        <v>0</v>
      </c>
      <c r="AM105" s="403">
        <v>0</v>
      </c>
      <c r="AN105" s="403">
        <v>0</v>
      </c>
      <c r="AO105" s="403">
        <v>0</v>
      </c>
      <c r="AP105" s="403">
        <v>4256.99</v>
      </c>
      <c r="AQ105" s="403">
        <f>9447.19+62.5-1517.5</f>
        <v>7992.1900000000005</v>
      </c>
      <c r="AR105" s="403">
        <v>2189.4899999999998</v>
      </c>
      <c r="AS105" s="403">
        <v>12740.91</v>
      </c>
      <c r="AT105" s="403">
        <v>0</v>
      </c>
      <c r="AU105" s="403">
        <v>21065.75</v>
      </c>
      <c r="AV105" s="403">
        <v>0</v>
      </c>
      <c r="AW105" s="403">
        <v>129983.35</v>
      </c>
      <c r="AX105" s="403">
        <v>1840.38</v>
      </c>
      <c r="AY105" s="403">
        <v>0</v>
      </c>
      <c r="AZ105" s="403">
        <v>0</v>
      </c>
      <c r="BA105" s="403">
        <v>0</v>
      </c>
      <c r="BB105" s="403">
        <v>0</v>
      </c>
      <c r="BC105" s="403">
        <v>0</v>
      </c>
      <c r="BD105" s="403">
        <v>0</v>
      </c>
      <c r="BE105" s="403">
        <v>0</v>
      </c>
      <c r="BF105" s="403">
        <v>0</v>
      </c>
      <c r="BG105" s="403">
        <v>0</v>
      </c>
      <c r="BH105" s="403">
        <v>0</v>
      </c>
      <c r="BI105" s="403">
        <v>0</v>
      </c>
      <c r="BJ105" s="402">
        <v>0</v>
      </c>
      <c r="BK105" s="402">
        <v>0</v>
      </c>
      <c r="BL105" s="402">
        <v>0</v>
      </c>
      <c r="BM105" s="402">
        <v>0</v>
      </c>
      <c r="BN105" s="402">
        <v>0</v>
      </c>
      <c r="BO105" s="402">
        <v>0</v>
      </c>
      <c r="BP105" s="402"/>
      <c r="BQ105" s="403">
        <f t="shared" si="5"/>
        <v>1.1641532182693481E-10</v>
      </c>
    </row>
    <row r="106" spans="1:69">
      <c r="A106" s="402">
        <v>1102</v>
      </c>
      <c r="B106" s="402" t="s">
        <v>453</v>
      </c>
      <c r="C106" s="402">
        <v>0</v>
      </c>
      <c r="D106" s="402">
        <v>0</v>
      </c>
      <c r="E106" s="411">
        <v>0</v>
      </c>
      <c r="F106" s="416">
        <f t="shared" si="4"/>
        <v>0</v>
      </c>
      <c r="G106" s="414">
        <v>401974</v>
      </c>
      <c r="H106" s="403">
        <v>0</v>
      </c>
      <c r="I106" s="403">
        <v>0</v>
      </c>
      <c r="J106" s="403">
        <v>0</v>
      </c>
      <c r="K106" s="403">
        <v>0</v>
      </c>
      <c r="L106" s="403">
        <v>0</v>
      </c>
      <c r="M106" s="403">
        <v>21957.599999999999</v>
      </c>
      <c r="N106" s="403">
        <v>0</v>
      </c>
      <c r="O106" s="403">
        <v>0</v>
      </c>
      <c r="P106" s="403">
        <v>0</v>
      </c>
      <c r="Q106" s="403">
        <v>0</v>
      </c>
      <c r="R106" s="403">
        <v>0</v>
      </c>
      <c r="S106" s="403">
        <v>0</v>
      </c>
      <c r="T106" s="133">
        <v>10821.51</v>
      </c>
      <c r="U106" s="403">
        <v>0</v>
      </c>
      <c r="V106" s="133">
        <f>76005.2-76005.2</f>
        <v>0</v>
      </c>
      <c r="W106" s="403">
        <v>0</v>
      </c>
      <c r="X106" s="403">
        <v>0</v>
      </c>
      <c r="Y106" s="403">
        <v>0</v>
      </c>
      <c r="Z106" s="403">
        <v>9482.7000000000007</v>
      </c>
      <c r="AA106" s="403">
        <v>0</v>
      </c>
      <c r="AB106" s="403">
        <v>0</v>
      </c>
      <c r="AC106" s="403">
        <v>0</v>
      </c>
      <c r="AD106" s="403">
        <f>282044.01+68153.47</f>
        <v>350197.48</v>
      </c>
      <c r="AE106" s="403">
        <f>9.72+90.9</f>
        <v>100.62</v>
      </c>
      <c r="AF106" s="403">
        <v>0</v>
      </c>
      <c r="AG106" s="403">
        <v>0</v>
      </c>
      <c r="AH106" s="403">
        <v>1623.87</v>
      </c>
      <c r="AI106" s="403">
        <v>0</v>
      </c>
      <c r="AJ106" s="403">
        <v>0</v>
      </c>
      <c r="AK106" s="403">
        <v>0</v>
      </c>
      <c r="AL106" s="403">
        <v>0</v>
      </c>
      <c r="AM106" s="403">
        <v>0</v>
      </c>
      <c r="AN106" s="403">
        <v>0</v>
      </c>
      <c r="AO106" s="403">
        <v>0</v>
      </c>
      <c r="AP106" s="403">
        <v>1566.58</v>
      </c>
      <c r="AQ106" s="403">
        <f>8891.14+4230.95</f>
        <v>13122.09</v>
      </c>
      <c r="AR106" s="403">
        <v>2107.44</v>
      </c>
      <c r="AS106" s="403">
        <v>2030.94</v>
      </c>
      <c r="AT106" s="403">
        <v>0</v>
      </c>
      <c r="AU106" s="403">
        <v>0</v>
      </c>
      <c r="AV106" s="403">
        <v>0</v>
      </c>
      <c r="AW106" s="403">
        <v>28145.51</v>
      </c>
      <c r="AX106" s="403">
        <v>7400</v>
      </c>
      <c r="AY106" s="403">
        <v>0</v>
      </c>
      <c r="AZ106" s="403">
        <v>0</v>
      </c>
      <c r="BA106" s="403">
        <v>0</v>
      </c>
      <c r="BB106" s="403">
        <v>0</v>
      </c>
      <c r="BC106" s="403">
        <v>0</v>
      </c>
      <c r="BD106" s="403">
        <v>0</v>
      </c>
      <c r="BE106" s="403">
        <v>0</v>
      </c>
      <c r="BF106" s="403">
        <v>0</v>
      </c>
      <c r="BG106" s="403">
        <v>0</v>
      </c>
      <c r="BH106" s="403">
        <v>0</v>
      </c>
      <c r="BI106" s="403">
        <v>0</v>
      </c>
      <c r="BJ106" s="402">
        <v>0</v>
      </c>
      <c r="BK106" s="402">
        <v>0</v>
      </c>
      <c r="BL106" s="402">
        <v>18976</v>
      </c>
      <c r="BM106" s="402">
        <v>0</v>
      </c>
      <c r="BN106" s="402">
        <v>0</v>
      </c>
      <c r="BO106" s="402">
        <v>0</v>
      </c>
      <c r="BP106" s="402"/>
      <c r="BQ106" s="403">
        <f t="shared" si="5"/>
        <v>-0.12000000005355105</v>
      </c>
    </row>
    <row r="107" spans="1:69">
      <c r="A107" s="402">
        <v>1100</v>
      </c>
      <c r="B107" s="402" t="s">
        <v>451</v>
      </c>
      <c r="C107" s="402">
        <v>0</v>
      </c>
      <c r="D107" s="402">
        <v>0</v>
      </c>
      <c r="E107" s="411">
        <v>0</v>
      </c>
      <c r="F107" s="416">
        <f t="shared" si="4"/>
        <v>0</v>
      </c>
      <c r="G107" s="414">
        <v>1303670</v>
      </c>
      <c r="H107" s="403">
        <v>0</v>
      </c>
      <c r="I107" s="403">
        <v>0</v>
      </c>
      <c r="J107" s="403">
        <v>0</v>
      </c>
      <c r="K107" s="403">
        <v>0</v>
      </c>
      <c r="L107" s="403">
        <v>0</v>
      </c>
      <c r="M107" s="403">
        <v>6449</v>
      </c>
      <c r="N107" s="403">
        <v>0</v>
      </c>
      <c r="O107" s="403">
        <v>0</v>
      </c>
      <c r="P107" s="403">
        <v>0</v>
      </c>
      <c r="Q107" s="403">
        <v>0</v>
      </c>
      <c r="R107" s="403">
        <v>0</v>
      </c>
      <c r="S107" s="403">
        <v>0</v>
      </c>
      <c r="T107" s="133">
        <v>76005.2</v>
      </c>
      <c r="U107" s="72">
        <v>0</v>
      </c>
      <c r="V107" s="133">
        <f>76005.2-76005.2</f>
        <v>0</v>
      </c>
      <c r="W107" s="403">
        <v>0</v>
      </c>
      <c r="X107" s="403">
        <v>29285.55</v>
      </c>
      <c r="Y107" s="403">
        <v>0</v>
      </c>
      <c r="Z107" s="403">
        <v>992.77</v>
      </c>
      <c r="AA107" s="403">
        <v>0</v>
      </c>
      <c r="AB107" s="403">
        <v>0</v>
      </c>
      <c r="AC107" s="403">
        <v>0</v>
      </c>
      <c r="AD107" s="403">
        <v>1078397.33</v>
      </c>
      <c r="AE107" s="403">
        <f>20841.5+1698.5</f>
        <v>22540</v>
      </c>
      <c r="AF107" s="403">
        <v>3561</v>
      </c>
      <c r="AG107" s="403">
        <v>0</v>
      </c>
      <c r="AH107" s="403">
        <v>4693.6499999999996</v>
      </c>
      <c r="AI107" s="403">
        <v>6997.11</v>
      </c>
      <c r="AJ107" s="403">
        <v>2548.81</v>
      </c>
      <c r="AK107" s="403">
        <v>9059.6</v>
      </c>
      <c r="AL107" s="403">
        <v>1301.1500000000001</v>
      </c>
      <c r="AM107" s="403">
        <v>13207.76</v>
      </c>
      <c r="AN107" s="403">
        <v>8200.5</v>
      </c>
      <c r="AO107" s="403">
        <v>0</v>
      </c>
      <c r="AP107" s="403">
        <v>8629.0400000000009</v>
      </c>
      <c r="AQ107" s="403">
        <v>19587.810000000001</v>
      </c>
      <c r="AR107" s="403">
        <v>6830.87</v>
      </c>
      <c r="AS107" s="403">
        <v>11594.72</v>
      </c>
      <c r="AT107" s="403">
        <v>0</v>
      </c>
      <c r="AU107" s="403">
        <v>1612</v>
      </c>
      <c r="AV107" s="403">
        <v>35790.76</v>
      </c>
      <c r="AW107" s="403">
        <v>24972.84</v>
      </c>
      <c r="AX107" s="403">
        <v>16321.41</v>
      </c>
      <c r="AY107" s="403">
        <v>0</v>
      </c>
      <c r="AZ107" s="403">
        <v>0</v>
      </c>
      <c r="BA107" s="403">
        <v>0</v>
      </c>
      <c r="BB107" s="403">
        <v>0</v>
      </c>
      <c r="BC107" s="403">
        <v>0</v>
      </c>
      <c r="BD107" s="403">
        <v>0</v>
      </c>
      <c r="BE107" s="403">
        <v>0</v>
      </c>
      <c r="BF107" s="403">
        <v>0</v>
      </c>
      <c r="BG107" s="403">
        <v>0</v>
      </c>
      <c r="BH107" s="403">
        <v>0</v>
      </c>
      <c r="BI107" s="403">
        <v>0</v>
      </c>
      <c r="BJ107" s="403">
        <v>0</v>
      </c>
      <c r="BK107" s="403">
        <v>0</v>
      </c>
      <c r="BL107" s="402">
        <v>80000</v>
      </c>
      <c r="BM107" s="402">
        <v>0</v>
      </c>
      <c r="BN107" s="402">
        <v>0</v>
      </c>
      <c r="BO107" s="402">
        <v>0</v>
      </c>
      <c r="BP107" s="402"/>
      <c r="BQ107" s="403">
        <f t="shared" si="5"/>
        <v>-0.48000000044703484</v>
      </c>
    </row>
    <row r="109" spans="1:69" ht="13.5" thickBot="1">
      <c r="G109" s="422">
        <f>SUM(G4:G108)</f>
        <v>154055204.55000001</v>
      </c>
      <c r="H109" s="422">
        <f t="shared" ref="H109:BQ109" si="6">SUM(H4:H108)</f>
        <v>7119718</v>
      </c>
      <c r="I109" s="422">
        <f t="shared" si="6"/>
        <v>14587241.130000001</v>
      </c>
      <c r="J109" s="422">
        <f t="shared" si="6"/>
        <v>0</v>
      </c>
      <c r="K109" s="422">
        <f t="shared" si="6"/>
        <v>8027014.2899999954</v>
      </c>
      <c r="L109" s="422">
        <f t="shared" si="6"/>
        <v>1209176.7400000002</v>
      </c>
      <c r="M109" s="422">
        <f t="shared" si="6"/>
        <v>1102033.04</v>
      </c>
      <c r="N109" s="422">
        <f t="shared" si="6"/>
        <v>3359027.6400000006</v>
      </c>
      <c r="O109" s="422">
        <f t="shared" si="6"/>
        <v>4511046.58</v>
      </c>
      <c r="P109" s="422">
        <f t="shared" si="6"/>
        <v>811922.75999999989</v>
      </c>
      <c r="Q109" s="422">
        <f t="shared" si="6"/>
        <v>278626.8899999999</v>
      </c>
      <c r="R109" s="422">
        <f t="shared" si="6"/>
        <v>2510312.0600000005</v>
      </c>
      <c r="S109" s="422">
        <f t="shared" si="6"/>
        <v>2712746.9399999995</v>
      </c>
      <c r="T109" s="422">
        <f t="shared" si="6"/>
        <v>166426.21</v>
      </c>
      <c r="U109" s="422">
        <f t="shared" si="6"/>
        <v>2934604.56</v>
      </c>
      <c r="V109" s="422">
        <f t="shared" si="6"/>
        <v>441642.44000000006</v>
      </c>
      <c r="W109" s="422">
        <f t="shared" si="6"/>
        <v>595351.40999999992</v>
      </c>
      <c r="X109" s="422">
        <f t="shared" si="6"/>
        <v>90189225.939999998</v>
      </c>
      <c r="Y109" s="422">
        <f t="shared" si="6"/>
        <v>628710.46000000008</v>
      </c>
      <c r="Z109" s="422">
        <f t="shared" si="6"/>
        <v>36672752.020000011</v>
      </c>
      <c r="AA109" s="422">
        <f t="shared" si="6"/>
        <v>4119579.2700000005</v>
      </c>
      <c r="AB109" s="422">
        <f t="shared" si="6"/>
        <v>7829753.3999999985</v>
      </c>
      <c r="AC109" s="422">
        <f t="shared" si="6"/>
        <v>267029.32</v>
      </c>
      <c r="AD109" s="422">
        <f t="shared" si="6"/>
        <v>5142007.8000000007</v>
      </c>
      <c r="AE109" s="422">
        <f t="shared" si="6"/>
        <v>1557621.09</v>
      </c>
      <c r="AF109" s="422">
        <f t="shared" si="6"/>
        <v>1133759.43</v>
      </c>
      <c r="AG109" s="422">
        <f t="shared" si="6"/>
        <v>1365401.8299999998</v>
      </c>
      <c r="AH109" s="422">
        <f t="shared" si="6"/>
        <v>339545.05999999994</v>
      </c>
      <c r="AI109" s="422">
        <f t="shared" si="6"/>
        <v>3497805.1699999995</v>
      </c>
      <c r="AJ109" s="422">
        <f t="shared" si="6"/>
        <v>534136.9</v>
      </c>
      <c r="AK109" s="422">
        <f t="shared" si="6"/>
        <v>2244309.689999999</v>
      </c>
      <c r="AL109" s="422">
        <f t="shared" si="6"/>
        <v>377404.93999999994</v>
      </c>
      <c r="AM109" s="422">
        <f t="shared" si="6"/>
        <v>2700266.7200000007</v>
      </c>
      <c r="AN109" s="422">
        <f t="shared" si="6"/>
        <v>1079587.3500000001</v>
      </c>
      <c r="AO109" s="422">
        <f t="shared" si="6"/>
        <v>1300686.9800000002</v>
      </c>
      <c r="AP109" s="422">
        <f t="shared" si="6"/>
        <v>8156887.7699999996</v>
      </c>
      <c r="AQ109" s="422">
        <f t="shared" si="6"/>
        <v>2565273.63</v>
      </c>
      <c r="AR109" s="422">
        <f t="shared" si="6"/>
        <v>614854.16999999993</v>
      </c>
      <c r="AS109" s="422">
        <f t="shared" si="6"/>
        <v>1600920.6999999997</v>
      </c>
      <c r="AT109" s="422">
        <f t="shared" si="6"/>
        <v>1010937.3000000002</v>
      </c>
      <c r="AU109" s="422">
        <f t="shared" si="6"/>
        <v>983790.2200000002</v>
      </c>
      <c r="AV109" s="422">
        <f t="shared" si="6"/>
        <v>6236722.7500000019</v>
      </c>
      <c r="AW109" s="422">
        <f t="shared" si="6"/>
        <v>5237845.0299999984</v>
      </c>
      <c r="AX109" s="422">
        <f t="shared" si="6"/>
        <v>6843654.8500000024</v>
      </c>
      <c r="AY109" s="422">
        <f t="shared" si="6"/>
        <v>3236088.5900000003</v>
      </c>
      <c r="AZ109" s="422">
        <f t="shared" si="6"/>
        <v>0</v>
      </c>
      <c r="BA109" s="422">
        <f t="shared" si="6"/>
        <v>2881979.0900000003</v>
      </c>
      <c r="BB109" s="422">
        <f t="shared" si="6"/>
        <v>2563035.9999999995</v>
      </c>
      <c r="BC109" s="422">
        <f t="shared" si="6"/>
        <v>551850.03</v>
      </c>
      <c r="BD109" s="422">
        <f t="shared" si="6"/>
        <v>478253.32000000007</v>
      </c>
      <c r="BE109" s="422">
        <f t="shared" si="6"/>
        <v>402123.00999999995</v>
      </c>
      <c r="BF109" s="422">
        <f t="shared" si="6"/>
        <v>2874171.0900000003</v>
      </c>
      <c r="BG109" s="422">
        <f t="shared" si="6"/>
        <v>0</v>
      </c>
      <c r="BH109" s="422">
        <f t="shared" si="6"/>
        <v>2724556.1499999994</v>
      </c>
      <c r="BI109" s="422">
        <f t="shared" si="6"/>
        <v>290116.88</v>
      </c>
      <c r="BJ109" s="422">
        <f t="shared" si="6"/>
        <v>1416991.8599999999</v>
      </c>
      <c r="BK109" s="422">
        <f t="shared" si="6"/>
        <v>2137119</v>
      </c>
      <c r="BL109" s="422">
        <f t="shared" si="6"/>
        <v>12713921</v>
      </c>
      <c r="BM109" s="422">
        <f t="shared" si="6"/>
        <v>54015</v>
      </c>
      <c r="BN109" s="422">
        <f t="shared" si="6"/>
        <v>79600</v>
      </c>
      <c r="BO109" s="422">
        <f t="shared" si="6"/>
        <v>383225</v>
      </c>
      <c r="BP109" s="422">
        <f t="shared" si="6"/>
        <v>0</v>
      </c>
      <c r="BQ109" s="422">
        <f t="shared" si="6"/>
        <v>-7.7300000037066638</v>
      </c>
    </row>
    <row r="110" spans="1:69" ht="13.5" thickTop="1"/>
  </sheetData>
  <mergeCells count="8">
    <mergeCell ref="BK2:BO2"/>
    <mergeCell ref="BP2:BP3"/>
    <mergeCell ref="A2:B2"/>
    <mergeCell ref="C2:E2"/>
    <mergeCell ref="G2:W2"/>
    <mergeCell ref="X2:BC2"/>
    <mergeCell ref="BD2:BF2"/>
    <mergeCell ref="BG2:BJ2"/>
  </mergeCells>
  <conditionalFormatting sqref="G4:I104 K4:BF103 BG4:BJ104 BJ107:BK107 AY105:BI107 AA105:AC107 K104:T104 V104:BF104 H105:L107 U104:U107 N105:T107 V105:V107">
    <cfRule type="cellIs" dxfId="3" priority="3" stopIfTrue="1" operator="lessThan">
      <formula>0</formula>
    </cfRule>
  </conditionalFormatting>
  <conditionalFormatting sqref="G105:G107 AD105:AX107 Z105:Z107 M105:M107 X105 X107">
    <cfRule type="cellIs" dxfId="2" priority="2" stopIfTrue="1" operator="lessThan">
      <formula>0</formula>
    </cfRule>
  </conditionalFormatting>
  <conditionalFormatting sqref="Y105:Y107 X106 W105:W107">
    <cfRule type="cellIs" dxfId="1" priority="1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Benchmarking Ratio's Comparison</vt:lpstr>
      <vt:lpstr>2014-15 CFR</vt:lpstr>
      <vt:lpstr>All Schools Data view only</vt:lpstr>
      <vt:lpstr>14-15 InYrChgs</vt:lpstr>
      <vt:lpstr>Oct13Census</vt:lpstr>
      <vt:lpstr>2014-15 PPFSM</vt:lpstr>
      <vt:lpstr>OCT14Census</vt:lpstr>
      <vt:lpstr>PPFSMAdjDec13</vt:lpstr>
      <vt:lpstr>2013-14 CFR</vt:lpstr>
      <vt:lpstr>2012-13 CFR</vt:lpstr>
      <vt:lpstr>13-14 Budget Share</vt:lpstr>
      <vt:lpstr>12-13 Data</vt:lpstr>
      <vt:lpstr>12-13 Pupil Data</vt:lpstr>
      <vt:lpstr>12-13 All Schls data</vt:lpstr>
      <vt:lpstr>OCT 15 CENSUS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James, Claudette</dc:creator>
  <cp:lastModifiedBy>James, Claudette</cp:lastModifiedBy>
  <cp:lastPrinted>2014-07-28T15:36:52Z</cp:lastPrinted>
  <dcterms:created xsi:type="dcterms:W3CDTF">2010-07-19T14:31:41Z</dcterms:created>
  <dcterms:modified xsi:type="dcterms:W3CDTF">2016-12-13T14:10:38Z</dcterms:modified>
</cp:coreProperties>
</file>